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 yWindow="12" windowWidth="13560" windowHeight="11856"/>
  </bookViews>
  <sheets>
    <sheet name="WIT" sheetId="84" r:id="rId1"/>
    <sheet name="Heading" sheetId="76" r:id="rId2"/>
    <sheet name="Contents" sheetId="68" r:id="rId3"/>
    <sheet name="Overview" sheetId="9" r:id="rId4"/>
    <sheet name="1-BaseTRR" sheetId="1" r:id="rId5"/>
    <sheet name="2-IFPTRR" sheetId="7" r:id="rId6"/>
    <sheet name="3-TrueUpAdjust" sheetId="65" r:id="rId7"/>
    <sheet name="4-TUTRR" sheetId="8" r:id="rId8"/>
    <sheet name="5-ROR-1" sheetId="28" r:id="rId9"/>
    <sheet name="5-ROR-2" sheetId="72" r:id="rId10"/>
    <sheet name="6-PlantInService" sheetId="4" r:id="rId11"/>
    <sheet name="7-PlantStudy" sheetId="56" r:id="rId12"/>
    <sheet name="8-AccDep" sheetId="21" r:id="rId13"/>
    <sheet name="9-ADIT" sheetId="15" r:id="rId14"/>
    <sheet name="10-CWIP" sheetId="49" r:id="rId15"/>
    <sheet name="11-PHFU" sheetId="54" r:id="rId16"/>
    <sheet name="12-AbandonedPlant" sheetId="45" r:id="rId17"/>
    <sheet name="13-WorkCap" sheetId="22" r:id="rId18"/>
    <sheet name="14-IncentivePlant" sheetId="11" r:id="rId19"/>
    <sheet name="15-IncentiveAdder" sheetId="12" r:id="rId20"/>
    <sheet name="16-PlantAdditions" sheetId="48" r:id="rId21"/>
    <sheet name="17-Depreciation" sheetId="64" r:id="rId22"/>
    <sheet name="18-DepRates" sheetId="63" r:id="rId23"/>
    <sheet name="19-OandM" sheetId="46" r:id="rId24"/>
    <sheet name="20-AandG" sheetId="26" r:id="rId25"/>
    <sheet name="21-RevenueCredits" sheetId="61" r:id="rId26"/>
    <sheet name="22-NUCs" sheetId="66" r:id="rId27"/>
    <sheet name="23-RegAssets" sheetId="55" r:id="rId28"/>
    <sheet name="24-CWIPTRR" sheetId="71" r:id="rId29"/>
    <sheet name="25-WholesaleDifference" sheetId="44" r:id="rId30"/>
    <sheet name="26-TaxRates" sheetId="17" r:id="rId31"/>
    <sheet name="27-Allocators" sheetId="2" r:id="rId32"/>
    <sheet name="28-FFU" sheetId="30" r:id="rId33"/>
    <sheet name="29-WholesaleTRRs" sheetId="31" r:id="rId34"/>
    <sheet name="30-WholesaleRates" sheetId="32" r:id="rId35"/>
    <sheet name="31-HVLV" sheetId="57" r:id="rId36"/>
    <sheet name="32-GrossLoad" sheetId="42" r:id="rId37"/>
    <sheet name="33-RetailRates" sheetId="53" r:id="rId38"/>
    <sheet name="34-UnfundedReserves" sheetId="79" r:id="rId39"/>
    <sheet name="35-PBOPs" sheetId="78" r:id="rId40"/>
  </sheets>
  <definedNames>
    <definedName name="_xlnm._FilterDatabase" localSheetId="25" hidden="1">'21-RevenueCredits'!$A$1:$O$238</definedName>
    <definedName name="_xlnm.Print_Area" localSheetId="14">'10-CWIP'!$A$1:$K$412</definedName>
    <definedName name="_xlnm.Print_Area" localSheetId="15">'11-PHFU'!$A$1:$F$61</definedName>
    <definedName name="_xlnm.Print_Area" localSheetId="16">'12-AbandonedPlant'!$A$1:$J$69</definedName>
    <definedName name="_xlnm.Print_Area" localSheetId="17">'13-WorkCap'!$A$1:$G$69</definedName>
    <definedName name="_xlnm.Print_Area" localSheetId="18">'14-IncentivePlant'!$A$1:$J$372</definedName>
    <definedName name="_xlnm.Print_Area" localSheetId="19">'15-IncentiveAdder'!$A$1:$J$112</definedName>
    <definedName name="_xlnm.Print_Area" localSheetId="20">'16-PlantAdditions'!$A$1:$P$137</definedName>
    <definedName name="_xlnm.Print_Area" localSheetId="21">'17-Depreciation'!$A$1:$M$107</definedName>
    <definedName name="_xlnm.Print_Area" localSheetId="22">'18-DepRates'!$A$1:$G$64</definedName>
    <definedName name="_xlnm.Print_Area" localSheetId="23">'19-OandM'!$A$1:$L$216</definedName>
    <definedName name="_xlnm.Print_Area" localSheetId="4">'1-BaseTRR'!$A$1:$K$167</definedName>
    <definedName name="_xlnm.Print_Area" localSheetId="24">'20-AandG'!$A$1:$J$112</definedName>
    <definedName name="_xlnm.Print_Area" localSheetId="25">'21-RevenueCredits'!$A$1:$O$242</definedName>
    <definedName name="_xlnm.Print_Area" localSheetId="26">'22-NUCs'!$A$1:$F$30</definedName>
    <definedName name="_xlnm.Print_Area" localSheetId="27">'23-RegAssets'!$A$1:$I$37</definedName>
    <definedName name="_xlnm.Print_Area" localSheetId="28">'24-CWIPTRR'!$A$1:$J$195</definedName>
    <definedName name="_xlnm.Print_Area" localSheetId="29">'25-WholesaleDifference'!$A$1:$J$100</definedName>
    <definedName name="_xlnm.Print_Area" localSheetId="30">'26-TaxRates'!$A$1:$F$79</definedName>
    <definedName name="_xlnm.Print_Area" localSheetId="31">'27-Allocators'!$A$1:$K$126</definedName>
    <definedName name="_xlnm.Print_Area" localSheetId="32">'28-FFU'!$A$1:$J$46</definedName>
    <definedName name="_xlnm.Print_Area" localSheetId="33">'29-WholesaleTRRs'!$A$1:$I$41</definedName>
    <definedName name="_xlnm.Print_Area" localSheetId="5">'2-IFPTRR'!$A$1:$G$91</definedName>
    <definedName name="_xlnm.Print_Area" localSheetId="34">'30-WholesaleRates'!$A$1:$J$47</definedName>
    <definedName name="_xlnm.Print_Area" localSheetId="35">'31-HVLV'!$A$1:$L$51</definedName>
    <definedName name="_xlnm.Print_Area" localSheetId="36">'32-GrossLoad'!$A$1:$I$19</definedName>
    <definedName name="_xlnm.Print_Area" localSheetId="38">'34-UnfundedReserves'!$A$1:$K$45</definedName>
    <definedName name="_xlnm.Print_Area" localSheetId="39">'35-PBOPs'!$A$1:$M$107</definedName>
    <definedName name="_xlnm.Print_Area" localSheetId="6">'3-TrueUpAdjust'!$A$1:$L$178</definedName>
    <definedName name="_xlnm.Print_Area" localSheetId="7">'4-TUTRR'!$A$1:$J$109</definedName>
    <definedName name="_xlnm.Print_Area" localSheetId="8">'5-ROR-1'!$A$1:$L$57</definedName>
    <definedName name="_xlnm.Print_Area" localSheetId="9">'5-ROR-2'!$A$1:$P$78</definedName>
    <definedName name="_xlnm.Print_Area" localSheetId="10">'6-PlantInService'!$A$1:$M$181</definedName>
    <definedName name="_xlnm.Print_Area" localSheetId="11">'7-PlantStudy'!$A$1:$G$54</definedName>
    <definedName name="_xlnm.Print_Area" localSheetId="12">'8-AccDep'!$A$1:$N$179</definedName>
    <definedName name="_xlnm.Print_Area" localSheetId="13">'9-ADIT'!$A$1:$J$334</definedName>
    <definedName name="_xlnm.Print_Area" localSheetId="2">Contents!$A$1:$D$39</definedName>
    <definedName name="_xlnm.Print_Area" localSheetId="1">Heading!$A$1:$K$28</definedName>
    <definedName name="_xlnm.Print_Area" localSheetId="3">Overview!$A$1:$I$24</definedName>
    <definedName name="_xlnm.Print_Area" localSheetId="0">WIT!$A$1:$K$22</definedName>
    <definedName name="_xlnm.Print_Titles" localSheetId="4">'1-BaseTRR'!$1:$6</definedName>
    <definedName name="_xlnm.Print_Titles" localSheetId="25">'21-RevenueCredits'!$1:$3</definedName>
  </definedNames>
  <calcPr calcId="145621"/>
</workbook>
</file>

<file path=xl/calcChain.xml><?xml version="1.0" encoding="utf-8"?>
<calcChain xmlns="http://schemas.openxmlformats.org/spreadsheetml/2006/main">
  <c r="H68" i="64" l="1"/>
  <c r="H67" i="64"/>
  <c r="H50" i="8" l="1"/>
  <c r="J50" i="8"/>
  <c r="G35" i="78"/>
  <c r="G37" i="78"/>
  <c r="I37" i="78"/>
  <c r="G87" i="78"/>
  <c r="G74" i="78"/>
  <c r="G73" i="78"/>
  <c r="G75" i="78" s="1"/>
  <c r="H13" i="78" s="1"/>
  <c r="J63" i="78"/>
  <c r="K63" i="78" s="1"/>
  <c r="J62" i="78"/>
  <c r="K62" i="78" s="1"/>
  <c r="I38" i="78"/>
  <c r="I36" i="78"/>
  <c r="G36" i="78"/>
  <c r="G30" i="78"/>
  <c r="G29" i="78"/>
  <c r="I29" i="78" s="1"/>
  <c r="G28" i="78"/>
  <c r="I30" i="78" s="1"/>
  <c r="G27" i="78"/>
  <c r="G26" i="78"/>
  <c r="H15" i="78"/>
  <c r="G38" i="78" l="1"/>
  <c r="K65" i="78"/>
  <c r="H12" i="78" s="1"/>
  <c r="H26" i="78"/>
  <c r="I26" i="78" s="1"/>
  <c r="H14" i="78"/>
  <c r="D18" i="78" s="1"/>
  <c r="H27" i="78"/>
  <c r="I27" i="78" s="1"/>
  <c r="I28" i="78"/>
  <c r="B2" i="72" l="1"/>
  <c r="H42" i="8" l="1"/>
  <c r="H33" i="8"/>
  <c r="G21" i="45" l="1"/>
  <c r="F25" i="65" l="1"/>
  <c r="F26" i="65"/>
  <c r="F27" i="65"/>
  <c r="F28" i="65"/>
  <c r="F29" i="65"/>
  <c r="F30" i="65"/>
  <c r="F31" i="65"/>
  <c r="F32" i="65"/>
  <c r="F33" i="65"/>
  <c r="F34" i="65"/>
  <c r="F35" i="65"/>
  <c r="F24" i="65"/>
  <c r="K379" i="49"/>
  <c r="K380" i="49"/>
  <c r="K381" i="49"/>
  <c r="K382" i="49"/>
  <c r="K383" i="49"/>
  <c r="K384" i="49"/>
  <c r="K385" i="49"/>
  <c r="K386" i="49"/>
  <c r="K387" i="49"/>
  <c r="K388" i="49"/>
  <c r="K389" i="49"/>
  <c r="K390" i="49"/>
  <c r="K391" i="49"/>
  <c r="K392" i="49"/>
  <c r="K393" i="49"/>
  <c r="K394" i="49"/>
  <c r="K395" i="49"/>
  <c r="K396" i="49"/>
  <c r="K397" i="49"/>
  <c r="K398" i="49"/>
  <c r="K399" i="49"/>
  <c r="K400" i="49"/>
  <c r="K401" i="49"/>
  <c r="K378" i="49"/>
  <c r="E218" i="49" l="1"/>
  <c r="E119" i="53"/>
  <c r="C119" i="53"/>
  <c r="D119" i="53"/>
  <c r="E129" i="53"/>
  <c r="D38" i="53" s="1"/>
  <c r="E128" i="53"/>
  <c r="E127" i="53"/>
  <c r="D36" i="53" s="1"/>
  <c r="A120" i="53"/>
  <c r="A121" i="53" s="1"/>
  <c r="A122" i="53" s="1"/>
  <c r="A123" i="53" s="1"/>
  <c r="A124" i="53" s="1"/>
  <c r="A125" i="53" s="1"/>
  <c r="A126" i="53" s="1"/>
  <c r="H119" i="53"/>
  <c r="I117" i="53"/>
  <c r="F117" i="53"/>
  <c r="B117" i="53"/>
  <c r="I116" i="53"/>
  <c r="F116" i="53"/>
  <c r="J116" i="53" s="1"/>
  <c r="B116" i="53"/>
  <c r="I115" i="53"/>
  <c r="F115" i="53"/>
  <c r="B115" i="53"/>
  <c r="I114" i="53"/>
  <c r="F114" i="53"/>
  <c r="B114" i="53"/>
  <c r="I113" i="53"/>
  <c r="F113" i="53"/>
  <c r="B113" i="53"/>
  <c r="I112" i="53"/>
  <c r="F112" i="53"/>
  <c r="B112" i="53"/>
  <c r="I111" i="53"/>
  <c r="F111" i="53"/>
  <c r="B111" i="53"/>
  <c r="I110" i="53"/>
  <c r="F110" i="53"/>
  <c r="J110" i="53" s="1"/>
  <c r="B110" i="53"/>
  <c r="I109" i="53"/>
  <c r="F109" i="53"/>
  <c r="B109" i="53"/>
  <c r="I108" i="53"/>
  <c r="F108" i="53"/>
  <c r="J108" i="53" s="1"/>
  <c r="B108" i="53"/>
  <c r="I107" i="53"/>
  <c r="F107" i="53"/>
  <c r="B107" i="53"/>
  <c r="I106" i="53"/>
  <c r="F106" i="53"/>
  <c r="F119" i="53" s="1"/>
  <c r="B106" i="53"/>
  <c r="I105" i="53"/>
  <c r="F105" i="53"/>
  <c r="B105" i="53"/>
  <c r="I104" i="53"/>
  <c r="F104" i="53"/>
  <c r="B104" i="53"/>
  <c r="B103" i="53"/>
  <c r="A98" i="53"/>
  <c r="A99" i="53" s="1"/>
  <c r="A100" i="53" s="1"/>
  <c r="A101" i="53" s="1"/>
  <c r="A102" i="53" s="1"/>
  <c r="A103" i="53" s="1"/>
  <c r="A97" i="53"/>
  <c r="B80" i="53"/>
  <c r="B59" i="53"/>
  <c r="B58" i="53"/>
  <c r="B57" i="53"/>
  <c r="B56" i="53"/>
  <c r="B55" i="53"/>
  <c r="B54" i="53"/>
  <c r="B53" i="53"/>
  <c r="B52" i="53"/>
  <c r="B51" i="53"/>
  <c r="B50" i="53"/>
  <c r="B49" i="53"/>
  <c r="B48" i="53"/>
  <c r="B47" i="53"/>
  <c r="B46" i="53"/>
  <c r="B45" i="53"/>
  <c r="H38" i="53"/>
  <c r="H37" i="53"/>
  <c r="D37" i="53"/>
  <c r="H36" i="53"/>
  <c r="A29" i="53"/>
  <c r="A30" i="53" s="1"/>
  <c r="A31" i="53" s="1"/>
  <c r="A32" i="53" s="1"/>
  <c r="A33" i="53" s="1"/>
  <c r="A34" i="53" s="1"/>
  <c r="G28" i="53"/>
  <c r="F28" i="53"/>
  <c r="E28" i="53"/>
  <c r="J107" i="53" l="1"/>
  <c r="J106" i="53"/>
  <c r="J111" i="53"/>
  <c r="J115" i="53"/>
  <c r="J114" i="53"/>
  <c r="F129" i="53" s="1"/>
  <c r="E38" i="53" s="1"/>
  <c r="F38" i="53" s="1"/>
  <c r="I119" i="53"/>
  <c r="J112" i="53"/>
  <c r="F127" i="53" s="1"/>
  <c r="E36" i="53" s="1"/>
  <c r="F36" i="53" s="1"/>
  <c r="J117" i="53"/>
  <c r="J105" i="53"/>
  <c r="J109" i="53"/>
  <c r="J113" i="53"/>
  <c r="F128" i="53" s="1"/>
  <c r="E37" i="53" s="1"/>
  <c r="F37" i="53" s="1"/>
  <c r="J104" i="53"/>
  <c r="J119" i="53" l="1"/>
  <c r="K107" i="53" l="1"/>
  <c r="C16" i="53" s="1"/>
  <c r="K109" i="53"/>
  <c r="C18" i="53" s="1"/>
  <c r="K110" i="53"/>
  <c r="C19" i="53" s="1"/>
  <c r="K117" i="53"/>
  <c r="C26" i="53" s="1"/>
  <c r="K116" i="53"/>
  <c r="C25" i="53" s="1"/>
  <c r="K111" i="53"/>
  <c r="C20" i="53" s="1"/>
  <c r="K112" i="53"/>
  <c r="C21" i="53" s="1"/>
  <c r="K113" i="53"/>
  <c r="C22" i="53" s="1"/>
  <c r="K105" i="53"/>
  <c r="C13" i="53" s="1"/>
  <c r="K106" i="53"/>
  <c r="C15" i="53" s="1"/>
  <c r="K108" i="53"/>
  <c r="C17" i="53" s="1"/>
  <c r="K115" i="53"/>
  <c r="C24" i="53" s="1"/>
  <c r="K114" i="53"/>
  <c r="C23" i="53" s="1"/>
  <c r="K104" i="53"/>
  <c r="C12" i="53" l="1"/>
  <c r="K119" i="53"/>
  <c r="C28" i="53" l="1"/>
  <c r="E56" i="65" l="1"/>
  <c r="D78" i="49"/>
  <c r="H76" i="49"/>
  <c r="H77" i="49"/>
  <c r="H78" i="49"/>
  <c r="G76" i="49"/>
  <c r="G77" i="49"/>
  <c r="G78" i="49"/>
  <c r="D77" i="49"/>
  <c r="D75" i="49"/>
  <c r="D76" i="49"/>
  <c r="B133" i="65"/>
  <c r="E57" i="65" l="1"/>
  <c r="E58" i="65"/>
  <c r="E59" i="65"/>
  <c r="E60" i="65"/>
  <c r="E61" i="65"/>
  <c r="E62" i="65"/>
  <c r="E63" i="65"/>
  <c r="E64" i="65"/>
  <c r="E65" i="65"/>
  <c r="E66" i="65"/>
  <c r="E67" i="65"/>
  <c r="O34" i="48" l="1"/>
  <c r="O35" i="48"/>
  <c r="O36" i="48"/>
  <c r="A48" i="65"/>
  <c r="A49" i="65"/>
  <c r="A50" i="65"/>
  <c r="A51" i="65" s="1"/>
  <c r="A52" i="65" s="1"/>
  <c r="A53" i="65" s="1"/>
  <c r="A54" i="65" s="1"/>
  <c r="A55" i="65" s="1"/>
  <c r="A56" i="65" s="1"/>
  <c r="A57" i="65" s="1"/>
  <c r="A58" i="65" s="1"/>
  <c r="A59" i="65" s="1"/>
  <c r="A60" i="65" s="1"/>
  <c r="A61" i="65" s="1"/>
  <c r="A62" i="65" s="1"/>
  <c r="A63" i="65" s="1"/>
  <c r="A64" i="65" s="1"/>
  <c r="A65" i="65" s="1"/>
  <c r="A66" i="65" s="1"/>
  <c r="A67" i="65" s="1"/>
  <c r="A68" i="65" s="1"/>
  <c r="A69" i="65" s="1"/>
  <c r="A70" i="65" s="1"/>
  <c r="A71" i="65" s="1"/>
  <c r="A72" i="65" s="1"/>
  <c r="A73" i="65" s="1"/>
  <c r="A74" i="65" s="1"/>
  <c r="A75" i="65" s="1"/>
  <c r="A76" i="65" s="1"/>
  <c r="A77" i="65" s="1"/>
  <c r="A78" i="65" s="1"/>
  <c r="A79" i="65" s="1"/>
  <c r="A80" i="65" s="1"/>
  <c r="A81" i="65" s="1"/>
  <c r="A82" i="65" s="1"/>
  <c r="A83" i="65" s="1"/>
  <c r="A84" i="65" s="1"/>
  <c r="A85" i="65" s="1"/>
  <c r="A86" i="65" s="1"/>
  <c r="A87" i="65" s="1"/>
  <c r="A88" i="65" s="1"/>
  <c r="A89" i="65" s="1"/>
  <c r="A90" i="65" s="1"/>
  <c r="A91" i="65" s="1"/>
  <c r="A92" i="65" s="1"/>
  <c r="A93" i="65" s="1"/>
  <c r="A94" i="65" s="1"/>
  <c r="A95" i="65" s="1"/>
  <c r="A96" i="65" s="1"/>
  <c r="A97" i="65" s="1"/>
  <c r="A98" i="65" s="1"/>
  <c r="A99" i="65" s="1"/>
  <c r="A100" i="65" s="1"/>
  <c r="A101" i="65" s="1"/>
  <c r="A102" i="65" s="1"/>
  <c r="A103" i="65" s="1"/>
  <c r="A104" i="65" s="1"/>
  <c r="A105" i="65" s="1"/>
  <c r="A106" i="65" s="1"/>
  <c r="A107" i="65" s="1"/>
  <c r="A108" i="65" s="1"/>
  <c r="A109" i="65" s="1"/>
  <c r="A110" i="65" s="1"/>
  <c r="A111" i="65" s="1"/>
  <c r="A112" i="65" s="1"/>
  <c r="A113" i="65" s="1"/>
  <c r="A114" i="65" s="1"/>
  <c r="A115" i="65" s="1"/>
  <c r="A116" i="65" s="1"/>
  <c r="A117" i="65" s="1"/>
  <c r="A118" i="65" s="1"/>
  <c r="A119" i="65" s="1"/>
  <c r="A120" i="65" s="1"/>
  <c r="A121" i="65" s="1"/>
  <c r="A122" i="65" s="1"/>
  <c r="H45" i="65"/>
  <c r="H46" i="65"/>
  <c r="H47" i="65"/>
  <c r="A45" i="65"/>
  <c r="A46" i="65"/>
  <c r="A47" i="65"/>
  <c r="N124" i="61" l="1"/>
  <c r="N125" i="61"/>
  <c r="M124" i="61"/>
  <c r="J124" i="61"/>
  <c r="J125" i="61"/>
  <c r="M125" i="61" s="1"/>
  <c r="G124" i="61"/>
  <c r="I124" i="61" s="1"/>
  <c r="G125" i="61"/>
  <c r="I125" i="61" s="1"/>
  <c r="N62" i="61"/>
  <c r="N63" i="61"/>
  <c r="N64" i="61"/>
  <c r="J64" i="61"/>
  <c r="M64" i="61" s="1"/>
  <c r="J63" i="61"/>
  <c r="M63" i="61" s="1"/>
  <c r="J62" i="61"/>
  <c r="M62" i="61" s="1"/>
  <c r="G62" i="61"/>
  <c r="I62" i="61" s="1"/>
  <c r="G63" i="61"/>
  <c r="I63" i="61" s="1"/>
  <c r="G64" i="61"/>
  <c r="I64" i="61" s="1"/>
  <c r="J21" i="61"/>
  <c r="M21" i="61" s="1"/>
  <c r="J22" i="61"/>
  <c r="M22" i="61" s="1"/>
  <c r="J23" i="61"/>
  <c r="M23" i="61" s="1"/>
  <c r="J24" i="61"/>
  <c r="M24" i="61" s="1"/>
  <c r="J25" i="61"/>
  <c r="M25" i="61" s="1"/>
  <c r="G21" i="61"/>
  <c r="I21" i="61" s="1"/>
  <c r="G22" i="61"/>
  <c r="I22" i="61" s="1"/>
  <c r="G23" i="61"/>
  <c r="I23" i="61" s="1"/>
  <c r="G24" i="61"/>
  <c r="I24" i="61" s="1"/>
  <c r="G25" i="61"/>
  <c r="I25" i="61" s="1"/>
  <c r="N21" i="61"/>
  <c r="N22" i="61"/>
  <c r="N23" i="61"/>
  <c r="N24" i="61"/>
  <c r="N25" i="61"/>
  <c r="P97" i="48" l="1"/>
  <c r="P98" i="48"/>
  <c r="P99" i="48"/>
  <c r="G97" i="48"/>
  <c r="H97" i="48" s="1"/>
  <c r="H34" i="48" s="1"/>
  <c r="G98" i="48"/>
  <c r="H98" i="48" s="1"/>
  <c r="H35" i="48" s="1"/>
  <c r="G99" i="48"/>
  <c r="H99" i="48" s="1"/>
  <c r="H36" i="48" s="1"/>
  <c r="A34" i="48"/>
  <c r="A35" i="48"/>
  <c r="A36" i="48"/>
  <c r="A37" i="48" s="1"/>
  <c r="C34" i="48"/>
  <c r="C35" i="48"/>
  <c r="C36" i="48"/>
  <c r="C97" i="48"/>
  <c r="C98" i="48"/>
  <c r="C99" i="48"/>
  <c r="P66" i="48"/>
  <c r="P67" i="48"/>
  <c r="P68" i="48"/>
  <c r="P36" i="48" s="1"/>
  <c r="P35" i="48" l="1"/>
  <c r="P34" i="48"/>
  <c r="I99" i="48"/>
  <c r="I98" i="48"/>
  <c r="I97" i="48"/>
  <c r="J97" i="48" l="1"/>
  <c r="I34" i="48"/>
  <c r="J98" i="48"/>
  <c r="J35" i="48" s="1"/>
  <c r="I35" i="48"/>
  <c r="J99" i="48"/>
  <c r="J36" i="48" s="1"/>
  <c r="I36" i="48"/>
  <c r="J34" i="48" l="1"/>
  <c r="I399" i="49" l="1"/>
  <c r="I400" i="49"/>
  <c r="I401" i="49"/>
  <c r="E399" i="49"/>
  <c r="F399" i="49" s="1"/>
  <c r="E400" i="49"/>
  <c r="F400" i="49" s="1"/>
  <c r="E401" i="49"/>
  <c r="F401" i="49" s="1"/>
  <c r="I366" i="49"/>
  <c r="I367" i="49"/>
  <c r="I368" i="49"/>
  <c r="E366" i="49"/>
  <c r="F366" i="49" s="1"/>
  <c r="E367" i="49"/>
  <c r="F367" i="49" s="1"/>
  <c r="E368" i="49"/>
  <c r="F368" i="49" s="1"/>
  <c r="I335" i="49"/>
  <c r="I336" i="49"/>
  <c r="I337" i="49"/>
  <c r="E335" i="49"/>
  <c r="F335" i="49" s="1"/>
  <c r="E336" i="49"/>
  <c r="F336" i="49" s="1"/>
  <c r="E337" i="49"/>
  <c r="F337" i="49" s="1"/>
  <c r="I302" i="49"/>
  <c r="I303" i="49"/>
  <c r="I304" i="49"/>
  <c r="E302" i="49"/>
  <c r="F302" i="49" s="1"/>
  <c r="E303" i="49"/>
  <c r="F303" i="49" s="1"/>
  <c r="E304" i="49"/>
  <c r="F304" i="49" s="1"/>
  <c r="I271" i="49"/>
  <c r="I272" i="49"/>
  <c r="I273" i="49"/>
  <c r="E271" i="49"/>
  <c r="F271" i="49" s="1"/>
  <c r="E272" i="49"/>
  <c r="F272" i="49" s="1"/>
  <c r="E273" i="49"/>
  <c r="F273" i="49" s="1"/>
  <c r="I238" i="49"/>
  <c r="I239" i="49"/>
  <c r="I240" i="49"/>
  <c r="E238" i="49"/>
  <c r="F238" i="49" s="1"/>
  <c r="E239" i="49"/>
  <c r="F239" i="49" s="1"/>
  <c r="E240" i="49"/>
  <c r="F240" i="49" s="1"/>
  <c r="I207" i="49"/>
  <c r="I208" i="49"/>
  <c r="I209" i="49"/>
  <c r="E207" i="49"/>
  <c r="F207" i="49" s="1"/>
  <c r="E208" i="49"/>
  <c r="F208" i="49" s="1"/>
  <c r="E209" i="49"/>
  <c r="F209" i="49" s="1"/>
  <c r="I174" i="49"/>
  <c r="I175" i="49"/>
  <c r="I176" i="49"/>
  <c r="E174" i="49"/>
  <c r="F174" i="49" s="1"/>
  <c r="E175" i="49"/>
  <c r="F175" i="49" s="1"/>
  <c r="E176" i="49"/>
  <c r="F176" i="49" s="1"/>
  <c r="I145" i="49"/>
  <c r="E145" i="49"/>
  <c r="F145" i="49" s="1"/>
  <c r="I143" i="49"/>
  <c r="I144" i="49"/>
  <c r="E143" i="49"/>
  <c r="F143" i="49" s="1"/>
  <c r="E144" i="49"/>
  <c r="F144" i="49" s="1"/>
  <c r="I110" i="49"/>
  <c r="I111" i="49"/>
  <c r="I112" i="49"/>
  <c r="E110" i="49"/>
  <c r="E111" i="49"/>
  <c r="E112" i="49"/>
  <c r="F66" i="48"/>
  <c r="F34" i="48" s="1"/>
  <c r="F67" i="48"/>
  <c r="F35" i="48" s="1"/>
  <c r="F68" i="48"/>
  <c r="F36" i="48" s="1"/>
  <c r="E66" i="48"/>
  <c r="E34" i="48" s="1"/>
  <c r="E67" i="48"/>
  <c r="E35" i="48" s="1"/>
  <c r="E68" i="48"/>
  <c r="E36" i="48" s="1"/>
  <c r="I76" i="49" l="1"/>
  <c r="G66" i="48" s="1"/>
  <c r="G34" i="48" s="1"/>
  <c r="I78" i="49"/>
  <c r="G68" i="48" s="1"/>
  <c r="G36" i="48" s="1"/>
  <c r="I77" i="49"/>
  <c r="G67" i="48" s="1"/>
  <c r="G35" i="48" s="1"/>
  <c r="F111" i="49"/>
  <c r="F77" i="49" s="1"/>
  <c r="E77" i="49"/>
  <c r="F112" i="49"/>
  <c r="F78" i="49" s="1"/>
  <c r="E78" i="49"/>
  <c r="F110" i="49"/>
  <c r="F76" i="49" s="1"/>
  <c r="E76" i="49"/>
  <c r="D17" i="56"/>
  <c r="D128" i="48" l="1"/>
  <c r="D127" i="48"/>
  <c r="D126" i="48"/>
  <c r="D125" i="48"/>
  <c r="D124" i="48"/>
  <c r="D123" i="48"/>
  <c r="D122" i="48"/>
  <c r="D121" i="48"/>
  <c r="D120" i="48"/>
  <c r="D119" i="48"/>
  <c r="F212" i="61" l="1"/>
  <c r="F73" i="64"/>
  <c r="E73" i="64"/>
  <c r="D73" i="64"/>
  <c r="F68" i="64"/>
  <c r="F67" i="64"/>
  <c r="E68" i="64"/>
  <c r="E67" i="64"/>
  <c r="D68" i="64"/>
  <c r="D67" i="64"/>
  <c r="L27" i="28" l="1"/>
  <c r="B172" i="21" l="1"/>
  <c r="I86" i="64" l="1"/>
  <c r="D24" i="64" l="1"/>
  <c r="L12" i="64"/>
  <c r="L49" i="64" s="1"/>
  <c r="M91" i="21" s="1"/>
  <c r="K12" i="64"/>
  <c r="K49" i="64" s="1"/>
  <c r="L91" i="21" s="1"/>
  <c r="J12" i="64"/>
  <c r="J49" i="64" s="1"/>
  <c r="K91" i="21" s="1"/>
  <c r="I12" i="64"/>
  <c r="I49" i="64" s="1"/>
  <c r="J91" i="21" s="1"/>
  <c r="H12" i="64"/>
  <c r="H49" i="64" s="1"/>
  <c r="I91" i="21" s="1"/>
  <c r="G12" i="64"/>
  <c r="G49" i="64" s="1"/>
  <c r="H91" i="21" s="1"/>
  <c r="F12" i="64"/>
  <c r="F49" i="64" s="1"/>
  <c r="G91" i="21" s="1"/>
  <c r="E12" i="64"/>
  <c r="E49" i="64" s="1"/>
  <c r="F91" i="21" s="1"/>
  <c r="D12" i="64"/>
  <c r="D49" i="64" s="1"/>
  <c r="E91" i="21" s="1"/>
  <c r="C24" i="64"/>
  <c r="C12" i="64"/>
  <c r="C49" i="64" s="1"/>
  <c r="D91" i="21" s="1"/>
  <c r="B98" i="64"/>
  <c r="H85" i="64"/>
  <c r="F69" i="64"/>
  <c r="D69" i="64"/>
  <c r="A44" i="64"/>
  <c r="A45" i="64" s="1"/>
  <c r="A46" i="64" s="1"/>
  <c r="A47" i="64" s="1"/>
  <c r="A48" i="64" s="1"/>
  <c r="A49" i="64" s="1"/>
  <c r="A50" i="64" s="1"/>
  <c r="A51" i="64" s="1"/>
  <c r="A52" i="64" s="1"/>
  <c r="A53" i="64" s="1"/>
  <c r="A54" i="64" s="1"/>
  <c r="A55" i="64" s="1"/>
  <c r="A56" i="64" s="1"/>
  <c r="A57" i="64" s="1"/>
  <c r="A58" i="64" s="1"/>
  <c r="A59" i="64" s="1"/>
  <c r="A60" i="64" s="1"/>
  <c r="A61" i="64" s="1"/>
  <c r="A62" i="64" s="1"/>
  <c r="A13" i="64"/>
  <c r="A14" i="64" s="1"/>
  <c r="A15" i="64" s="1"/>
  <c r="A16" i="64" s="1"/>
  <c r="A17" i="64" s="1"/>
  <c r="A18" i="64" s="1"/>
  <c r="A19" i="64" s="1"/>
  <c r="A20" i="64" s="1"/>
  <c r="A21" i="64" s="1"/>
  <c r="A22" i="64" s="1"/>
  <c r="A23" i="64" s="1"/>
  <c r="A24" i="64" s="1"/>
  <c r="A25" i="64" s="1"/>
  <c r="A26" i="64" s="1"/>
  <c r="A29" i="64" s="1"/>
  <c r="E69" i="64" l="1"/>
  <c r="E78" i="64" s="1"/>
  <c r="D78" i="64"/>
  <c r="F78" i="64"/>
  <c r="M49" i="64"/>
  <c r="A63" i="64"/>
  <c r="A64" i="64" s="1"/>
  <c r="A65" i="64" s="1"/>
  <c r="A66" i="64" s="1"/>
  <c r="A67" i="64" s="1"/>
  <c r="A68" i="64" s="1"/>
  <c r="A69" i="64" s="1"/>
  <c r="G92" i="64"/>
  <c r="G78" i="64" l="1"/>
  <c r="F93" i="64" s="1"/>
  <c r="B99" i="64"/>
  <c r="A70" i="64"/>
  <c r="A71" i="64" s="1"/>
  <c r="A72" i="64" s="1"/>
  <c r="A73" i="64" s="1"/>
  <c r="B100" i="64" l="1"/>
  <c r="A74" i="64"/>
  <c r="A75" i="64" s="1"/>
  <c r="A76" i="64" s="1"/>
  <c r="A77" i="64" s="1"/>
  <c r="A78" i="64" s="1"/>
  <c r="B107" i="64" l="1"/>
  <c r="G93" i="64"/>
  <c r="A79" i="64"/>
  <c r="A80" i="64" s="1"/>
  <c r="A81" i="64" s="1"/>
  <c r="A82" i="64" s="1"/>
  <c r="A83" i="64" s="1"/>
  <c r="A84" i="64" l="1"/>
  <c r="A85" i="64" s="1"/>
  <c r="A86" i="64" l="1"/>
  <c r="A87" i="64" s="1"/>
  <c r="I85" i="64"/>
  <c r="I87" i="64" l="1"/>
  <c r="G94" i="64"/>
  <c r="A88" i="64"/>
  <c r="A89" i="64" s="1"/>
  <c r="A90" i="64" s="1"/>
  <c r="A91" i="64" s="1"/>
  <c r="A92" i="64" s="1"/>
  <c r="A93" i="64" l="1"/>
  <c r="A94" i="64" s="1"/>
  <c r="A95" i="64" s="1"/>
  <c r="I127" i="1" s="1"/>
  <c r="G95" i="64" l="1"/>
  <c r="I17" i="1" l="1"/>
  <c r="J119" i="46" l="1"/>
  <c r="J118" i="46"/>
  <c r="J117" i="46"/>
  <c r="J116" i="46"/>
  <c r="O19" i="48"/>
  <c r="F97" i="8"/>
  <c r="J86" i="8"/>
  <c r="C117" i="48" l="1"/>
  <c r="G74" i="44" l="1"/>
  <c r="G72" i="44"/>
  <c r="H72" i="44"/>
  <c r="A71" i="44"/>
  <c r="A72" i="44" s="1"/>
  <c r="A73" i="44" s="1"/>
  <c r="A74" i="44" s="1"/>
  <c r="H30" i="8" l="1"/>
  <c r="H26" i="8"/>
  <c r="I31" i="1"/>
  <c r="I34" i="1"/>
  <c r="I35" i="1"/>
  <c r="I41" i="79" l="1"/>
  <c r="G41" i="79"/>
  <c r="A37" i="79"/>
  <c r="A38" i="79" s="1"/>
  <c r="A39" i="79" s="1"/>
  <c r="A40" i="79" s="1"/>
  <c r="A41" i="79" s="1"/>
  <c r="A42" i="79" s="1"/>
  <c r="A43" i="79" s="1"/>
  <c r="A44" i="79" s="1"/>
  <c r="A45" i="79" s="1"/>
  <c r="C307" i="15" l="1"/>
  <c r="I284" i="15"/>
  <c r="I172" i="15"/>
  <c r="I138" i="15"/>
  <c r="E19" i="71" l="1"/>
  <c r="E18" i="71"/>
  <c r="D17" i="71"/>
  <c r="D16" i="71"/>
  <c r="D15" i="71"/>
  <c r="D14" i="71"/>
  <c r="D13" i="71"/>
  <c r="D12" i="71"/>
  <c r="D11" i="71"/>
  <c r="D10" i="71"/>
  <c r="D9" i="71"/>
  <c r="D57" i="7" l="1"/>
  <c r="D53" i="7"/>
  <c r="E34" i="11"/>
  <c r="E33" i="11"/>
  <c r="E32" i="11"/>
  <c r="E31" i="11"/>
  <c r="E30" i="11"/>
  <c r="E29" i="11"/>
  <c r="E28" i="11"/>
  <c r="E27" i="11"/>
  <c r="E26" i="11"/>
  <c r="I398" i="49"/>
  <c r="I397" i="49"/>
  <c r="I396" i="49"/>
  <c r="I395" i="49"/>
  <c r="I394" i="49"/>
  <c r="I393" i="49"/>
  <c r="I392" i="49"/>
  <c r="I391" i="49"/>
  <c r="I390" i="49"/>
  <c r="I389" i="49"/>
  <c r="I388" i="49"/>
  <c r="I387" i="49"/>
  <c r="I386" i="49"/>
  <c r="I385" i="49"/>
  <c r="I384" i="49"/>
  <c r="I383" i="49"/>
  <c r="I382" i="49"/>
  <c r="I381" i="49"/>
  <c r="I380" i="49"/>
  <c r="I379" i="49"/>
  <c r="I378" i="49"/>
  <c r="E398" i="49"/>
  <c r="E397" i="49"/>
  <c r="E396" i="49"/>
  <c r="E395" i="49"/>
  <c r="E394" i="49"/>
  <c r="E393" i="49"/>
  <c r="E392" i="49"/>
  <c r="E391" i="49"/>
  <c r="E390" i="49"/>
  <c r="E389" i="49"/>
  <c r="E388" i="49"/>
  <c r="E387" i="49"/>
  <c r="E386" i="49"/>
  <c r="E385" i="49"/>
  <c r="E384" i="49"/>
  <c r="E383" i="49"/>
  <c r="E382" i="49"/>
  <c r="E381" i="49"/>
  <c r="E380" i="49"/>
  <c r="E379" i="49"/>
  <c r="E378" i="49"/>
  <c r="I365" i="49"/>
  <c r="I364" i="49"/>
  <c r="I363" i="49"/>
  <c r="I362" i="49"/>
  <c r="I361" i="49"/>
  <c r="I360" i="49"/>
  <c r="I359" i="49"/>
  <c r="I358" i="49"/>
  <c r="I357" i="49"/>
  <c r="I356" i="49"/>
  <c r="I355" i="49"/>
  <c r="I354" i="49"/>
  <c r="I353" i="49"/>
  <c r="I352" i="49"/>
  <c r="I351" i="49"/>
  <c r="I350" i="49"/>
  <c r="I349" i="49"/>
  <c r="I348" i="49"/>
  <c r="I347" i="49"/>
  <c r="I346" i="49"/>
  <c r="I345" i="49"/>
  <c r="E365" i="49"/>
  <c r="E364" i="49"/>
  <c r="E363" i="49"/>
  <c r="E362" i="49"/>
  <c r="E361" i="49"/>
  <c r="E360" i="49"/>
  <c r="E359" i="49"/>
  <c r="E358" i="49"/>
  <c r="E357" i="49"/>
  <c r="E356" i="49"/>
  <c r="E355" i="49"/>
  <c r="E354" i="49"/>
  <c r="E353" i="49"/>
  <c r="E352" i="49"/>
  <c r="E351" i="49"/>
  <c r="E350" i="49"/>
  <c r="E349" i="49"/>
  <c r="E348" i="49"/>
  <c r="E347" i="49"/>
  <c r="E346" i="49"/>
  <c r="E345" i="49"/>
  <c r="I334" i="49"/>
  <c r="I333" i="49"/>
  <c r="I332" i="49"/>
  <c r="I331" i="49"/>
  <c r="I330" i="49"/>
  <c r="I329" i="49"/>
  <c r="I328" i="49"/>
  <c r="I327" i="49"/>
  <c r="I326" i="49"/>
  <c r="I325" i="49"/>
  <c r="I324" i="49"/>
  <c r="I323" i="49"/>
  <c r="I322" i="49"/>
  <c r="I321" i="49"/>
  <c r="I320" i="49"/>
  <c r="I319" i="49"/>
  <c r="I318" i="49"/>
  <c r="I317" i="49"/>
  <c r="I316" i="49"/>
  <c r="I315" i="49"/>
  <c r="I314" i="49"/>
  <c r="E334" i="49"/>
  <c r="E333" i="49"/>
  <c r="E332" i="49"/>
  <c r="E331" i="49"/>
  <c r="E330" i="49"/>
  <c r="E329" i="49"/>
  <c r="E328" i="49"/>
  <c r="E327" i="49"/>
  <c r="E326" i="49"/>
  <c r="E325" i="49"/>
  <c r="E324" i="49"/>
  <c r="E323" i="49"/>
  <c r="E322" i="49"/>
  <c r="E321" i="49"/>
  <c r="E320" i="49"/>
  <c r="E319" i="49"/>
  <c r="E318" i="49"/>
  <c r="E317" i="49"/>
  <c r="E316" i="49"/>
  <c r="E315" i="49"/>
  <c r="E314" i="49"/>
  <c r="I301" i="49"/>
  <c r="I300" i="49"/>
  <c r="I299" i="49"/>
  <c r="I298" i="49"/>
  <c r="I297" i="49"/>
  <c r="I296" i="49"/>
  <c r="I295" i="49"/>
  <c r="I294" i="49"/>
  <c r="I293" i="49"/>
  <c r="I292" i="49"/>
  <c r="I291" i="49"/>
  <c r="I290" i="49"/>
  <c r="I289" i="49"/>
  <c r="I288" i="49"/>
  <c r="I287" i="49"/>
  <c r="I286" i="49"/>
  <c r="I285" i="49"/>
  <c r="I284" i="49"/>
  <c r="I283" i="49"/>
  <c r="I282" i="49"/>
  <c r="I281" i="49"/>
  <c r="E301" i="49"/>
  <c r="E300" i="49"/>
  <c r="E299" i="49"/>
  <c r="E298" i="49"/>
  <c r="E297" i="49"/>
  <c r="E296" i="49"/>
  <c r="E295" i="49"/>
  <c r="E294" i="49"/>
  <c r="E293" i="49"/>
  <c r="E292" i="49"/>
  <c r="E291" i="49"/>
  <c r="E290" i="49"/>
  <c r="E289" i="49"/>
  <c r="E288" i="49"/>
  <c r="E287" i="49"/>
  <c r="E286" i="49"/>
  <c r="E285" i="49"/>
  <c r="E284" i="49"/>
  <c r="E283" i="49"/>
  <c r="E282" i="49"/>
  <c r="E281" i="49"/>
  <c r="I270" i="49"/>
  <c r="I269" i="49"/>
  <c r="I268" i="49"/>
  <c r="I267" i="49"/>
  <c r="I266" i="49"/>
  <c r="I265" i="49"/>
  <c r="I264" i="49"/>
  <c r="I263" i="49"/>
  <c r="I262" i="49"/>
  <c r="I261" i="49"/>
  <c r="I260" i="49"/>
  <c r="I259" i="49"/>
  <c r="I258" i="49"/>
  <c r="I257" i="49"/>
  <c r="I256" i="49"/>
  <c r="I255" i="49"/>
  <c r="I254" i="49"/>
  <c r="I253" i="49"/>
  <c r="I252" i="49"/>
  <c r="I251" i="49"/>
  <c r="I250" i="49"/>
  <c r="E270" i="49"/>
  <c r="E269" i="49"/>
  <c r="E268" i="49"/>
  <c r="E267" i="49"/>
  <c r="E266" i="49"/>
  <c r="E265" i="49"/>
  <c r="E264" i="49"/>
  <c r="E263" i="49"/>
  <c r="E262" i="49"/>
  <c r="E261" i="49"/>
  <c r="E260" i="49"/>
  <c r="E259" i="49"/>
  <c r="E258" i="49"/>
  <c r="E257" i="49"/>
  <c r="E256" i="49"/>
  <c r="E255" i="49"/>
  <c r="E254" i="49"/>
  <c r="E253" i="49"/>
  <c r="E252" i="49"/>
  <c r="E251" i="49"/>
  <c r="E250" i="49"/>
  <c r="I237" i="49"/>
  <c r="I236" i="49"/>
  <c r="I235" i="49"/>
  <c r="I234" i="49"/>
  <c r="I233" i="49"/>
  <c r="I232" i="49"/>
  <c r="I231" i="49"/>
  <c r="I230" i="49"/>
  <c r="I229" i="49"/>
  <c r="I228" i="49"/>
  <c r="I227" i="49"/>
  <c r="I226" i="49"/>
  <c r="I225" i="49"/>
  <c r="I224" i="49"/>
  <c r="I223" i="49"/>
  <c r="I222" i="49"/>
  <c r="I221" i="49"/>
  <c r="I220" i="49"/>
  <c r="I219" i="49"/>
  <c r="I218" i="49"/>
  <c r="I217" i="49"/>
  <c r="E237" i="49"/>
  <c r="E236" i="49"/>
  <c r="E235" i="49"/>
  <c r="E234" i="49"/>
  <c r="E233" i="49"/>
  <c r="E232" i="49"/>
  <c r="E231" i="49"/>
  <c r="E230" i="49"/>
  <c r="E229" i="49"/>
  <c r="E228" i="49"/>
  <c r="E227" i="49"/>
  <c r="E226" i="49"/>
  <c r="E225" i="49"/>
  <c r="E224" i="49"/>
  <c r="E223" i="49"/>
  <c r="E222" i="49"/>
  <c r="E221" i="49"/>
  <c r="E220" i="49"/>
  <c r="E219" i="49"/>
  <c r="E217" i="49"/>
  <c r="I187" i="49"/>
  <c r="I188" i="49"/>
  <c r="I189" i="49"/>
  <c r="I190" i="49"/>
  <c r="I191" i="49"/>
  <c r="I192" i="49"/>
  <c r="I193" i="49"/>
  <c r="I194" i="49"/>
  <c r="I195" i="49"/>
  <c r="I196" i="49"/>
  <c r="I197" i="49"/>
  <c r="I198" i="49"/>
  <c r="I199" i="49"/>
  <c r="I200" i="49"/>
  <c r="I201" i="49"/>
  <c r="I202" i="49"/>
  <c r="I203" i="49"/>
  <c r="I204" i="49"/>
  <c r="I205" i="49"/>
  <c r="I206" i="49"/>
  <c r="I186" i="49"/>
  <c r="E187" i="49"/>
  <c r="E188" i="49"/>
  <c r="E189" i="49"/>
  <c r="E190" i="49"/>
  <c r="E191" i="49"/>
  <c r="E192" i="49"/>
  <c r="E193" i="49"/>
  <c r="E194" i="49"/>
  <c r="E195" i="49"/>
  <c r="E196" i="49"/>
  <c r="E197" i="49"/>
  <c r="E198" i="49"/>
  <c r="E199" i="49"/>
  <c r="E200" i="49"/>
  <c r="E201" i="49"/>
  <c r="E202" i="49"/>
  <c r="E203" i="49"/>
  <c r="E204" i="49"/>
  <c r="E205" i="49"/>
  <c r="E206" i="49"/>
  <c r="E186" i="49"/>
  <c r="I173" i="49"/>
  <c r="I172" i="49"/>
  <c r="I171" i="49"/>
  <c r="I170" i="49"/>
  <c r="I169" i="49"/>
  <c r="I168" i="49"/>
  <c r="I167" i="49"/>
  <c r="I166" i="49"/>
  <c r="I165" i="49"/>
  <c r="I164" i="49"/>
  <c r="I163" i="49"/>
  <c r="I162" i="49"/>
  <c r="I161" i="49"/>
  <c r="I160" i="49"/>
  <c r="I159" i="49"/>
  <c r="I158" i="49"/>
  <c r="I157" i="49"/>
  <c r="I156" i="49"/>
  <c r="I155" i="49"/>
  <c r="I154" i="49"/>
  <c r="I153" i="49"/>
  <c r="E173" i="49"/>
  <c r="E172" i="49"/>
  <c r="E171" i="49"/>
  <c r="E170" i="49"/>
  <c r="E169" i="49"/>
  <c r="E168" i="49"/>
  <c r="E167" i="49"/>
  <c r="E166" i="49"/>
  <c r="E165" i="49"/>
  <c r="E164" i="49"/>
  <c r="E163" i="49"/>
  <c r="E162" i="49"/>
  <c r="E161" i="49"/>
  <c r="E160" i="49"/>
  <c r="E159" i="49"/>
  <c r="E158" i="49"/>
  <c r="E157" i="49"/>
  <c r="E156" i="49"/>
  <c r="E155" i="49"/>
  <c r="E154" i="49"/>
  <c r="E153" i="49"/>
  <c r="I142" i="49"/>
  <c r="I141" i="49"/>
  <c r="I140" i="49"/>
  <c r="I139" i="49"/>
  <c r="I138" i="49"/>
  <c r="I137" i="49"/>
  <c r="I136" i="49"/>
  <c r="I135" i="49"/>
  <c r="I134" i="49"/>
  <c r="I133" i="49"/>
  <c r="I132" i="49"/>
  <c r="I131" i="49"/>
  <c r="I130" i="49"/>
  <c r="I129" i="49"/>
  <c r="I128" i="49"/>
  <c r="I127" i="49"/>
  <c r="I126" i="49"/>
  <c r="I125" i="49"/>
  <c r="I124" i="49"/>
  <c r="I123" i="49"/>
  <c r="I122" i="49"/>
  <c r="E142" i="49"/>
  <c r="E141" i="49"/>
  <c r="E140" i="49"/>
  <c r="E139" i="49"/>
  <c r="E138" i="49"/>
  <c r="E137" i="49"/>
  <c r="E136" i="49"/>
  <c r="E135" i="49"/>
  <c r="E134" i="49"/>
  <c r="E133" i="49"/>
  <c r="E132" i="49"/>
  <c r="E131" i="49"/>
  <c r="E130" i="49"/>
  <c r="E129" i="49"/>
  <c r="E128" i="49"/>
  <c r="E127" i="49"/>
  <c r="E126" i="49"/>
  <c r="E125" i="49"/>
  <c r="E124" i="49"/>
  <c r="E123" i="49"/>
  <c r="E122" i="49"/>
  <c r="I109" i="49"/>
  <c r="I108" i="49"/>
  <c r="I107" i="49"/>
  <c r="I106" i="49"/>
  <c r="I105" i="49"/>
  <c r="I104" i="49"/>
  <c r="I103" i="49"/>
  <c r="I102" i="49"/>
  <c r="I101" i="49"/>
  <c r="I100" i="49"/>
  <c r="I99" i="49"/>
  <c r="I98" i="49"/>
  <c r="I97" i="49"/>
  <c r="I96" i="49"/>
  <c r="I95" i="49"/>
  <c r="I94" i="49"/>
  <c r="I93" i="49"/>
  <c r="I92" i="49"/>
  <c r="I91" i="49"/>
  <c r="I90" i="49"/>
  <c r="I89" i="49"/>
  <c r="E109" i="49"/>
  <c r="E108" i="49"/>
  <c r="E107" i="49"/>
  <c r="E106" i="49"/>
  <c r="E105" i="49"/>
  <c r="E104" i="49"/>
  <c r="E103" i="49"/>
  <c r="E102" i="49"/>
  <c r="E101" i="49"/>
  <c r="E100" i="49"/>
  <c r="E99" i="49"/>
  <c r="E98" i="49"/>
  <c r="E97" i="49"/>
  <c r="E96" i="49"/>
  <c r="E95" i="49"/>
  <c r="E94" i="49"/>
  <c r="E93" i="49"/>
  <c r="E92" i="49"/>
  <c r="E91" i="49"/>
  <c r="E90" i="49"/>
  <c r="E89" i="49"/>
  <c r="E75" i="49" l="1"/>
  <c r="C120" i="48"/>
  <c r="C119" i="48"/>
  <c r="C131" i="48"/>
  <c r="P52" i="48"/>
  <c r="G76" i="48"/>
  <c r="H76" i="48" s="1"/>
  <c r="H13" i="48" s="1"/>
  <c r="C96" i="48"/>
  <c r="C95" i="48"/>
  <c r="C94" i="48"/>
  <c r="C93" i="48"/>
  <c r="O29" i="48"/>
  <c r="C92" i="48"/>
  <c r="C91" i="48"/>
  <c r="O27" i="48"/>
  <c r="C90" i="48"/>
  <c r="O26" i="48"/>
  <c r="C89" i="48"/>
  <c r="O25" i="48"/>
  <c r="C88" i="48"/>
  <c r="O24" i="48"/>
  <c r="C87" i="48"/>
  <c r="O23" i="48"/>
  <c r="C86" i="48"/>
  <c r="C85" i="48"/>
  <c r="O21" i="48"/>
  <c r="C84" i="48"/>
  <c r="C83" i="48"/>
  <c r="C82" i="48"/>
  <c r="O18" i="48"/>
  <c r="C81" i="48"/>
  <c r="O17" i="48"/>
  <c r="C80" i="48"/>
  <c r="C79" i="48"/>
  <c r="C78" i="48"/>
  <c r="C77" i="48"/>
  <c r="O13" i="48"/>
  <c r="M76" i="48"/>
  <c r="C76" i="48"/>
  <c r="P75" i="48"/>
  <c r="O75" i="48"/>
  <c r="N75" i="48"/>
  <c r="M75" i="48"/>
  <c r="L75" i="48"/>
  <c r="K75" i="48"/>
  <c r="J75" i="48"/>
  <c r="I75" i="48"/>
  <c r="H75" i="48"/>
  <c r="D75" i="48"/>
  <c r="C75" i="48"/>
  <c r="P74" i="48"/>
  <c r="O74" i="48"/>
  <c r="M74" i="48"/>
  <c r="L74" i="48"/>
  <c r="K74" i="48"/>
  <c r="I74" i="48"/>
  <c r="H74" i="48"/>
  <c r="C74" i="48"/>
  <c r="P73" i="48"/>
  <c r="O73" i="48"/>
  <c r="I73" i="48"/>
  <c r="C73" i="48"/>
  <c r="N72" i="48"/>
  <c r="I72" i="48"/>
  <c r="M45" i="48"/>
  <c r="P44" i="48"/>
  <c r="O44" i="48"/>
  <c r="N44" i="48"/>
  <c r="M44" i="48"/>
  <c r="L44" i="48"/>
  <c r="K44" i="48"/>
  <c r="J44" i="48"/>
  <c r="I44" i="48"/>
  <c r="H44" i="48"/>
  <c r="D44" i="48"/>
  <c r="C44" i="48"/>
  <c r="P43" i="48"/>
  <c r="O43" i="48"/>
  <c r="L43" i="48"/>
  <c r="K43" i="48"/>
  <c r="I43" i="48"/>
  <c r="H43" i="48"/>
  <c r="C43" i="48"/>
  <c r="P42" i="48"/>
  <c r="O42" i="48"/>
  <c r="I42" i="48"/>
  <c r="C42" i="48"/>
  <c r="O33" i="48"/>
  <c r="C33" i="48"/>
  <c r="C32" i="48"/>
  <c r="O31" i="48"/>
  <c r="C31" i="48"/>
  <c r="C30" i="48"/>
  <c r="C29" i="48"/>
  <c r="C28" i="48"/>
  <c r="C27" i="48"/>
  <c r="C26" i="48"/>
  <c r="C25" i="48"/>
  <c r="C24" i="48"/>
  <c r="C23" i="48"/>
  <c r="C22" i="48"/>
  <c r="C21" i="48"/>
  <c r="C20" i="48"/>
  <c r="C19" i="48"/>
  <c r="C18" i="48"/>
  <c r="C17" i="48"/>
  <c r="C16" i="48"/>
  <c r="C15" i="48"/>
  <c r="C14" i="48"/>
  <c r="A14" i="48"/>
  <c r="A15" i="48" s="1"/>
  <c r="A16" i="48" s="1"/>
  <c r="A17" i="48" s="1"/>
  <c r="A18" i="48" s="1"/>
  <c r="A19" i="48" s="1"/>
  <c r="A20" i="48" s="1"/>
  <c r="A21" i="48" s="1"/>
  <c r="A22" i="48" s="1"/>
  <c r="A23" i="48" s="1"/>
  <c r="A24" i="48" s="1"/>
  <c r="A25" i="48" s="1"/>
  <c r="A26" i="48" s="1"/>
  <c r="A27" i="48" s="1"/>
  <c r="A28" i="48" s="1"/>
  <c r="A29" i="48" s="1"/>
  <c r="A30" i="48" s="1"/>
  <c r="A31" i="48" s="1"/>
  <c r="A32" i="48" s="1"/>
  <c r="A33" i="48" s="1"/>
  <c r="L13" i="48"/>
  <c r="C13" i="48"/>
  <c r="G75" i="48"/>
  <c r="E75" i="48"/>
  <c r="G74" i="48"/>
  <c r="F43" i="48"/>
  <c r="E73" i="48"/>
  <c r="F398" i="49"/>
  <c r="F397" i="49"/>
  <c r="F396" i="49"/>
  <c r="F395" i="49"/>
  <c r="F394" i="49"/>
  <c r="F393" i="49"/>
  <c r="F392" i="49"/>
  <c r="F391" i="49"/>
  <c r="F390" i="49"/>
  <c r="F389" i="49"/>
  <c r="F388" i="49"/>
  <c r="F387" i="49"/>
  <c r="F386" i="49"/>
  <c r="F385" i="49"/>
  <c r="F384" i="49"/>
  <c r="F383" i="49"/>
  <c r="F382" i="49"/>
  <c r="F381" i="49"/>
  <c r="F380" i="49"/>
  <c r="F379" i="49"/>
  <c r="F378" i="49"/>
  <c r="J378" i="49" s="1"/>
  <c r="K376" i="49"/>
  <c r="J376" i="49"/>
  <c r="I376" i="49"/>
  <c r="H376" i="49"/>
  <c r="G376" i="49"/>
  <c r="F376" i="49"/>
  <c r="E376" i="49"/>
  <c r="D376" i="49"/>
  <c r="K375" i="49"/>
  <c r="J375" i="49"/>
  <c r="I375" i="49"/>
  <c r="H375" i="49"/>
  <c r="G375" i="49"/>
  <c r="F375" i="49"/>
  <c r="E375" i="49"/>
  <c r="D375" i="49"/>
  <c r="G374" i="49"/>
  <c r="F365" i="49"/>
  <c r="F364" i="49"/>
  <c r="F363" i="49"/>
  <c r="F362" i="49"/>
  <c r="F361" i="49"/>
  <c r="F360" i="49"/>
  <c r="F359" i="49"/>
  <c r="F358" i="49"/>
  <c r="F357" i="49"/>
  <c r="F356" i="49"/>
  <c r="F355" i="49"/>
  <c r="F354" i="49"/>
  <c r="F353" i="49"/>
  <c r="F352" i="49"/>
  <c r="F351" i="49"/>
  <c r="F350" i="49"/>
  <c r="F349" i="49"/>
  <c r="F348" i="49"/>
  <c r="F347" i="49"/>
  <c r="F346" i="49"/>
  <c r="F345" i="49"/>
  <c r="J344" i="49"/>
  <c r="K343" i="49"/>
  <c r="J343" i="49"/>
  <c r="I343" i="49"/>
  <c r="H343" i="49"/>
  <c r="G343" i="49"/>
  <c r="F343" i="49"/>
  <c r="E343" i="49"/>
  <c r="D343" i="49"/>
  <c r="K342" i="49"/>
  <c r="J342" i="49"/>
  <c r="I342" i="49"/>
  <c r="H342" i="49"/>
  <c r="G342" i="49"/>
  <c r="F342" i="49"/>
  <c r="E342" i="49"/>
  <c r="D342" i="49"/>
  <c r="G341" i="49"/>
  <c r="F334" i="49"/>
  <c r="F333" i="49"/>
  <c r="F332" i="49"/>
  <c r="F331" i="49"/>
  <c r="F330" i="49"/>
  <c r="F329" i="49"/>
  <c r="F328" i="49"/>
  <c r="F327" i="49"/>
  <c r="F326" i="49"/>
  <c r="F325" i="49"/>
  <c r="F324" i="49"/>
  <c r="F323" i="49"/>
  <c r="F322" i="49"/>
  <c r="F321" i="49"/>
  <c r="F320" i="49"/>
  <c r="F319" i="49"/>
  <c r="F318" i="49"/>
  <c r="F317" i="49"/>
  <c r="F316" i="49"/>
  <c r="F315" i="49"/>
  <c r="F314" i="49"/>
  <c r="J313" i="49"/>
  <c r="K312" i="49"/>
  <c r="J312" i="49"/>
  <c r="I312" i="49"/>
  <c r="H312" i="49"/>
  <c r="G312" i="49"/>
  <c r="F312" i="49"/>
  <c r="E312" i="49"/>
  <c r="D312" i="49"/>
  <c r="K311" i="49"/>
  <c r="J311" i="49"/>
  <c r="I311" i="49"/>
  <c r="H311" i="49"/>
  <c r="G311" i="49"/>
  <c r="F311" i="49"/>
  <c r="E311" i="49"/>
  <c r="D311" i="49"/>
  <c r="G310" i="49"/>
  <c r="F301" i="49"/>
  <c r="F300" i="49"/>
  <c r="F299" i="49"/>
  <c r="F298" i="49"/>
  <c r="F297" i="49"/>
  <c r="I70" i="49"/>
  <c r="G60" i="48" s="1"/>
  <c r="F296" i="49"/>
  <c r="F295" i="49"/>
  <c r="F294" i="49"/>
  <c r="F293" i="49"/>
  <c r="F292" i="49"/>
  <c r="F291" i="49"/>
  <c r="F290" i="49"/>
  <c r="F289" i="49"/>
  <c r="F288" i="49"/>
  <c r="F287" i="49"/>
  <c r="F286" i="49"/>
  <c r="F285" i="49"/>
  <c r="F284" i="49"/>
  <c r="F283" i="49"/>
  <c r="F282" i="49"/>
  <c r="F281" i="49"/>
  <c r="J280" i="49"/>
  <c r="K279" i="49"/>
  <c r="J279" i="49"/>
  <c r="I279" i="49"/>
  <c r="H279" i="49"/>
  <c r="G279" i="49"/>
  <c r="F279" i="49"/>
  <c r="E279" i="49"/>
  <c r="D279" i="49"/>
  <c r="K278" i="49"/>
  <c r="J278" i="49"/>
  <c r="I278" i="49"/>
  <c r="H278" i="49"/>
  <c r="G278" i="49"/>
  <c r="F278" i="49"/>
  <c r="E278" i="49"/>
  <c r="D278" i="49"/>
  <c r="G277" i="49"/>
  <c r="F269" i="49"/>
  <c r="F268" i="49"/>
  <c r="F267" i="49"/>
  <c r="F266" i="49"/>
  <c r="F265" i="49"/>
  <c r="F264" i="49"/>
  <c r="F263" i="49"/>
  <c r="F262" i="49"/>
  <c r="F261" i="49"/>
  <c r="F260" i="49"/>
  <c r="F259" i="49"/>
  <c r="F258" i="49"/>
  <c r="F257" i="49"/>
  <c r="F256" i="49"/>
  <c r="F255" i="49"/>
  <c r="F254" i="49"/>
  <c r="E58" i="49"/>
  <c r="F252" i="49"/>
  <c r="F251" i="49"/>
  <c r="F250" i="49"/>
  <c r="J249" i="49"/>
  <c r="K248" i="49"/>
  <c r="J248" i="49"/>
  <c r="I248" i="49"/>
  <c r="H248" i="49"/>
  <c r="F248" i="49"/>
  <c r="E248" i="49"/>
  <c r="D248" i="49"/>
  <c r="K247" i="49"/>
  <c r="J247" i="49"/>
  <c r="I247" i="49"/>
  <c r="H247" i="49"/>
  <c r="F247" i="49"/>
  <c r="E247" i="49"/>
  <c r="D247" i="49"/>
  <c r="F237" i="49"/>
  <c r="F236" i="49"/>
  <c r="F235" i="49"/>
  <c r="F234" i="49"/>
  <c r="F233" i="49"/>
  <c r="F232" i="49"/>
  <c r="F231" i="49"/>
  <c r="F230" i="49"/>
  <c r="F229" i="49"/>
  <c r="F228" i="49"/>
  <c r="F227" i="49"/>
  <c r="F226" i="49"/>
  <c r="F225" i="49"/>
  <c r="F224" i="49"/>
  <c r="F223" i="49"/>
  <c r="F222" i="49"/>
  <c r="F221" i="49"/>
  <c r="F220" i="49"/>
  <c r="F219" i="49"/>
  <c r="F218" i="49"/>
  <c r="F217" i="49"/>
  <c r="J216" i="49"/>
  <c r="K215" i="49"/>
  <c r="J215" i="49"/>
  <c r="I215" i="49"/>
  <c r="H215" i="49"/>
  <c r="G215" i="49"/>
  <c r="F215" i="49"/>
  <c r="E215" i="49"/>
  <c r="D215" i="49"/>
  <c r="K214" i="49"/>
  <c r="J214" i="49"/>
  <c r="I214" i="49"/>
  <c r="H214" i="49"/>
  <c r="G214" i="49"/>
  <c r="F214" i="49"/>
  <c r="E214" i="49"/>
  <c r="D214" i="49"/>
  <c r="G213" i="49"/>
  <c r="F206" i="49"/>
  <c r="F205" i="49"/>
  <c r="F204" i="49"/>
  <c r="F203" i="49"/>
  <c r="F202" i="49"/>
  <c r="F201" i="49"/>
  <c r="F200" i="49"/>
  <c r="F199" i="49"/>
  <c r="F198" i="49"/>
  <c r="E66" i="49"/>
  <c r="F196" i="49"/>
  <c r="F195" i="49"/>
  <c r="F194" i="49"/>
  <c r="I62" i="49"/>
  <c r="G52" i="48" s="1"/>
  <c r="F193" i="49"/>
  <c r="F192" i="49"/>
  <c r="F191" i="49"/>
  <c r="F190" i="49"/>
  <c r="F189" i="49"/>
  <c r="F188" i="49"/>
  <c r="F187" i="49"/>
  <c r="F186" i="49"/>
  <c r="J185" i="49"/>
  <c r="K184" i="49"/>
  <c r="J184" i="49"/>
  <c r="I184" i="49"/>
  <c r="H184" i="49"/>
  <c r="G184" i="49"/>
  <c r="F184" i="49"/>
  <c r="E184" i="49"/>
  <c r="D184" i="49"/>
  <c r="K183" i="49"/>
  <c r="J183" i="49"/>
  <c r="I183" i="49"/>
  <c r="H183" i="49"/>
  <c r="G183" i="49"/>
  <c r="F183" i="49"/>
  <c r="E183" i="49"/>
  <c r="D183" i="49"/>
  <c r="G182" i="49"/>
  <c r="F173" i="49"/>
  <c r="F172" i="49"/>
  <c r="F171" i="49"/>
  <c r="F170" i="49"/>
  <c r="F169" i="49"/>
  <c r="F168" i="49"/>
  <c r="F167" i="49"/>
  <c r="F166" i="49"/>
  <c r="F165" i="49"/>
  <c r="F164" i="49"/>
  <c r="F163" i="49"/>
  <c r="F162" i="49"/>
  <c r="F161" i="49"/>
  <c r="F160" i="49"/>
  <c r="F159" i="49"/>
  <c r="F158" i="49"/>
  <c r="F157" i="49"/>
  <c r="F156" i="49"/>
  <c r="F155" i="49"/>
  <c r="F154" i="49"/>
  <c r="F153" i="49"/>
  <c r="J152" i="49"/>
  <c r="K151" i="49"/>
  <c r="J151" i="49"/>
  <c r="I151" i="49"/>
  <c r="H151" i="49"/>
  <c r="G151" i="49"/>
  <c r="F151" i="49"/>
  <c r="E151" i="49"/>
  <c r="D151" i="49"/>
  <c r="K150" i="49"/>
  <c r="J150" i="49"/>
  <c r="I150" i="49"/>
  <c r="H150" i="49"/>
  <c r="G150" i="49"/>
  <c r="F150" i="49"/>
  <c r="E150" i="49"/>
  <c r="D150" i="49"/>
  <c r="G149" i="49"/>
  <c r="F142" i="49"/>
  <c r="F141" i="49"/>
  <c r="F140" i="49"/>
  <c r="F139" i="49"/>
  <c r="F138" i="49"/>
  <c r="F137" i="49"/>
  <c r="F136" i="49"/>
  <c r="I68" i="49"/>
  <c r="G58" i="48" s="1"/>
  <c r="F135" i="49"/>
  <c r="F134" i="49"/>
  <c r="F133" i="49"/>
  <c r="F132" i="49"/>
  <c r="I64" i="49"/>
  <c r="G54" i="48" s="1"/>
  <c r="F131" i="49"/>
  <c r="F130" i="49"/>
  <c r="F129" i="49"/>
  <c r="F128" i="49"/>
  <c r="F127" i="49"/>
  <c r="F126" i="49"/>
  <c r="F125" i="49"/>
  <c r="F124" i="49"/>
  <c r="F123" i="49"/>
  <c r="F122" i="49"/>
  <c r="J121" i="49"/>
  <c r="K120" i="49"/>
  <c r="J120" i="49"/>
  <c r="I120" i="49"/>
  <c r="H120" i="49"/>
  <c r="G120" i="49"/>
  <c r="F120" i="49"/>
  <c r="E120" i="49"/>
  <c r="D120" i="49"/>
  <c r="K119" i="49"/>
  <c r="J119" i="49"/>
  <c r="I119" i="49"/>
  <c r="H119" i="49"/>
  <c r="G119" i="49"/>
  <c r="F119" i="49"/>
  <c r="E119" i="49"/>
  <c r="D119" i="49"/>
  <c r="G118" i="49"/>
  <c r="F109" i="49"/>
  <c r="F108" i="49"/>
  <c r="I73" i="49"/>
  <c r="G63" i="48" s="1"/>
  <c r="F106" i="49"/>
  <c r="F105" i="49"/>
  <c r="F104" i="49"/>
  <c r="F103" i="49"/>
  <c r="F102" i="49"/>
  <c r="F101" i="49"/>
  <c r="F100" i="49"/>
  <c r="I65" i="49"/>
  <c r="G55" i="48" s="1"/>
  <c r="E65" i="49"/>
  <c r="F98" i="49"/>
  <c r="I63" i="49"/>
  <c r="G53" i="48" s="1"/>
  <c r="F97" i="49"/>
  <c r="F96" i="49"/>
  <c r="F95" i="49"/>
  <c r="F94" i="49"/>
  <c r="F93" i="49"/>
  <c r="F92" i="49"/>
  <c r="I57" i="49"/>
  <c r="G47" i="48" s="1"/>
  <c r="F91" i="49"/>
  <c r="F90" i="49"/>
  <c r="F89" i="49"/>
  <c r="J88" i="49"/>
  <c r="K87" i="49"/>
  <c r="J87" i="49"/>
  <c r="I87" i="49"/>
  <c r="H87" i="49"/>
  <c r="G87" i="49"/>
  <c r="F87" i="49"/>
  <c r="E87" i="49"/>
  <c r="D87" i="49"/>
  <c r="K86" i="49"/>
  <c r="J86" i="49"/>
  <c r="I86" i="49"/>
  <c r="H86" i="49"/>
  <c r="G86" i="49"/>
  <c r="F86" i="49"/>
  <c r="E86" i="49"/>
  <c r="D86" i="49"/>
  <c r="G85" i="49"/>
  <c r="H75" i="49"/>
  <c r="F65" i="48" s="1"/>
  <c r="F33" i="48" s="1"/>
  <c r="G75" i="49"/>
  <c r="E65" i="48" s="1"/>
  <c r="E33" i="48" s="1"/>
  <c r="I74" i="49"/>
  <c r="G64" i="48" s="1"/>
  <c r="H74" i="49"/>
  <c r="F64" i="48" s="1"/>
  <c r="F32" i="48" s="1"/>
  <c r="G74" i="49"/>
  <c r="E64" i="48" s="1"/>
  <c r="E32" i="48" s="1"/>
  <c r="E74" i="49"/>
  <c r="D74" i="49"/>
  <c r="H73" i="49"/>
  <c r="F63" i="48" s="1"/>
  <c r="F31" i="48" s="1"/>
  <c r="G73" i="49"/>
  <c r="E63" i="48" s="1"/>
  <c r="E31" i="48" s="1"/>
  <c r="D73" i="49"/>
  <c r="I72" i="49"/>
  <c r="G62" i="48" s="1"/>
  <c r="H72" i="49"/>
  <c r="F62" i="48" s="1"/>
  <c r="F30" i="48" s="1"/>
  <c r="G72" i="49"/>
  <c r="E62" i="48" s="1"/>
  <c r="E30" i="48" s="1"/>
  <c r="D72" i="49"/>
  <c r="H71" i="49"/>
  <c r="F61" i="48" s="1"/>
  <c r="F29" i="48" s="1"/>
  <c r="G71" i="49"/>
  <c r="E61" i="48" s="1"/>
  <c r="E29" i="48" s="1"/>
  <c r="E71" i="49"/>
  <c r="D71" i="49"/>
  <c r="H70" i="49"/>
  <c r="F60" i="48" s="1"/>
  <c r="F28" i="48" s="1"/>
  <c r="G70" i="49"/>
  <c r="E60" i="48" s="1"/>
  <c r="E28" i="48" s="1"/>
  <c r="E70" i="49"/>
  <c r="D70" i="49"/>
  <c r="I69" i="49"/>
  <c r="G59" i="48" s="1"/>
  <c r="H69" i="49"/>
  <c r="F59" i="48" s="1"/>
  <c r="F27" i="48" s="1"/>
  <c r="G69" i="49"/>
  <c r="E59" i="48" s="1"/>
  <c r="E27" i="48" s="1"/>
  <c r="D69" i="49"/>
  <c r="H68" i="49"/>
  <c r="F58" i="48" s="1"/>
  <c r="F26" i="48" s="1"/>
  <c r="G68" i="49"/>
  <c r="E58" i="48" s="1"/>
  <c r="E26" i="48" s="1"/>
  <c r="E68" i="49"/>
  <c r="D68" i="49"/>
  <c r="H67" i="49"/>
  <c r="F57" i="48" s="1"/>
  <c r="F25" i="48" s="1"/>
  <c r="G67" i="49"/>
  <c r="E57" i="48" s="1"/>
  <c r="E25" i="48" s="1"/>
  <c r="D67" i="49"/>
  <c r="I66" i="49"/>
  <c r="G56" i="48" s="1"/>
  <c r="H66" i="49"/>
  <c r="F56" i="48" s="1"/>
  <c r="F24" i="48" s="1"/>
  <c r="G66" i="49"/>
  <c r="E56" i="48" s="1"/>
  <c r="E24" i="48" s="1"/>
  <c r="D66" i="49"/>
  <c r="H65" i="49"/>
  <c r="F55" i="48" s="1"/>
  <c r="F23" i="48" s="1"/>
  <c r="G65" i="49"/>
  <c r="E55" i="48" s="1"/>
  <c r="E23" i="48" s="1"/>
  <c r="D65" i="49"/>
  <c r="H64" i="49"/>
  <c r="F54" i="48" s="1"/>
  <c r="F22" i="48" s="1"/>
  <c r="G64" i="49"/>
  <c r="E54" i="48" s="1"/>
  <c r="E22" i="48" s="1"/>
  <c r="E64" i="49"/>
  <c r="D64" i="49"/>
  <c r="H63" i="49"/>
  <c r="F53" i="48" s="1"/>
  <c r="F21" i="48" s="1"/>
  <c r="G63" i="49"/>
  <c r="E53" i="48" s="1"/>
  <c r="E21" i="48" s="1"/>
  <c r="E63" i="49"/>
  <c r="D63" i="49"/>
  <c r="H62" i="49"/>
  <c r="F52" i="48" s="1"/>
  <c r="F20" i="48" s="1"/>
  <c r="G62" i="49"/>
  <c r="E52" i="48" s="1"/>
  <c r="E20" i="48" s="1"/>
  <c r="E62" i="49"/>
  <c r="D62" i="49"/>
  <c r="I61" i="49"/>
  <c r="G51" i="48" s="1"/>
  <c r="H61" i="49"/>
  <c r="F51" i="48" s="1"/>
  <c r="F19" i="48" s="1"/>
  <c r="G61" i="49"/>
  <c r="E51" i="48" s="1"/>
  <c r="E19" i="48" s="1"/>
  <c r="D61" i="49"/>
  <c r="I60" i="49"/>
  <c r="G50" i="48" s="1"/>
  <c r="H60" i="49"/>
  <c r="F50" i="48" s="1"/>
  <c r="F18" i="48" s="1"/>
  <c r="G60" i="49"/>
  <c r="E50" i="48" s="1"/>
  <c r="E18" i="48" s="1"/>
  <c r="D60" i="49"/>
  <c r="H59" i="49"/>
  <c r="F49" i="48" s="1"/>
  <c r="F17" i="48" s="1"/>
  <c r="G59" i="49"/>
  <c r="E49" i="48" s="1"/>
  <c r="E17" i="48" s="1"/>
  <c r="D59" i="49"/>
  <c r="I58" i="49"/>
  <c r="G48" i="48" s="1"/>
  <c r="H58" i="49"/>
  <c r="F48" i="48" s="1"/>
  <c r="F16" i="48" s="1"/>
  <c r="G58" i="49"/>
  <c r="E48" i="48" s="1"/>
  <c r="E16" i="48" s="1"/>
  <c r="D58" i="49"/>
  <c r="H57" i="49"/>
  <c r="F47" i="48" s="1"/>
  <c r="F15" i="48" s="1"/>
  <c r="G57" i="49"/>
  <c r="E47" i="48" s="1"/>
  <c r="E15" i="48" s="1"/>
  <c r="D57" i="49"/>
  <c r="I56" i="49"/>
  <c r="G46" i="48" s="1"/>
  <c r="H56" i="49"/>
  <c r="F46" i="48" s="1"/>
  <c r="F14" i="48" s="1"/>
  <c r="G56" i="49"/>
  <c r="E46" i="48" s="1"/>
  <c r="E14" i="48" s="1"/>
  <c r="E56" i="49"/>
  <c r="D56" i="49"/>
  <c r="H55" i="49"/>
  <c r="F45" i="48" s="1"/>
  <c r="F13" i="48" s="1"/>
  <c r="G55" i="49"/>
  <c r="E45" i="48" s="1"/>
  <c r="D55" i="49"/>
  <c r="G46" i="49"/>
  <c r="F46" i="49"/>
  <c r="E46" i="49"/>
  <c r="D46" i="49"/>
  <c r="I26" i="49"/>
  <c r="H26" i="49"/>
  <c r="G26" i="49"/>
  <c r="F26" i="49"/>
  <c r="E26" i="49"/>
  <c r="D25" i="49"/>
  <c r="D24" i="49"/>
  <c r="D23" i="49"/>
  <c r="D22" i="49"/>
  <c r="D21" i="49"/>
  <c r="D20" i="49"/>
  <c r="D19" i="49"/>
  <c r="D18" i="49"/>
  <c r="D17" i="49"/>
  <c r="D16" i="49"/>
  <c r="D15" i="49"/>
  <c r="D14" i="49"/>
  <c r="A14" i="49"/>
  <c r="A15" i="49" s="1"/>
  <c r="A16" i="49" s="1"/>
  <c r="A17" i="49" s="1"/>
  <c r="A18" i="49" s="1"/>
  <c r="A19" i="49" s="1"/>
  <c r="A20" i="49" s="1"/>
  <c r="A21" i="49" s="1"/>
  <c r="A22" i="49" s="1"/>
  <c r="A23" i="49" s="1"/>
  <c r="A24" i="49" s="1"/>
  <c r="A25" i="49" s="1"/>
  <c r="D13" i="49"/>
  <c r="A45" i="48" l="1"/>
  <c r="A46" i="48" s="1"/>
  <c r="A47" i="48" s="1"/>
  <c r="A48" i="48" s="1"/>
  <c r="A49" i="48" s="1"/>
  <c r="A50" i="48" s="1"/>
  <c r="A51" i="48" s="1"/>
  <c r="A52" i="48" s="1"/>
  <c r="A53" i="48" s="1"/>
  <c r="A54" i="48" s="1"/>
  <c r="A55" i="48" s="1"/>
  <c r="A56" i="48" s="1"/>
  <c r="A57" i="48" s="1"/>
  <c r="A58" i="48" s="1"/>
  <c r="A59" i="48" s="1"/>
  <c r="A60" i="48" s="1"/>
  <c r="A61" i="48" s="1"/>
  <c r="A62" i="48" s="1"/>
  <c r="A63" i="48" s="1"/>
  <c r="A64" i="48" s="1"/>
  <c r="A65" i="48" s="1"/>
  <c r="G41" i="57"/>
  <c r="E78" i="7"/>
  <c r="J281" i="49"/>
  <c r="K281" i="49" s="1"/>
  <c r="J89" i="49"/>
  <c r="K89" i="49" s="1"/>
  <c r="J122" i="49"/>
  <c r="K122" i="49" s="1"/>
  <c r="A26" i="49"/>
  <c r="A33" i="49" s="1"/>
  <c r="A34" i="49" s="1"/>
  <c r="A35" i="49" s="1"/>
  <c r="A36" i="49" s="1"/>
  <c r="A37" i="49" s="1"/>
  <c r="A38" i="49" s="1"/>
  <c r="A39" i="49" s="1"/>
  <c r="A40" i="49" s="1"/>
  <c r="A41" i="49" s="1"/>
  <c r="A42" i="49" s="1"/>
  <c r="A43" i="49" s="1"/>
  <c r="A44" i="49" s="1"/>
  <c r="A45" i="49" s="1"/>
  <c r="E57" i="7"/>
  <c r="E46" i="7"/>
  <c r="E53" i="7"/>
  <c r="J314" i="49"/>
  <c r="J345" i="49"/>
  <c r="K345" i="49" s="1"/>
  <c r="J217" i="49"/>
  <c r="K217" i="49" s="1"/>
  <c r="J186" i="49"/>
  <c r="K186" i="49" s="1"/>
  <c r="E16" i="71"/>
  <c r="F33" i="11"/>
  <c r="E15" i="71"/>
  <c r="F32" i="11"/>
  <c r="E17" i="71"/>
  <c r="F34" i="11"/>
  <c r="E14" i="71"/>
  <c r="F31" i="11"/>
  <c r="J54" i="49"/>
  <c r="D46" i="7"/>
  <c r="E12" i="71"/>
  <c r="F29" i="11"/>
  <c r="D26" i="49"/>
  <c r="E9" i="71"/>
  <c r="F26" i="11"/>
  <c r="E13" i="71"/>
  <c r="F30" i="11"/>
  <c r="E10" i="71"/>
  <c r="F27" i="11"/>
  <c r="E11" i="71"/>
  <c r="F28" i="11"/>
  <c r="J379" i="49"/>
  <c r="J380" i="49" s="1"/>
  <c r="F62" i="49"/>
  <c r="J250" i="49"/>
  <c r="F63" i="49"/>
  <c r="F67" i="49"/>
  <c r="F60" i="49"/>
  <c r="F69" i="49"/>
  <c r="F61" i="49"/>
  <c r="F68" i="49"/>
  <c r="F64" i="49"/>
  <c r="F59" i="49"/>
  <c r="F71" i="49"/>
  <c r="F70" i="49"/>
  <c r="F57" i="49"/>
  <c r="F55" i="49"/>
  <c r="M13" i="48"/>
  <c r="P95" i="48"/>
  <c r="P78" i="48"/>
  <c r="F74" i="48"/>
  <c r="E44" i="48"/>
  <c r="E13" i="48"/>
  <c r="G79" i="48"/>
  <c r="H79" i="48" s="1"/>
  <c r="H16" i="48" s="1"/>
  <c r="P92" i="48"/>
  <c r="P79" i="48"/>
  <c r="P87" i="48"/>
  <c r="P94" i="48"/>
  <c r="G86" i="48"/>
  <c r="H86" i="48" s="1"/>
  <c r="H23" i="48" s="1"/>
  <c r="P54" i="48"/>
  <c r="G44" i="48"/>
  <c r="P50" i="48"/>
  <c r="P57" i="48"/>
  <c r="G78" i="48"/>
  <c r="H78" i="48" s="1"/>
  <c r="H15" i="48" s="1"/>
  <c r="P84" i="48"/>
  <c r="G83" i="48"/>
  <c r="H83" i="48" s="1"/>
  <c r="H20" i="48" s="1"/>
  <c r="G85" i="48"/>
  <c r="H85" i="48" s="1"/>
  <c r="H22" i="48" s="1"/>
  <c r="G91" i="48"/>
  <c r="G28" i="48" s="1"/>
  <c r="P93" i="48"/>
  <c r="P49" i="48"/>
  <c r="P56" i="48"/>
  <c r="P58" i="48"/>
  <c r="G77" i="48"/>
  <c r="H77" i="48" s="1"/>
  <c r="H14" i="48" s="1"/>
  <c r="G81" i="48"/>
  <c r="H81" i="48" s="1"/>
  <c r="I81" i="48" s="1"/>
  <c r="P85" i="48"/>
  <c r="G87" i="48"/>
  <c r="G24" i="48" s="1"/>
  <c r="G89" i="48"/>
  <c r="P91" i="48"/>
  <c r="F75" i="48"/>
  <c r="F44" i="48"/>
  <c r="O15" i="48"/>
  <c r="I76" i="48"/>
  <c r="P89" i="48"/>
  <c r="P60" i="48"/>
  <c r="P65" i="48"/>
  <c r="P76" i="48"/>
  <c r="P82" i="48"/>
  <c r="P83" i="48"/>
  <c r="P20" i="48" s="1"/>
  <c r="O28" i="48"/>
  <c r="E42" i="48"/>
  <c r="P46" i="48"/>
  <c r="P64" i="48"/>
  <c r="P77" i="48"/>
  <c r="O14" i="48"/>
  <c r="O20" i="48"/>
  <c r="P48" i="48"/>
  <c r="P62" i="48"/>
  <c r="P80" i="48"/>
  <c r="G90" i="48"/>
  <c r="G82" i="48"/>
  <c r="G19" i="48" s="1"/>
  <c r="P61" i="48"/>
  <c r="P53" i="48"/>
  <c r="P45" i="48"/>
  <c r="P96" i="48"/>
  <c r="G93" i="48"/>
  <c r="P88" i="48"/>
  <c r="G96" i="48"/>
  <c r="G88" i="48"/>
  <c r="G80" i="48"/>
  <c r="P59" i="48"/>
  <c r="P51" i="48"/>
  <c r="G92" i="48"/>
  <c r="G84" i="48"/>
  <c r="P63" i="48"/>
  <c r="P55" i="48"/>
  <c r="P47" i="48"/>
  <c r="P86" i="48"/>
  <c r="P90" i="48"/>
  <c r="E74" i="48"/>
  <c r="E43" i="48"/>
  <c r="P81" i="48"/>
  <c r="O16" i="48"/>
  <c r="O32" i="48"/>
  <c r="G43" i="48"/>
  <c r="G94" i="48"/>
  <c r="G95" i="48"/>
  <c r="O22" i="48"/>
  <c r="O30" i="48"/>
  <c r="F56" i="49"/>
  <c r="J90" i="49"/>
  <c r="K90" i="49" s="1"/>
  <c r="F72" i="49"/>
  <c r="F74" i="49"/>
  <c r="F253" i="49"/>
  <c r="F58" i="49" s="1"/>
  <c r="F270" i="49"/>
  <c r="F75" i="49" s="1"/>
  <c r="E72" i="49"/>
  <c r="I67" i="49"/>
  <c r="G57" i="48" s="1"/>
  <c r="E60" i="49"/>
  <c r="E73" i="49"/>
  <c r="I71" i="49"/>
  <c r="G61" i="48" s="1"/>
  <c r="F107" i="49"/>
  <c r="F73" i="49" s="1"/>
  <c r="I75" i="49"/>
  <c r="G65" i="48" s="1"/>
  <c r="I55" i="49"/>
  <c r="G45" i="48" s="1"/>
  <c r="K45" i="48" s="1"/>
  <c r="N45" i="48" s="1"/>
  <c r="E57" i="49"/>
  <c r="F197" i="49"/>
  <c r="F66" i="49" s="1"/>
  <c r="E55" i="49"/>
  <c r="F99" i="49"/>
  <c r="F65" i="49" s="1"/>
  <c r="E59" i="49"/>
  <c r="E67" i="49"/>
  <c r="I59" i="49"/>
  <c r="G49" i="48" s="1"/>
  <c r="E61" i="49"/>
  <c r="E69" i="49"/>
  <c r="J153" i="49"/>
  <c r="K153" i="49" s="1"/>
  <c r="J315" i="49" l="1"/>
  <c r="K315" i="49" s="1"/>
  <c r="K314" i="49"/>
  <c r="J251" i="49"/>
  <c r="K251" i="49" s="1"/>
  <c r="K250" i="49"/>
  <c r="P24" i="48"/>
  <c r="J282" i="49"/>
  <c r="K282" i="49" s="1"/>
  <c r="A66" i="48"/>
  <c r="A67" i="48" s="1"/>
  <c r="A68" i="48" s="1"/>
  <c r="A76" i="48" s="1"/>
  <c r="A77" i="48" s="1"/>
  <c r="A78" i="48" s="1"/>
  <c r="A79" i="48" s="1"/>
  <c r="A80" i="48" s="1"/>
  <c r="A81" i="48" s="1"/>
  <c r="A82" i="48" s="1"/>
  <c r="A83" i="48" s="1"/>
  <c r="A84" i="48" s="1"/>
  <c r="A85" i="48" s="1"/>
  <c r="A86" i="48" s="1"/>
  <c r="A87" i="48" s="1"/>
  <c r="A88" i="48" s="1"/>
  <c r="A89" i="48" s="1"/>
  <c r="A90" i="48" s="1"/>
  <c r="A91" i="48" s="1"/>
  <c r="A92" i="48" s="1"/>
  <c r="A93" i="48" s="1"/>
  <c r="A94" i="48" s="1"/>
  <c r="A95" i="48" s="1"/>
  <c r="A96" i="48" s="1"/>
  <c r="A97" i="48" s="1"/>
  <c r="A98" i="48" s="1"/>
  <c r="A99" i="48" s="1"/>
  <c r="A103" i="48" s="1"/>
  <c r="J187" i="49"/>
  <c r="K187" i="49" s="1"/>
  <c r="J123" i="49"/>
  <c r="A46" i="49"/>
  <c r="A54" i="49" s="1"/>
  <c r="A55" i="49" s="1"/>
  <c r="A56" i="49" s="1"/>
  <c r="A57" i="49" s="1"/>
  <c r="A58" i="49" s="1"/>
  <c r="A59" i="49" s="1"/>
  <c r="A60" i="49" s="1"/>
  <c r="A61" i="49" s="1"/>
  <c r="A62" i="49" s="1"/>
  <c r="A63" i="49" s="1"/>
  <c r="A64" i="49" s="1"/>
  <c r="A65" i="49" s="1"/>
  <c r="A66" i="49" s="1"/>
  <c r="A67" i="49" s="1"/>
  <c r="A68" i="49" s="1"/>
  <c r="A69" i="49" s="1"/>
  <c r="A70" i="49" s="1"/>
  <c r="A71" i="49" s="1"/>
  <c r="A72" i="49" s="1"/>
  <c r="A73" i="49" s="1"/>
  <c r="A74" i="49" s="1"/>
  <c r="A75" i="49" s="1"/>
  <c r="A76" i="49" s="1"/>
  <c r="A77" i="49" s="1"/>
  <c r="A78" i="49" s="1"/>
  <c r="A79" i="49" s="1"/>
  <c r="P28" i="48"/>
  <c r="J346" i="49"/>
  <c r="K346" i="49" s="1"/>
  <c r="J218" i="49"/>
  <c r="K218" i="49" s="1"/>
  <c r="J55" i="49"/>
  <c r="G29" i="48"/>
  <c r="G25" i="48"/>
  <c r="G13" i="48"/>
  <c r="P32" i="48"/>
  <c r="P30" i="48"/>
  <c r="H18" i="48"/>
  <c r="P13" i="48"/>
  <c r="P15" i="48"/>
  <c r="G14" i="48"/>
  <c r="I78" i="48"/>
  <c r="J78" i="48" s="1"/>
  <c r="J15" i="48" s="1"/>
  <c r="K46" i="48"/>
  <c r="K47" i="48" s="1"/>
  <c r="P29" i="48"/>
  <c r="I86" i="48"/>
  <c r="I23" i="48" s="1"/>
  <c r="I79" i="48"/>
  <c r="J79" i="48" s="1"/>
  <c r="J16" i="48" s="1"/>
  <c r="P19" i="48"/>
  <c r="G16" i="48"/>
  <c r="E120" i="48"/>
  <c r="G18" i="48"/>
  <c r="G15" i="48"/>
  <c r="G20" i="48"/>
  <c r="P31" i="48"/>
  <c r="P25" i="48"/>
  <c r="P17" i="48"/>
  <c r="P26" i="48"/>
  <c r="P22" i="48"/>
  <c r="I77" i="48"/>
  <c r="J77" i="48" s="1"/>
  <c r="J14" i="48" s="1"/>
  <c r="I83" i="48"/>
  <c r="I20" i="48" s="1"/>
  <c r="H89" i="48"/>
  <c r="G26" i="48"/>
  <c r="P21" i="48"/>
  <c r="P16" i="48"/>
  <c r="H87" i="48"/>
  <c r="H24" i="48" s="1"/>
  <c r="I85" i="48"/>
  <c r="J85" i="48" s="1"/>
  <c r="J22" i="48" s="1"/>
  <c r="P18" i="48"/>
  <c r="G23" i="48"/>
  <c r="G22" i="48"/>
  <c r="H91" i="48"/>
  <c r="H28" i="48" s="1"/>
  <c r="H93" i="48"/>
  <c r="H30" i="48" s="1"/>
  <c r="H95" i="48"/>
  <c r="H32" i="48" s="1"/>
  <c r="G32" i="48"/>
  <c r="E119" i="48"/>
  <c r="H80" i="48"/>
  <c r="H17" i="48" s="1"/>
  <c r="G17" i="48"/>
  <c r="J81" i="48"/>
  <c r="J18" i="48" s="1"/>
  <c r="I18" i="48"/>
  <c r="G31" i="48"/>
  <c r="H94" i="48"/>
  <c r="H31" i="48" s="1"/>
  <c r="H88" i="48"/>
  <c r="H25" i="48" s="1"/>
  <c r="H82" i="48"/>
  <c r="H19" i="48" s="1"/>
  <c r="P23" i="48"/>
  <c r="H96" i="48"/>
  <c r="H33" i="48" s="1"/>
  <c r="G33" i="48"/>
  <c r="H90" i="48"/>
  <c r="H27" i="48" s="1"/>
  <c r="G27" i="48"/>
  <c r="P33" i="48"/>
  <c r="G30" i="48"/>
  <c r="P14" i="48"/>
  <c r="P27" i="48"/>
  <c r="H92" i="48"/>
  <c r="H29" i="48" s="1"/>
  <c r="G21" i="48"/>
  <c r="H84" i="48"/>
  <c r="H21" i="48" s="1"/>
  <c r="J76" i="48"/>
  <c r="J13" i="48" s="1"/>
  <c r="I13" i="48"/>
  <c r="J91" i="49"/>
  <c r="K91" i="49" s="1"/>
  <c r="J283" i="49"/>
  <c r="K283" i="49" s="1"/>
  <c r="J381" i="49"/>
  <c r="J252" i="49"/>
  <c r="K252" i="49" s="1"/>
  <c r="J154" i="49"/>
  <c r="K154" i="49" s="1"/>
  <c r="J316" i="49" l="1"/>
  <c r="K316" i="49" s="1"/>
  <c r="J124" i="49"/>
  <c r="K124" i="49" s="1"/>
  <c r="K123" i="49"/>
  <c r="P37" i="48"/>
  <c r="D41" i="57" s="1"/>
  <c r="J219" i="49"/>
  <c r="A107" i="48"/>
  <c r="A111" i="48" s="1"/>
  <c r="G72" i="48"/>
  <c r="I87" i="48"/>
  <c r="I24" i="48" s="1"/>
  <c r="J188" i="49"/>
  <c r="K188" i="49" s="1"/>
  <c r="G19" i="71"/>
  <c r="A88" i="49"/>
  <c r="A89" i="49" s="1"/>
  <c r="A90" i="49" s="1"/>
  <c r="A91" i="49" s="1"/>
  <c r="A92" i="49" s="1"/>
  <c r="A93" i="49" s="1"/>
  <c r="A94" i="49" s="1"/>
  <c r="A95" i="49" s="1"/>
  <c r="A96" i="49" s="1"/>
  <c r="A97" i="49" s="1"/>
  <c r="A98" i="49" s="1"/>
  <c r="A99" i="49" s="1"/>
  <c r="A100" i="49" s="1"/>
  <c r="A101" i="49" s="1"/>
  <c r="A102" i="49" s="1"/>
  <c r="A103" i="49" s="1"/>
  <c r="A104" i="49" s="1"/>
  <c r="A105" i="49" s="1"/>
  <c r="A106" i="49" s="1"/>
  <c r="A107" i="49" s="1"/>
  <c r="A108" i="49" s="1"/>
  <c r="A109" i="49" s="1"/>
  <c r="A110" i="49" s="1"/>
  <c r="A111" i="49" s="1"/>
  <c r="A112" i="49" s="1"/>
  <c r="A113" i="49" s="1"/>
  <c r="G42" i="57"/>
  <c r="E82" i="7"/>
  <c r="J347" i="49"/>
  <c r="K347" i="49" s="1"/>
  <c r="K55" i="49"/>
  <c r="J56" i="49"/>
  <c r="I14" i="48"/>
  <c r="I15" i="48"/>
  <c r="I16" i="48"/>
  <c r="J83" i="48"/>
  <c r="J20" i="48" s="1"/>
  <c r="J86" i="48"/>
  <c r="J23" i="48" s="1"/>
  <c r="K76" i="48"/>
  <c r="N76" i="48" s="1"/>
  <c r="N13" i="48" s="1"/>
  <c r="I95" i="48"/>
  <c r="I32" i="48" s="1"/>
  <c r="H26" i="48"/>
  <c r="I89" i="48"/>
  <c r="I22" i="48"/>
  <c r="I91" i="48"/>
  <c r="J91" i="48" s="1"/>
  <c r="J28" i="48" s="1"/>
  <c r="I88" i="48"/>
  <c r="I80" i="48"/>
  <c r="K48" i="48"/>
  <c r="I84" i="48"/>
  <c r="I94" i="48"/>
  <c r="I92" i="48"/>
  <c r="I90" i="48"/>
  <c r="I82" i="48"/>
  <c r="I93" i="48"/>
  <c r="I96" i="48"/>
  <c r="J284" i="49"/>
  <c r="K284" i="49" s="1"/>
  <c r="J382" i="49"/>
  <c r="J92" i="49"/>
  <c r="K92" i="49" s="1"/>
  <c r="J155" i="49"/>
  <c r="K155" i="49" s="1"/>
  <c r="J253" i="49"/>
  <c r="K253" i="49" s="1"/>
  <c r="J317" i="49" l="1"/>
  <c r="K317" i="49" s="1"/>
  <c r="J125" i="49"/>
  <c r="K125" i="49" s="1"/>
  <c r="J220" i="49"/>
  <c r="K220" i="49" s="1"/>
  <c r="K219" i="49"/>
  <c r="J87" i="48"/>
  <c r="J24" i="48" s="1"/>
  <c r="J348" i="49"/>
  <c r="K348" i="49" s="1"/>
  <c r="J189" i="49"/>
  <c r="A121" i="49"/>
  <c r="A122" i="49" s="1"/>
  <c r="A123" i="49" s="1"/>
  <c r="A124" i="49" s="1"/>
  <c r="A125" i="49" s="1"/>
  <c r="A126" i="49" s="1"/>
  <c r="A127" i="49" s="1"/>
  <c r="A128" i="49" s="1"/>
  <c r="A129" i="49" s="1"/>
  <c r="A130" i="49" s="1"/>
  <c r="A131" i="49" s="1"/>
  <c r="A132" i="49" s="1"/>
  <c r="A133" i="49" s="1"/>
  <c r="A134" i="49" s="1"/>
  <c r="A135" i="49" s="1"/>
  <c r="A136" i="49" s="1"/>
  <c r="A137" i="49" s="1"/>
  <c r="A138" i="49" s="1"/>
  <c r="A139" i="49" s="1"/>
  <c r="A140" i="49" s="1"/>
  <c r="A141" i="49" s="1"/>
  <c r="A142" i="49" s="1"/>
  <c r="A143" i="49" s="1"/>
  <c r="A144" i="49" s="1"/>
  <c r="A145" i="49" s="1"/>
  <c r="A146" i="49" s="1"/>
  <c r="G9" i="71"/>
  <c r="H26" i="11"/>
  <c r="K56" i="49"/>
  <c r="K77" i="48"/>
  <c r="K78" i="48" s="1"/>
  <c r="J95" i="48"/>
  <c r="J32" i="48" s="1"/>
  <c r="K13" i="48"/>
  <c r="I28" i="48"/>
  <c r="J89" i="48"/>
  <c r="J26" i="48" s="1"/>
  <c r="I26" i="48"/>
  <c r="H72" i="48"/>
  <c r="J93" i="48"/>
  <c r="J30" i="48" s="1"/>
  <c r="I30" i="48"/>
  <c r="J94" i="48"/>
  <c r="J31" i="48" s="1"/>
  <c r="I31" i="48"/>
  <c r="J82" i="48"/>
  <c r="J19" i="48" s="1"/>
  <c r="I19" i="48"/>
  <c r="J84" i="48"/>
  <c r="J21" i="48" s="1"/>
  <c r="I21" i="48"/>
  <c r="I17" i="48"/>
  <c r="J80" i="48"/>
  <c r="J17" i="48" s="1"/>
  <c r="I27" i="48"/>
  <c r="J90" i="48"/>
  <c r="J27" i="48" s="1"/>
  <c r="J88" i="48"/>
  <c r="J25" i="48" s="1"/>
  <c r="I25" i="48"/>
  <c r="J96" i="48"/>
  <c r="J33" i="48" s="1"/>
  <c r="I33" i="48"/>
  <c r="J92" i="48"/>
  <c r="J29" i="48" s="1"/>
  <c r="I29" i="48"/>
  <c r="K49" i="48"/>
  <c r="J156" i="49"/>
  <c r="K156" i="49" s="1"/>
  <c r="J221" i="49"/>
  <c r="K221" i="49" s="1"/>
  <c r="J254" i="49"/>
  <c r="K254" i="49" s="1"/>
  <c r="J57" i="49"/>
  <c r="J383" i="49"/>
  <c r="J285" i="49"/>
  <c r="K285" i="49" s="1"/>
  <c r="J93" i="49"/>
  <c r="K93" i="49" s="1"/>
  <c r="J318" i="49" l="1"/>
  <c r="K318" i="49" s="1"/>
  <c r="J126" i="49"/>
  <c r="K126" i="49" s="1"/>
  <c r="J190" i="49"/>
  <c r="K190" i="49" s="1"/>
  <c r="K189" i="49"/>
  <c r="K57" i="49"/>
  <c r="J349" i="49"/>
  <c r="K349" i="49" s="1"/>
  <c r="A152" i="49"/>
  <c r="A153" i="49" s="1"/>
  <c r="A154" i="49" s="1"/>
  <c r="A155" i="49" s="1"/>
  <c r="A156" i="49" s="1"/>
  <c r="A157" i="49" s="1"/>
  <c r="A158" i="49" s="1"/>
  <c r="A159" i="49" s="1"/>
  <c r="A160" i="49" s="1"/>
  <c r="A161" i="49" s="1"/>
  <c r="A162" i="49" s="1"/>
  <c r="A163" i="49" s="1"/>
  <c r="A164" i="49" s="1"/>
  <c r="A165" i="49" s="1"/>
  <c r="A166" i="49" s="1"/>
  <c r="A167" i="49" s="1"/>
  <c r="A168" i="49" s="1"/>
  <c r="A169" i="49" s="1"/>
  <c r="A170" i="49" s="1"/>
  <c r="A171" i="49" s="1"/>
  <c r="A172" i="49" s="1"/>
  <c r="A173" i="49" s="1"/>
  <c r="A174" i="49" s="1"/>
  <c r="A175" i="49" s="1"/>
  <c r="A176" i="49" s="1"/>
  <c r="A177" i="49" s="1"/>
  <c r="H27" i="11"/>
  <c r="G10" i="71"/>
  <c r="K14" i="48"/>
  <c r="K50" i="48"/>
  <c r="K79" i="48"/>
  <c r="K15" i="48"/>
  <c r="J255" i="49"/>
  <c r="K255" i="49" s="1"/>
  <c r="J286" i="49"/>
  <c r="K286" i="49" s="1"/>
  <c r="J157" i="49"/>
  <c r="K157" i="49" s="1"/>
  <c r="J222" i="49"/>
  <c r="K222" i="49" s="1"/>
  <c r="J58" i="49"/>
  <c r="J384" i="49"/>
  <c r="J94" i="49"/>
  <c r="K94" i="49" s="1"/>
  <c r="J319" i="49"/>
  <c r="K319" i="49" s="1"/>
  <c r="J191" i="49" l="1"/>
  <c r="K191" i="49" s="1"/>
  <c r="J127" i="49"/>
  <c r="K127" i="49" s="1"/>
  <c r="J350" i="49"/>
  <c r="K350" i="49" s="1"/>
  <c r="J59" i="49"/>
  <c r="K58" i="49"/>
  <c r="A185" i="49"/>
  <c r="A186" i="49" s="1"/>
  <c r="A187" i="49" s="1"/>
  <c r="A188" i="49" s="1"/>
  <c r="A189" i="49" s="1"/>
  <c r="A190" i="49" s="1"/>
  <c r="A191" i="49" s="1"/>
  <c r="A192" i="49" s="1"/>
  <c r="A193" i="49" s="1"/>
  <c r="A194" i="49" s="1"/>
  <c r="A195" i="49" s="1"/>
  <c r="A196" i="49" s="1"/>
  <c r="A197" i="49" s="1"/>
  <c r="A198" i="49" s="1"/>
  <c r="A199" i="49" s="1"/>
  <c r="A200" i="49" s="1"/>
  <c r="A201" i="49" s="1"/>
  <c r="A202" i="49" s="1"/>
  <c r="A203" i="49" s="1"/>
  <c r="A204" i="49" s="1"/>
  <c r="A205" i="49" s="1"/>
  <c r="A206" i="49" s="1"/>
  <c r="A207" i="49" s="1"/>
  <c r="A208" i="49" s="1"/>
  <c r="A209" i="49" s="1"/>
  <c r="A210" i="49" s="1"/>
  <c r="G11" i="71"/>
  <c r="H28" i="11"/>
  <c r="K51" i="48"/>
  <c r="K80" i="48"/>
  <c r="K16" i="48"/>
  <c r="A119" i="48"/>
  <c r="J72" i="48"/>
  <c r="J287" i="49"/>
  <c r="K287" i="49" s="1"/>
  <c r="J223" i="49"/>
  <c r="K223" i="49" s="1"/>
  <c r="J95" i="49"/>
  <c r="K95" i="49" s="1"/>
  <c r="J320" i="49"/>
  <c r="K320" i="49" s="1"/>
  <c r="K59" i="49"/>
  <c r="J158" i="49"/>
  <c r="K158" i="49" s="1"/>
  <c r="J256" i="49"/>
  <c r="K256" i="49" s="1"/>
  <c r="J385" i="49"/>
  <c r="J192" i="49" l="1"/>
  <c r="K192" i="49" s="1"/>
  <c r="J128" i="49"/>
  <c r="K128" i="49" s="1"/>
  <c r="J351" i="49"/>
  <c r="J60" i="49"/>
  <c r="A216" i="49"/>
  <c r="A217" i="49" s="1"/>
  <c r="A218" i="49" s="1"/>
  <c r="A219" i="49" s="1"/>
  <c r="A220" i="49" s="1"/>
  <c r="A221" i="49" s="1"/>
  <c r="A222" i="49" s="1"/>
  <c r="A223" i="49" s="1"/>
  <c r="A224" i="49" s="1"/>
  <c r="A225" i="49" s="1"/>
  <c r="A226" i="49" s="1"/>
  <c r="A227" i="49" s="1"/>
  <c r="A228" i="49" s="1"/>
  <c r="A229" i="49" s="1"/>
  <c r="A230" i="49" s="1"/>
  <c r="A231" i="49" s="1"/>
  <c r="A232" i="49" s="1"/>
  <c r="A233" i="49" s="1"/>
  <c r="A234" i="49" s="1"/>
  <c r="A235" i="49" s="1"/>
  <c r="A236" i="49" s="1"/>
  <c r="A237" i="49" s="1"/>
  <c r="G12" i="71"/>
  <c r="H29" i="11"/>
  <c r="K52" i="48"/>
  <c r="K81" i="48"/>
  <c r="K17" i="48"/>
  <c r="A120" i="48"/>
  <c r="A121" i="48" s="1"/>
  <c r="A122" i="48" s="1"/>
  <c r="A123" i="48" s="1"/>
  <c r="A124" i="48" s="1"/>
  <c r="A125" i="48" s="1"/>
  <c r="A126" i="48" s="1"/>
  <c r="A127" i="48" s="1"/>
  <c r="A128" i="48" s="1"/>
  <c r="A129" i="48" s="1"/>
  <c r="A130" i="48" s="1"/>
  <c r="J224" i="49"/>
  <c r="K224" i="49" s="1"/>
  <c r="J386" i="49"/>
  <c r="J321" i="49"/>
  <c r="K321" i="49" s="1"/>
  <c r="J288" i="49"/>
  <c r="K288" i="49" s="1"/>
  <c r="J193" i="49"/>
  <c r="K193" i="49" s="1"/>
  <c r="J257" i="49"/>
  <c r="K257" i="49" s="1"/>
  <c r="J96" i="49"/>
  <c r="K96" i="49" s="1"/>
  <c r="K60" i="49"/>
  <c r="J159" i="49"/>
  <c r="K159" i="49" s="1"/>
  <c r="J352" i="49" l="1"/>
  <c r="K352" i="49" s="1"/>
  <c r="K351" i="49"/>
  <c r="J129" i="49"/>
  <c r="K129" i="49" s="1"/>
  <c r="J61" i="49"/>
  <c r="A238" i="49"/>
  <c r="A239" i="49" s="1"/>
  <c r="A240" i="49" s="1"/>
  <c r="A241" i="49" s="1"/>
  <c r="A249" i="49" s="1"/>
  <c r="A250" i="49" s="1"/>
  <c r="A251" i="49" s="1"/>
  <c r="A252" i="49" s="1"/>
  <c r="A253" i="49" s="1"/>
  <c r="A254" i="49" s="1"/>
  <c r="A255" i="49" s="1"/>
  <c r="A256" i="49" s="1"/>
  <c r="A257" i="49" s="1"/>
  <c r="A258" i="49" s="1"/>
  <c r="A259" i="49" s="1"/>
  <c r="A260" i="49" s="1"/>
  <c r="A261" i="49" s="1"/>
  <c r="A262" i="49" s="1"/>
  <c r="A263" i="49" s="1"/>
  <c r="A264" i="49" s="1"/>
  <c r="A265" i="49" s="1"/>
  <c r="A266" i="49" s="1"/>
  <c r="A267" i="49" s="1"/>
  <c r="A268" i="49" s="1"/>
  <c r="A269" i="49" s="1"/>
  <c r="A270" i="49" s="1"/>
  <c r="A271" i="49" s="1"/>
  <c r="F130" i="48"/>
  <c r="A131" i="48"/>
  <c r="A132" i="48" s="1"/>
  <c r="A133" i="48" s="1"/>
  <c r="F131" i="48"/>
  <c r="K82" i="48"/>
  <c r="K18" i="48"/>
  <c r="K53" i="48"/>
  <c r="J160" i="49"/>
  <c r="K160" i="49" s="1"/>
  <c r="J289" i="49"/>
  <c r="K289" i="49" s="1"/>
  <c r="J97" i="49"/>
  <c r="K97" i="49" s="1"/>
  <c r="J258" i="49"/>
  <c r="K258" i="49" s="1"/>
  <c r="J387" i="49"/>
  <c r="J322" i="49"/>
  <c r="K322" i="49" s="1"/>
  <c r="J194" i="49"/>
  <c r="K194" i="49" s="1"/>
  <c r="J225" i="49"/>
  <c r="K225" i="49" s="1"/>
  <c r="J353" i="49" l="1"/>
  <c r="K353" i="49" s="1"/>
  <c r="J130" i="49"/>
  <c r="K130" i="49" s="1"/>
  <c r="K61" i="49"/>
  <c r="F133" i="48"/>
  <c r="H30" i="11"/>
  <c r="A272" i="49"/>
  <c r="A273" i="49" s="1"/>
  <c r="A274" i="49" s="1"/>
  <c r="A280" i="49" s="1"/>
  <c r="A281" i="49" s="1"/>
  <c r="A282" i="49" s="1"/>
  <c r="A283" i="49" s="1"/>
  <c r="A284" i="49" s="1"/>
  <c r="A285" i="49" s="1"/>
  <c r="A286" i="49" s="1"/>
  <c r="A287" i="49" s="1"/>
  <c r="A288" i="49" s="1"/>
  <c r="A289" i="49" s="1"/>
  <c r="A290" i="49" s="1"/>
  <c r="A291" i="49" s="1"/>
  <c r="A292" i="49" s="1"/>
  <c r="A293" i="49" s="1"/>
  <c r="A294" i="49" s="1"/>
  <c r="A295" i="49" s="1"/>
  <c r="A296" i="49" s="1"/>
  <c r="A297" i="49" s="1"/>
  <c r="A298" i="49" s="1"/>
  <c r="A299" i="49" s="1"/>
  <c r="A300" i="49" s="1"/>
  <c r="A301" i="49" s="1"/>
  <c r="A302" i="49" s="1"/>
  <c r="A303" i="49" s="1"/>
  <c r="A304" i="49" s="1"/>
  <c r="A305" i="49" s="1"/>
  <c r="G13" i="71"/>
  <c r="K54" i="48"/>
  <c r="K83" i="48"/>
  <c r="K19" i="48"/>
  <c r="J226" i="49"/>
  <c r="K226" i="49" s="1"/>
  <c r="J290" i="49"/>
  <c r="K290" i="49" s="1"/>
  <c r="J195" i="49"/>
  <c r="K195" i="49" s="1"/>
  <c r="J259" i="49"/>
  <c r="K259" i="49" s="1"/>
  <c r="J161" i="49"/>
  <c r="K62" i="49"/>
  <c r="J323" i="49"/>
  <c r="K323" i="49" s="1"/>
  <c r="J62" i="49"/>
  <c r="J388" i="49"/>
  <c r="J98" i="49"/>
  <c r="K98" i="49" s="1"/>
  <c r="J354" i="49" l="1"/>
  <c r="K354" i="49" s="1"/>
  <c r="J131" i="49"/>
  <c r="K131" i="49" s="1"/>
  <c r="J63" i="49"/>
  <c r="K161" i="49"/>
  <c r="K63" i="49" s="1"/>
  <c r="H31" i="11"/>
  <c r="G14" i="71"/>
  <c r="A313" i="49"/>
  <c r="A314" i="49" s="1"/>
  <c r="A315" i="49" s="1"/>
  <c r="A316" i="49" s="1"/>
  <c r="A317" i="49" s="1"/>
  <c r="A318" i="49" s="1"/>
  <c r="A319" i="49" s="1"/>
  <c r="A320" i="49" s="1"/>
  <c r="A321" i="49" s="1"/>
  <c r="A322" i="49" s="1"/>
  <c r="A323" i="49" s="1"/>
  <c r="A324" i="49" s="1"/>
  <c r="A325" i="49" s="1"/>
  <c r="A326" i="49" s="1"/>
  <c r="A327" i="49" s="1"/>
  <c r="A328" i="49" s="1"/>
  <c r="A329" i="49" s="1"/>
  <c r="A330" i="49" s="1"/>
  <c r="A331" i="49" s="1"/>
  <c r="A332" i="49" s="1"/>
  <c r="A333" i="49" s="1"/>
  <c r="A334" i="49" s="1"/>
  <c r="G15" i="71"/>
  <c r="H32" i="11"/>
  <c r="K84" i="48"/>
  <c r="K20" i="48"/>
  <c r="K55" i="48"/>
  <c r="J324" i="49"/>
  <c r="K324" i="49" s="1"/>
  <c r="J99" i="49"/>
  <c r="K99" i="49" s="1"/>
  <c r="J389" i="49"/>
  <c r="J162" i="49"/>
  <c r="J291" i="49"/>
  <c r="K291" i="49" s="1"/>
  <c r="J132" i="49"/>
  <c r="K132" i="49" s="1"/>
  <c r="J260" i="49"/>
  <c r="K260" i="49" s="1"/>
  <c r="J227" i="49"/>
  <c r="K227" i="49" s="1"/>
  <c r="J196" i="49"/>
  <c r="K196" i="49" s="1"/>
  <c r="J355" i="49" l="1"/>
  <c r="K355" i="49" s="1"/>
  <c r="J64" i="49"/>
  <c r="K162" i="49"/>
  <c r="K64" i="49" s="1"/>
  <c r="A335" i="49"/>
  <c r="A336" i="49" s="1"/>
  <c r="A337" i="49" s="1"/>
  <c r="A338" i="49" s="1"/>
  <c r="A344" i="49" s="1"/>
  <c r="A345" i="49" s="1"/>
  <c r="A346" i="49" s="1"/>
  <c r="A347" i="49" s="1"/>
  <c r="A348" i="49" s="1"/>
  <c r="A349" i="49" s="1"/>
  <c r="A350" i="49" s="1"/>
  <c r="A351" i="49" s="1"/>
  <c r="A352" i="49" s="1"/>
  <c r="A353" i="49" s="1"/>
  <c r="A354" i="49" s="1"/>
  <c r="A355" i="49" s="1"/>
  <c r="A356" i="49" s="1"/>
  <c r="A357" i="49" s="1"/>
  <c r="A358" i="49" s="1"/>
  <c r="A359" i="49" s="1"/>
  <c r="A360" i="49" s="1"/>
  <c r="A361" i="49" s="1"/>
  <c r="A362" i="49" s="1"/>
  <c r="A363" i="49" s="1"/>
  <c r="A364" i="49" s="1"/>
  <c r="A365" i="49" s="1"/>
  <c r="H33" i="11"/>
  <c r="K56" i="48"/>
  <c r="K85" i="48"/>
  <c r="K21" i="48"/>
  <c r="J197" i="49"/>
  <c r="K197" i="49" s="1"/>
  <c r="J133" i="49"/>
  <c r="K133" i="49" s="1"/>
  <c r="J390" i="49"/>
  <c r="J325" i="49"/>
  <c r="K325" i="49" s="1"/>
  <c r="J228" i="49"/>
  <c r="K228" i="49" s="1"/>
  <c r="J292" i="49"/>
  <c r="K292" i="49" s="1"/>
  <c r="J261" i="49"/>
  <c r="K261" i="49" s="1"/>
  <c r="J100" i="49"/>
  <c r="K100" i="49" s="1"/>
  <c r="J163" i="49"/>
  <c r="K163" i="49" s="1"/>
  <c r="J356" i="49" l="1"/>
  <c r="K356" i="49" s="1"/>
  <c r="A366" i="49"/>
  <c r="A367" i="49" s="1"/>
  <c r="A368" i="49" s="1"/>
  <c r="A369" i="49" s="1"/>
  <c r="G17" i="71" s="1"/>
  <c r="G16" i="71"/>
  <c r="K86" i="48"/>
  <c r="K22" i="48"/>
  <c r="K57" i="48"/>
  <c r="J101" i="49"/>
  <c r="K101" i="49" s="1"/>
  <c r="J326" i="49"/>
  <c r="K326" i="49" s="1"/>
  <c r="J198" i="49"/>
  <c r="K198" i="49" s="1"/>
  <c r="J262" i="49"/>
  <c r="K262" i="49" s="1"/>
  <c r="J391" i="49"/>
  <c r="K65" i="49"/>
  <c r="J164" i="49"/>
  <c r="J293" i="49"/>
  <c r="K293" i="49" s="1"/>
  <c r="J134" i="49"/>
  <c r="K134" i="49" s="1"/>
  <c r="J65" i="49"/>
  <c r="J229" i="49"/>
  <c r="K229" i="49" s="1"/>
  <c r="J357" i="49" l="1"/>
  <c r="K357" i="49" s="1"/>
  <c r="J66" i="49"/>
  <c r="K164" i="49"/>
  <c r="H34" i="11"/>
  <c r="A377" i="49"/>
  <c r="A378" i="49" s="1"/>
  <c r="A379" i="49" s="1"/>
  <c r="A380" i="49" s="1"/>
  <c r="A381" i="49" s="1"/>
  <c r="A382" i="49" s="1"/>
  <c r="A383" i="49" s="1"/>
  <c r="A384" i="49" s="1"/>
  <c r="A385" i="49" s="1"/>
  <c r="A386" i="49" s="1"/>
  <c r="A387" i="49" s="1"/>
  <c r="A388" i="49" s="1"/>
  <c r="A389" i="49" s="1"/>
  <c r="A390" i="49" s="1"/>
  <c r="A391" i="49" s="1"/>
  <c r="A392" i="49" s="1"/>
  <c r="A393" i="49" s="1"/>
  <c r="A394" i="49" s="1"/>
  <c r="A395" i="49" s="1"/>
  <c r="A396" i="49" s="1"/>
  <c r="A397" i="49" s="1"/>
  <c r="A398" i="49" s="1"/>
  <c r="K87" i="48"/>
  <c r="K23" i="48"/>
  <c r="K58" i="48"/>
  <c r="J135" i="49"/>
  <c r="K135" i="49" s="1"/>
  <c r="J294" i="49"/>
  <c r="K294" i="49" s="1"/>
  <c r="J263" i="49"/>
  <c r="K263" i="49" s="1"/>
  <c r="J102" i="49"/>
  <c r="K102" i="49" s="1"/>
  <c r="J230" i="49"/>
  <c r="K230" i="49" s="1"/>
  <c r="J165" i="49"/>
  <c r="K165" i="49" s="1"/>
  <c r="J199" i="49"/>
  <c r="K199" i="49" s="1"/>
  <c r="J392" i="49"/>
  <c r="J327" i="49"/>
  <c r="K327" i="49" s="1"/>
  <c r="J358" i="49" l="1"/>
  <c r="K358" i="49" s="1"/>
  <c r="K66" i="49"/>
  <c r="A399" i="49"/>
  <c r="A400" i="49" s="1"/>
  <c r="A401" i="49" s="1"/>
  <c r="A402" i="49" s="1"/>
  <c r="G18" i="71" s="1"/>
  <c r="K88" i="48"/>
  <c r="K24" i="48"/>
  <c r="K59" i="48"/>
  <c r="J393" i="49"/>
  <c r="J103" i="49"/>
  <c r="K103" i="49" s="1"/>
  <c r="J166" i="49"/>
  <c r="K166" i="49" s="1"/>
  <c r="K67" i="49"/>
  <c r="J295" i="49"/>
  <c r="K295" i="49" s="1"/>
  <c r="J200" i="49"/>
  <c r="K200" i="49" s="1"/>
  <c r="J67" i="49"/>
  <c r="J136" i="49"/>
  <c r="K136" i="49" s="1"/>
  <c r="J231" i="49"/>
  <c r="K231" i="49" s="1"/>
  <c r="J328" i="49"/>
  <c r="K328" i="49" s="1"/>
  <c r="J264" i="49"/>
  <c r="K264" i="49" s="1"/>
  <c r="J359" i="49" l="1"/>
  <c r="K359" i="49" s="1"/>
  <c r="K89" i="48"/>
  <c r="K25" i="48"/>
  <c r="K60" i="48"/>
  <c r="J167" i="49"/>
  <c r="J137" i="49"/>
  <c r="K137" i="49" s="1"/>
  <c r="J329" i="49"/>
  <c r="K329" i="49" s="1"/>
  <c r="J104" i="49"/>
  <c r="K104" i="49" s="1"/>
  <c r="J265" i="49"/>
  <c r="K265" i="49" s="1"/>
  <c r="J232" i="49"/>
  <c r="K232" i="49" s="1"/>
  <c r="J68" i="49"/>
  <c r="J201" i="49"/>
  <c r="K201" i="49" s="1"/>
  <c r="J296" i="49"/>
  <c r="K296" i="49" s="1"/>
  <c r="J394" i="49"/>
  <c r="J360" i="49" l="1"/>
  <c r="K360" i="49" s="1"/>
  <c r="J69" i="49"/>
  <c r="K167" i="49"/>
  <c r="K69" i="49" s="1"/>
  <c r="K68" i="49"/>
  <c r="K90" i="48"/>
  <c r="K26" i="48"/>
  <c r="K61" i="48"/>
  <c r="J330" i="49"/>
  <c r="K330" i="49" s="1"/>
  <c r="J233" i="49"/>
  <c r="K233" i="49" s="1"/>
  <c r="J266" i="49"/>
  <c r="K266" i="49" s="1"/>
  <c r="J105" i="49"/>
  <c r="K105" i="49" s="1"/>
  <c r="J395" i="49"/>
  <c r="J297" i="49"/>
  <c r="K297" i="49" s="1"/>
  <c r="J202" i="49"/>
  <c r="K202" i="49" s="1"/>
  <c r="J138" i="49"/>
  <c r="K138" i="49" s="1"/>
  <c r="J168" i="49"/>
  <c r="K168" i="49" s="1"/>
  <c r="J361" i="49" l="1"/>
  <c r="K361" i="49" s="1"/>
  <c r="K62" i="48"/>
  <c r="K91" i="48"/>
  <c r="K27" i="48"/>
  <c r="J267" i="49"/>
  <c r="K267" i="49" s="1"/>
  <c r="J169" i="49"/>
  <c r="K70" i="49"/>
  <c r="J234" i="49"/>
  <c r="K234" i="49" s="1"/>
  <c r="J139" i="49"/>
  <c r="K139" i="49" s="1"/>
  <c r="J70" i="49"/>
  <c r="J331" i="49"/>
  <c r="K331" i="49" s="1"/>
  <c r="J298" i="49"/>
  <c r="K298" i="49" s="1"/>
  <c r="J396" i="49"/>
  <c r="J203" i="49"/>
  <c r="K203" i="49" s="1"/>
  <c r="J106" i="49"/>
  <c r="K106" i="49" s="1"/>
  <c r="J362" i="49" l="1"/>
  <c r="K362" i="49" s="1"/>
  <c r="J71" i="49"/>
  <c r="K169" i="49"/>
  <c r="K63" i="48"/>
  <c r="K92" i="48"/>
  <c r="K28" i="48"/>
  <c r="J397" i="49"/>
  <c r="J235" i="49"/>
  <c r="K235" i="49" s="1"/>
  <c r="J107" i="49"/>
  <c r="K107" i="49" s="1"/>
  <c r="J332" i="49"/>
  <c r="K332" i="49" s="1"/>
  <c r="J204" i="49"/>
  <c r="K204" i="49" s="1"/>
  <c r="J140" i="49"/>
  <c r="K140" i="49" s="1"/>
  <c r="J299" i="49"/>
  <c r="K299" i="49" s="1"/>
  <c r="J170" i="49"/>
  <c r="J268" i="49"/>
  <c r="K268" i="49" s="1"/>
  <c r="J363" i="49" l="1"/>
  <c r="K363" i="49" s="1"/>
  <c r="J72" i="49"/>
  <c r="K170" i="49"/>
  <c r="K72" i="49" s="1"/>
  <c r="K71" i="49"/>
  <c r="K64" i="48"/>
  <c r="K93" i="48"/>
  <c r="K29" i="48"/>
  <c r="J108" i="49"/>
  <c r="K108" i="49" s="1"/>
  <c r="J205" i="49"/>
  <c r="K205" i="49" s="1"/>
  <c r="J171" i="49"/>
  <c r="K171" i="49" s="1"/>
  <c r="J141" i="49"/>
  <c r="K141" i="49" s="1"/>
  <c r="J269" i="49"/>
  <c r="K269" i="49" s="1"/>
  <c r="J364" i="49"/>
  <c r="K364" i="49" s="1"/>
  <c r="J236" i="49"/>
  <c r="K236" i="49" s="1"/>
  <c r="J300" i="49"/>
  <c r="K300" i="49" s="1"/>
  <c r="J333" i="49"/>
  <c r="K333" i="49" s="1"/>
  <c r="J398" i="49"/>
  <c r="J399" i="49" l="1"/>
  <c r="K94" i="48"/>
  <c r="K30" i="48"/>
  <c r="K65" i="48"/>
  <c r="J172" i="49"/>
  <c r="K172" i="49" s="1"/>
  <c r="K73" i="49"/>
  <c r="J270" i="49"/>
  <c r="K270" i="49" s="1"/>
  <c r="J334" i="49"/>
  <c r="K334" i="49" s="1"/>
  <c r="J301" i="49"/>
  <c r="K301" i="49" s="1"/>
  <c r="J142" i="49"/>
  <c r="K142" i="49" s="1"/>
  <c r="J109" i="49"/>
  <c r="J237" i="49"/>
  <c r="K237" i="49" s="1"/>
  <c r="J206" i="49"/>
  <c r="K206" i="49" s="1"/>
  <c r="J365" i="49"/>
  <c r="K365" i="49" s="1"/>
  <c r="J73" i="49"/>
  <c r="J74" i="49" l="1"/>
  <c r="J110" i="49"/>
  <c r="K110" i="49" s="1"/>
  <c r="K109" i="49"/>
  <c r="K66" i="48"/>
  <c r="J400" i="49"/>
  <c r="J366" i="49"/>
  <c r="K366" i="49" s="1"/>
  <c r="J335" i="49"/>
  <c r="K335" i="49" s="1"/>
  <c r="J302" i="49"/>
  <c r="K302" i="49" s="1"/>
  <c r="J271" i="49"/>
  <c r="K271" i="49" s="1"/>
  <c r="J238" i="49"/>
  <c r="K238" i="49" s="1"/>
  <c r="J207" i="49"/>
  <c r="K207" i="49" s="1"/>
  <c r="J143" i="49"/>
  <c r="K143" i="49" s="1"/>
  <c r="K95" i="48"/>
  <c r="K31" i="48"/>
  <c r="K74" i="49"/>
  <c r="J173" i="49"/>
  <c r="K173" i="49" s="1"/>
  <c r="J111" i="49" l="1"/>
  <c r="K111" i="49" s="1"/>
  <c r="K67" i="48"/>
  <c r="J401" i="49"/>
  <c r="K402" i="49" s="1"/>
  <c r="J367" i="49"/>
  <c r="K367" i="49" s="1"/>
  <c r="J336" i="49"/>
  <c r="K336" i="49" s="1"/>
  <c r="J303" i="49"/>
  <c r="K303" i="49" s="1"/>
  <c r="J272" i="49"/>
  <c r="K272" i="49" s="1"/>
  <c r="J239" i="49"/>
  <c r="K239" i="49" s="1"/>
  <c r="J208" i="49"/>
  <c r="K208" i="49" s="1"/>
  <c r="K75" i="49"/>
  <c r="J174" i="49"/>
  <c r="J144" i="49"/>
  <c r="K144" i="49" s="1"/>
  <c r="J112" i="49"/>
  <c r="K112" i="49" s="1"/>
  <c r="K96" i="48"/>
  <c r="K97" i="48" s="1"/>
  <c r="K98" i="48" s="1"/>
  <c r="K99" i="48" s="1"/>
  <c r="K32" i="48"/>
  <c r="J75" i="49"/>
  <c r="J76" i="49" l="1"/>
  <c r="K174" i="49"/>
  <c r="K76" i="49" s="1"/>
  <c r="K35" i="48"/>
  <c r="K34" i="48"/>
  <c r="K113" i="49"/>
  <c r="G26" i="11" s="1"/>
  <c r="F19" i="71"/>
  <c r="F18" i="71"/>
  <c r="K68" i="48"/>
  <c r="K36" i="48" s="1"/>
  <c r="J368" i="49"/>
  <c r="K368" i="49" s="1"/>
  <c r="J337" i="49"/>
  <c r="K337" i="49" s="1"/>
  <c r="J304" i="49"/>
  <c r="K304" i="49" s="1"/>
  <c r="J273" i="49"/>
  <c r="K273" i="49" s="1"/>
  <c r="J240" i="49"/>
  <c r="K240" i="49" s="1"/>
  <c r="J209" i="49"/>
  <c r="K209" i="49" s="1"/>
  <c r="J175" i="49"/>
  <c r="J145" i="49"/>
  <c r="K145" i="49" s="1"/>
  <c r="K33" i="48"/>
  <c r="J77" i="49" l="1"/>
  <c r="K175" i="49"/>
  <c r="K77" i="49" s="1"/>
  <c r="F9" i="71"/>
  <c r="K37" i="48"/>
  <c r="C41" i="57" s="1"/>
  <c r="K241" i="49"/>
  <c r="K305" i="49"/>
  <c r="K369" i="49"/>
  <c r="K146" i="49"/>
  <c r="K210" i="49"/>
  <c r="K274" i="49"/>
  <c r="K338" i="49"/>
  <c r="J176" i="49"/>
  <c r="K176" i="49" s="1"/>
  <c r="I124" i="1"/>
  <c r="J78" i="49" l="1"/>
  <c r="K78" i="49"/>
  <c r="K177" i="49"/>
  <c r="G28" i="11" s="1"/>
  <c r="F10" i="71"/>
  <c r="G27" i="11"/>
  <c r="G33" i="11"/>
  <c r="F16" i="71"/>
  <c r="F17" i="71"/>
  <c r="G34" i="11"/>
  <c r="F14" i="71"/>
  <c r="G31" i="11"/>
  <c r="G32" i="11"/>
  <c r="F15" i="71"/>
  <c r="G29" i="11"/>
  <c r="F12" i="71"/>
  <c r="F13" i="71"/>
  <c r="G30" i="11"/>
  <c r="G328" i="15"/>
  <c r="G329" i="15" s="1"/>
  <c r="G320" i="15"/>
  <c r="G321" i="15" s="1"/>
  <c r="D298" i="15"/>
  <c r="I283" i="15"/>
  <c r="A283" i="15"/>
  <c r="I281" i="15"/>
  <c r="H281" i="15"/>
  <c r="G281" i="15"/>
  <c r="F281" i="15"/>
  <c r="A266" i="15"/>
  <c r="A267" i="15" s="1"/>
  <c r="A268" i="15" s="1"/>
  <c r="A269" i="15" s="1"/>
  <c r="A270" i="15" s="1"/>
  <c r="A271" i="15" s="1"/>
  <c r="A272" i="15" s="1"/>
  <c r="A273" i="15" s="1"/>
  <c r="A274" i="15" s="1"/>
  <c r="A275" i="15" s="1"/>
  <c r="A276" i="15" s="1"/>
  <c r="A277" i="15" s="1"/>
  <c r="A278" i="15" s="1"/>
  <c r="I261" i="15"/>
  <c r="A185" i="15"/>
  <c r="A186" i="15" s="1"/>
  <c r="A187" i="15" s="1"/>
  <c r="A188" i="15" s="1"/>
  <c r="A189" i="15" s="1"/>
  <c r="A190" i="15" s="1"/>
  <c r="A191" i="15" s="1"/>
  <c r="A192" i="15" s="1"/>
  <c r="A193" i="15" s="1"/>
  <c r="A194" i="15" s="1"/>
  <c r="A195" i="15" s="1"/>
  <c r="A196" i="15" s="1"/>
  <c r="A197" i="15" s="1"/>
  <c r="A198" i="15" s="1"/>
  <c r="A199" i="15" s="1"/>
  <c r="A200" i="15" s="1"/>
  <c r="A201" i="15" s="1"/>
  <c r="A202" i="15" s="1"/>
  <c r="A203" i="15" s="1"/>
  <c r="A204" i="15" s="1"/>
  <c r="A205" i="15" s="1"/>
  <c r="A206" i="15" s="1"/>
  <c r="A207" i="15" s="1"/>
  <c r="A208" i="15" s="1"/>
  <c r="A209" i="15" s="1"/>
  <c r="A210" i="15" s="1"/>
  <c r="A211" i="15" s="1"/>
  <c r="A212" i="15" s="1"/>
  <c r="A213" i="15" s="1"/>
  <c r="A214" i="15" s="1"/>
  <c r="A215" i="15" s="1"/>
  <c r="A216" i="15" s="1"/>
  <c r="A217" i="15" s="1"/>
  <c r="A218" i="15" s="1"/>
  <c r="A219" i="15" s="1"/>
  <c r="A220" i="15" s="1"/>
  <c r="A221" i="15" s="1"/>
  <c r="A222" i="15" s="1"/>
  <c r="A223" i="15" s="1"/>
  <c r="A230" i="15" s="1"/>
  <c r="A231" i="15" s="1"/>
  <c r="A232" i="15" s="1"/>
  <c r="A233" i="15" s="1"/>
  <c r="A234" i="15" s="1"/>
  <c r="A235" i="15" s="1"/>
  <c r="A236" i="15" s="1"/>
  <c r="A237" i="15" s="1"/>
  <c r="A238" i="15" s="1"/>
  <c r="A239" i="15" s="1"/>
  <c r="A240" i="15" s="1"/>
  <c r="A241" i="15" s="1"/>
  <c r="A242" i="15" s="1"/>
  <c r="A243" i="15" s="1"/>
  <c r="A244" i="15" s="1"/>
  <c r="A245" i="15" s="1"/>
  <c r="A246" i="15" s="1"/>
  <c r="A247" i="15" s="1"/>
  <c r="A248" i="15" s="1"/>
  <c r="A249" i="15" s="1"/>
  <c r="A250" i="15" s="1"/>
  <c r="A251" i="15" s="1"/>
  <c r="A252" i="15" s="1"/>
  <c r="A253" i="15" s="1"/>
  <c r="A254" i="15" s="1"/>
  <c r="A255" i="15" s="1"/>
  <c r="A256" i="15" s="1"/>
  <c r="A257" i="15" s="1"/>
  <c r="A258" i="15" s="1"/>
  <c r="A259" i="15" s="1"/>
  <c r="E176" i="15"/>
  <c r="A172" i="15"/>
  <c r="A173" i="15" s="1"/>
  <c r="I171" i="15"/>
  <c r="H171" i="15"/>
  <c r="D171" i="15"/>
  <c r="A149" i="15"/>
  <c r="A150" i="15" s="1"/>
  <c r="A151" i="15" s="1"/>
  <c r="A152" i="15" s="1"/>
  <c r="A153" i="15" s="1"/>
  <c r="A154" i="15" s="1"/>
  <c r="A155" i="15" s="1"/>
  <c r="A156" i="15" s="1"/>
  <c r="A157" i="15" s="1"/>
  <c r="A158" i="15" s="1"/>
  <c r="A159" i="15" s="1"/>
  <c r="A160" i="15" s="1"/>
  <c r="A161" i="15" s="1"/>
  <c r="A162" i="15" s="1"/>
  <c r="A163" i="15" s="1"/>
  <c r="A164" i="15" s="1"/>
  <c r="A165" i="15" s="1"/>
  <c r="A166" i="15" s="1"/>
  <c r="A167" i="15" s="1"/>
  <c r="A168" i="15" s="1"/>
  <c r="I137" i="15"/>
  <c r="A137" i="15"/>
  <c r="E142" i="15" s="1"/>
  <c r="I135" i="15"/>
  <c r="H135" i="15"/>
  <c r="G135" i="15"/>
  <c r="F135" i="15"/>
  <c r="D135" i="15"/>
  <c r="A119" i="15"/>
  <c r="A120" i="15" s="1"/>
  <c r="A121" i="15" s="1"/>
  <c r="A122" i="15" s="1"/>
  <c r="A123" i="15" s="1"/>
  <c r="A124" i="15" s="1"/>
  <c r="A125" i="15" s="1"/>
  <c r="A126" i="15" s="1"/>
  <c r="A127" i="15" s="1"/>
  <c r="A128" i="15" s="1"/>
  <c r="A129" i="15" s="1"/>
  <c r="A130" i="15" s="1"/>
  <c r="A131" i="15" s="1"/>
  <c r="A132" i="15" s="1"/>
  <c r="D114" i="15"/>
  <c r="F114" i="15"/>
  <c r="A31" i="15"/>
  <c r="A11" i="15"/>
  <c r="A12" i="15" s="1"/>
  <c r="A13" i="15" s="1"/>
  <c r="K79" i="49" l="1"/>
  <c r="C42" i="57" s="1"/>
  <c r="F11" i="71"/>
  <c r="F171" i="15"/>
  <c r="F173" i="15" s="1"/>
  <c r="I173" i="15"/>
  <c r="E14" i="15"/>
  <c r="A14" i="15"/>
  <c r="E19" i="15" s="1"/>
  <c r="E171" i="15"/>
  <c r="A284" i="15"/>
  <c r="A285" i="15" s="1"/>
  <c r="E12" i="15" s="1"/>
  <c r="D137" i="15"/>
  <c r="G171" i="15"/>
  <c r="E135" i="15"/>
  <c r="F137" i="15"/>
  <c r="F139" i="15" s="1"/>
  <c r="A32" i="15"/>
  <c r="A33" i="15" s="1"/>
  <c r="A34" i="15" s="1"/>
  <c r="A35" i="15" s="1"/>
  <c r="A36" i="15" s="1"/>
  <c r="A37" i="15" s="1"/>
  <c r="A38" i="15" s="1"/>
  <c r="A39" i="15" s="1"/>
  <c r="A40" i="15" s="1"/>
  <c r="A41" i="15" s="1"/>
  <c r="A42" i="15" s="1"/>
  <c r="A43" i="15" s="1"/>
  <c r="A44" i="15" s="1"/>
  <c r="A45" i="15" s="1"/>
  <c r="A46" i="15" s="1"/>
  <c r="A47" i="15" s="1"/>
  <c r="A48" i="15" s="1"/>
  <c r="A49" i="15" s="1"/>
  <c r="A50" i="15" s="1"/>
  <c r="A51" i="15" s="1"/>
  <c r="A52" i="15" s="1"/>
  <c r="A53" i="15" s="1"/>
  <c r="A54" i="15" s="1"/>
  <c r="A55" i="15" s="1"/>
  <c r="A56" i="15" s="1"/>
  <c r="A57" i="15" s="1"/>
  <c r="A58" i="15" s="1"/>
  <c r="A59" i="15" s="1"/>
  <c r="A60" i="15" s="1"/>
  <c r="A61" i="15" s="1"/>
  <c r="A62" i="15" s="1"/>
  <c r="A63" i="15" s="1"/>
  <c r="A64" i="15" s="1"/>
  <c r="A65" i="15" s="1"/>
  <c r="A66" i="15" s="1"/>
  <c r="A67" i="15" s="1"/>
  <c r="A68" i="15" s="1"/>
  <c r="A69" i="15" s="1"/>
  <c r="A70" i="15" s="1"/>
  <c r="A71" i="15" s="1"/>
  <c r="A72" i="15" s="1"/>
  <c r="A79" i="15" s="1"/>
  <c r="A80" i="15" s="1"/>
  <c r="A81" i="15" s="1"/>
  <c r="A82" i="15" s="1"/>
  <c r="A83" i="15" s="1"/>
  <c r="A84" i="15" s="1"/>
  <c r="A85" i="15" s="1"/>
  <c r="A86" i="15" s="1"/>
  <c r="A87" i="15" s="1"/>
  <c r="A88" i="15" s="1"/>
  <c r="A89" i="15" s="1"/>
  <c r="A90" i="15" s="1"/>
  <c r="A91" i="15" s="1"/>
  <c r="A92" i="15" s="1"/>
  <c r="A93" i="15" s="1"/>
  <c r="A94" i="15" s="1"/>
  <c r="A95" i="15" s="1"/>
  <c r="A96" i="15" s="1"/>
  <c r="A97" i="15" s="1"/>
  <c r="A98" i="15" s="1"/>
  <c r="A99" i="15" s="1"/>
  <c r="A100" i="15" s="1"/>
  <c r="A101" i="15" s="1"/>
  <c r="A102" i="15" s="1"/>
  <c r="A103" i="15" s="1"/>
  <c r="A104" i="15" s="1"/>
  <c r="A105" i="15" s="1"/>
  <c r="A106" i="15" s="1"/>
  <c r="A107" i="15" s="1"/>
  <c r="A108" i="15" s="1"/>
  <c r="A109" i="15" s="1"/>
  <c r="A110" i="15" s="1"/>
  <c r="A111" i="15" s="1"/>
  <c r="A112" i="15" s="1"/>
  <c r="I114" i="15"/>
  <c r="D281" i="15"/>
  <c r="E281" i="15"/>
  <c r="H261" i="15"/>
  <c r="H283" i="15" s="1"/>
  <c r="A176" i="15"/>
  <c r="E11" i="15"/>
  <c r="D261" i="15"/>
  <c r="A138" i="15"/>
  <c r="A139" i="15" s="1"/>
  <c r="E288" i="15"/>
  <c r="D82" i="7" l="1"/>
  <c r="A15" i="15"/>
  <c r="A16" i="15" s="1"/>
  <c r="A17" i="15" s="1"/>
  <c r="A18" i="15" s="1"/>
  <c r="A19" i="15" s="1"/>
  <c r="A20" i="15" s="1"/>
  <c r="A21" i="15" s="1"/>
  <c r="A22" i="15" s="1"/>
  <c r="A23" i="15" s="1"/>
  <c r="A24" i="15" s="1"/>
  <c r="A288" i="15"/>
  <c r="A296" i="15" s="1"/>
  <c r="G261" i="15"/>
  <c r="G283" i="15" s="1"/>
  <c r="I285" i="15"/>
  <c r="E114" i="15"/>
  <c r="E137" i="15" s="1"/>
  <c r="G114" i="15"/>
  <c r="G137" i="15" s="1"/>
  <c r="H114" i="15"/>
  <c r="H137" i="15" s="1"/>
  <c r="A142" i="15"/>
  <c r="E10" i="15"/>
  <c r="D283" i="15"/>
  <c r="I139" i="15"/>
  <c r="F261" i="15"/>
  <c r="F283" i="15" s="1"/>
  <c r="F285" i="15" s="1"/>
  <c r="E261" i="15"/>
  <c r="E283" i="15" s="1"/>
  <c r="A297" i="15"/>
  <c r="A298" i="15" s="1"/>
  <c r="E24" i="15" l="1"/>
  <c r="A299" i="15"/>
  <c r="A300" i="15" s="1"/>
  <c r="E13" i="15" s="1"/>
  <c r="I298" i="15"/>
  <c r="I300" i="15" l="1"/>
  <c r="A62" i="2"/>
  <c r="E42" i="30" l="1"/>
  <c r="E22" i="30" s="1"/>
  <c r="E41" i="30"/>
  <c r="D22" i="30" s="1"/>
  <c r="F103" i="8" l="1"/>
  <c r="F98" i="8"/>
  <c r="F84" i="8"/>
  <c r="E84" i="8"/>
  <c r="E87" i="8" s="1"/>
  <c r="F96" i="8"/>
  <c r="F95" i="8"/>
  <c r="E72" i="7"/>
  <c r="G79" i="46"/>
  <c r="G78" i="46"/>
  <c r="J10" i="28" l="1"/>
  <c r="C12" i="72"/>
  <c r="L10" i="28" s="1"/>
  <c r="F23" i="22" l="1"/>
  <c r="G23" i="22"/>
  <c r="A11" i="22"/>
  <c r="A12" i="22" s="1"/>
  <c r="A13" i="22" s="1"/>
  <c r="A14" i="22" s="1"/>
  <c r="A15" i="22" s="1"/>
  <c r="A16" i="22" s="1"/>
  <c r="A17" i="22" s="1"/>
  <c r="A18" i="22" s="1"/>
  <c r="A19" i="22" s="1"/>
  <c r="A20" i="22" s="1"/>
  <c r="A10" i="22"/>
  <c r="A21" i="22" l="1"/>
  <c r="A67" i="44" l="1"/>
  <c r="A68" i="44" s="1"/>
  <c r="A69" i="44" s="1"/>
  <c r="A70" i="44" s="1"/>
  <c r="A30" i="44"/>
  <c r="A18" i="44"/>
  <c r="G81" i="44" l="1"/>
  <c r="A77" i="44"/>
  <c r="I108" i="1"/>
  <c r="A108" i="1" l="1"/>
  <c r="K108" i="1" l="1"/>
  <c r="E73" i="7" l="1"/>
  <c r="H193" i="61" l="1"/>
  <c r="H196" i="61" s="1"/>
  <c r="M193" i="61" l="1"/>
  <c r="F193" i="61"/>
  <c r="N193" i="61" s="1"/>
  <c r="G193" i="61" l="1"/>
  <c r="I193" i="61" s="1"/>
  <c r="A63" i="2"/>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D125" i="2" l="1"/>
  <c r="D126" i="2" s="1"/>
  <c r="F163" i="46" s="1"/>
  <c r="D119" i="2"/>
  <c r="D120" i="2" s="1"/>
  <c r="F162" i="46" s="1"/>
  <c r="D113" i="2"/>
  <c r="D114" i="2" s="1"/>
  <c r="F161" i="46" s="1"/>
  <c r="D107" i="2"/>
  <c r="D108" i="2" s="1"/>
  <c r="F145" i="46" s="1"/>
  <c r="D101" i="2"/>
  <c r="D102" i="2" s="1"/>
  <c r="F141" i="46" s="1"/>
  <c r="D95" i="2"/>
  <c r="D96" i="2" s="1"/>
  <c r="F136" i="46" s="1"/>
  <c r="D89" i="2"/>
  <c r="D90" i="2" s="1"/>
  <c r="F134" i="46" s="1"/>
  <c r="D83" i="2"/>
  <c r="D84" i="2" s="1"/>
  <c r="F133" i="46" s="1"/>
  <c r="D77" i="2"/>
  <c r="D78" i="2" s="1"/>
  <c r="F132" i="46" s="1"/>
  <c r="D71" i="2"/>
  <c r="D72" i="2" s="1"/>
  <c r="F122" i="46" s="1"/>
  <c r="D65" i="2"/>
  <c r="D66" i="2" s="1"/>
  <c r="F121" i="46" s="1"/>
  <c r="D59" i="2"/>
  <c r="D60" i="2" s="1"/>
  <c r="D53" i="2"/>
  <c r="D54" i="2" s="1"/>
  <c r="D47" i="2"/>
  <c r="D48" i="2" s="1"/>
  <c r="F106" i="46" s="1"/>
  <c r="D41" i="2"/>
  <c r="D42" i="2" s="1"/>
  <c r="F105" i="46" s="1"/>
  <c r="D35" i="2"/>
  <c r="D36" i="2" s="1"/>
  <c r="F143" i="46" l="1"/>
  <c r="F109" i="46"/>
  <c r="F100" i="46"/>
  <c r="F101" i="46"/>
  <c r="F99" i="46"/>
  <c r="F108" i="46"/>
  <c r="F140" i="46"/>
  <c r="F139" i="46"/>
  <c r="F138" i="46"/>
  <c r="C29" i="46"/>
  <c r="L29" i="46"/>
  <c r="E115" i="46" s="1"/>
  <c r="K29" i="46"/>
  <c r="G29" i="46"/>
  <c r="J29" i="46" l="1"/>
  <c r="C115" i="46" s="1"/>
  <c r="D115" i="46"/>
  <c r="I64" i="72"/>
  <c r="L40" i="28" s="1"/>
  <c r="H74" i="72" l="1"/>
  <c r="L39" i="28" s="1"/>
  <c r="E45" i="21"/>
  <c r="E44" i="21"/>
  <c r="B190" i="71" l="1"/>
  <c r="B187" i="71"/>
  <c r="E21" i="2"/>
  <c r="E20" i="2"/>
  <c r="E12" i="2"/>
  <c r="E11" i="2"/>
  <c r="E41" i="71"/>
  <c r="H27" i="8"/>
  <c r="H25" i="8"/>
  <c r="H23" i="8"/>
  <c r="H9" i="8"/>
  <c r="H8" i="8"/>
  <c r="G40" i="32"/>
  <c r="G34" i="32"/>
  <c r="G28" i="32"/>
  <c r="G20" i="32"/>
  <c r="G14" i="32"/>
  <c r="G41" i="32"/>
  <c r="G35" i="32"/>
  <c r="G29" i="32"/>
  <c r="G21" i="32"/>
  <c r="G15" i="32"/>
  <c r="B37" i="31"/>
  <c r="G10" i="31"/>
  <c r="G9" i="31"/>
  <c r="B99" i="44"/>
  <c r="B194" i="71"/>
  <c r="B184" i="71"/>
  <c r="B183" i="71"/>
  <c r="F141" i="71"/>
  <c r="F140" i="71"/>
  <c r="F114" i="71"/>
  <c r="F54" i="71"/>
  <c r="F47" i="71"/>
  <c r="D87" i="46"/>
  <c r="G90" i="12"/>
  <c r="J49" i="28"/>
  <c r="J47" i="28"/>
  <c r="J46" i="28"/>
  <c r="J32" i="28"/>
  <c r="J8" i="28"/>
  <c r="G69" i="8"/>
  <c r="G71" i="8"/>
  <c r="H62" i="8"/>
  <c r="E58" i="7"/>
  <c r="E54" i="7"/>
  <c r="E51" i="7"/>
  <c r="E39" i="7"/>
  <c r="I135" i="1"/>
  <c r="I134" i="1"/>
  <c r="I133" i="1"/>
  <c r="I130" i="1"/>
  <c r="I128" i="1"/>
  <c r="I126" i="1"/>
  <c r="I100" i="1"/>
  <c r="I32" i="1"/>
  <c r="I30" i="1"/>
  <c r="I26" i="1"/>
  <c r="I22" i="1"/>
  <c r="I12" i="1"/>
  <c r="I11" i="1"/>
  <c r="D71" i="17" l="1"/>
  <c r="D7" i="17" s="1"/>
  <c r="F209" i="61" l="1"/>
  <c r="F210" i="61"/>
  <c r="F207" i="61"/>
  <c r="F213" i="61"/>
  <c r="G31" i="57" l="1"/>
  <c r="F48" i="71"/>
  <c r="F55" i="71"/>
  <c r="C36" i="71"/>
  <c r="F34" i="71"/>
  <c r="J45" i="8" l="1"/>
  <c r="E71" i="8" l="1"/>
  <c r="C108" i="26" l="1"/>
  <c r="G98" i="12"/>
  <c r="E19" i="55"/>
  <c r="E17" i="55"/>
  <c r="E18" i="55"/>
  <c r="G33" i="57"/>
  <c r="A33" i="57"/>
  <c r="A34" i="57" s="1"/>
  <c r="A35" i="57" s="1"/>
  <c r="A36" i="57" s="1"/>
  <c r="A37" i="57" s="1"/>
  <c r="A38" i="57" s="1"/>
  <c r="A39" i="57" s="1"/>
  <c r="A40" i="57" s="1"/>
  <c r="A41" i="57" s="1"/>
  <c r="A42" i="57" s="1"/>
  <c r="A43" i="57" s="1"/>
  <c r="A44" i="57" s="1"/>
  <c r="A45" i="57" s="1"/>
  <c r="A46" i="57" s="1"/>
  <c r="A47" i="57" s="1"/>
  <c r="A32" i="57"/>
  <c r="I21" i="45"/>
  <c r="L23" i="4" l="1"/>
  <c r="L24" i="64" s="1"/>
  <c r="C128" i="48" s="1"/>
  <c r="E128" i="48" s="1"/>
  <c r="K23" i="4"/>
  <c r="K24" i="64" s="1"/>
  <c r="C127" i="48" s="1"/>
  <c r="E127" i="48" s="1"/>
  <c r="J23" i="4"/>
  <c r="J24" i="64" s="1"/>
  <c r="C126" i="48" s="1"/>
  <c r="E126" i="48" s="1"/>
  <c r="I23" i="4"/>
  <c r="I24" i="64" s="1"/>
  <c r="C125" i="48" s="1"/>
  <c r="E125" i="48" s="1"/>
  <c r="H23" i="4"/>
  <c r="H24" i="64" s="1"/>
  <c r="C124" i="48" s="1"/>
  <c r="E124" i="48" s="1"/>
  <c r="G23" i="4"/>
  <c r="G24" i="64" s="1"/>
  <c r="C123" i="48" s="1"/>
  <c r="E123" i="48" s="1"/>
  <c r="F23" i="4"/>
  <c r="F24" i="64" s="1"/>
  <c r="C122" i="48" s="1"/>
  <c r="E122" i="48" s="1"/>
  <c r="E23" i="4"/>
  <c r="E24" i="64" s="1"/>
  <c r="C121" i="48" s="1"/>
  <c r="E121" i="48" l="1"/>
  <c r="E130" i="48" s="1"/>
  <c r="E131" i="48"/>
  <c r="F70" i="26"/>
  <c r="H57" i="26"/>
  <c r="F64" i="26"/>
  <c r="E133" i="48" l="1"/>
  <c r="L92" i="48" s="1"/>
  <c r="G63" i="22"/>
  <c r="G69" i="22"/>
  <c r="G46" i="22"/>
  <c r="G34" i="22"/>
  <c r="C57" i="22"/>
  <c r="L96" i="48" l="1"/>
  <c r="L46" i="48"/>
  <c r="M46" i="48" s="1"/>
  <c r="L97" i="48"/>
  <c r="L98" i="48"/>
  <c r="L99" i="48"/>
  <c r="L85" i="48"/>
  <c r="L81" i="48"/>
  <c r="L89" i="48"/>
  <c r="L95" i="48"/>
  <c r="L62" i="48"/>
  <c r="L87" i="48"/>
  <c r="L55" i="48"/>
  <c r="L79" i="48"/>
  <c r="L65" i="48"/>
  <c r="L61" i="48"/>
  <c r="L29" i="48" s="1"/>
  <c r="L58" i="48"/>
  <c r="L26" i="48" s="1"/>
  <c r="L53" i="48"/>
  <c r="L78" i="48"/>
  <c r="L93" i="48"/>
  <c r="L60" i="48"/>
  <c r="L86" i="48"/>
  <c r="L52" i="48"/>
  <c r="L48" i="48"/>
  <c r="L66" i="48"/>
  <c r="L67" i="48"/>
  <c r="L68" i="48"/>
  <c r="L54" i="48"/>
  <c r="L50" i="48"/>
  <c r="L49" i="48"/>
  <c r="L64" i="48"/>
  <c r="L91" i="48"/>
  <c r="L59" i="48"/>
  <c r="L56" i="48"/>
  <c r="L83" i="48"/>
  <c r="L20" i="48" s="1"/>
  <c r="L51" i="48"/>
  <c r="L47" i="48"/>
  <c r="L94" i="48"/>
  <c r="L63" i="48"/>
  <c r="L90" i="48"/>
  <c r="L88" i="48"/>
  <c r="L57" i="48"/>
  <c r="L84" i="48"/>
  <c r="L82" i="48"/>
  <c r="L80" i="48"/>
  <c r="L77" i="48"/>
  <c r="M77" i="48" s="1"/>
  <c r="N77" i="48" s="1"/>
  <c r="F69" i="22"/>
  <c r="F46" i="22" s="1"/>
  <c r="F63" i="22"/>
  <c r="F34" i="22" s="1"/>
  <c r="L33" i="48" l="1"/>
  <c r="L18" i="48"/>
  <c r="L34" i="48"/>
  <c r="L36" i="48"/>
  <c r="L21" i="48"/>
  <c r="L35" i="48"/>
  <c r="L16" i="48"/>
  <c r="L22" i="48"/>
  <c r="L30" i="48"/>
  <c r="L23" i="48"/>
  <c r="L15" i="48"/>
  <c r="M78" i="48"/>
  <c r="N78" i="48" s="1"/>
  <c r="L24" i="48"/>
  <c r="L14" i="48"/>
  <c r="L28" i="48"/>
  <c r="L19" i="48"/>
  <c r="L32" i="48"/>
  <c r="L17" i="48"/>
  <c r="L27" i="48"/>
  <c r="L31" i="48"/>
  <c r="L25" i="48"/>
  <c r="F49" i="22"/>
  <c r="M14" i="48"/>
  <c r="N46" i="48"/>
  <c r="N14" i="48" s="1"/>
  <c r="M47" i="48"/>
  <c r="N190" i="61"/>
  <c r="J190" i="61"/>
  <c r="M190" i="61" s="1"/>
  <c r="G190" i="61"/>
  <c r="I190" i="61" s="1"/>
  <c r="E196" i="61"/>
  <c r="M79" i="48" l="1"/>
  <c r="N79" i="48" s="1"/>
  <c r="M15" i="48"/>
  <c r="N47" i="48"/>
  <c r="N15" i="48" s="1"/>
  <c r="M48" i="48"/>
  <c r="K44" i="1"/>
  <c r="K52" i="1" s="1"/>
  <c r="B112" i="12"/>
  <c r="E129" i="21"/>
  <c r="M80" i="48" l="1"/>
  <c r="M81" i="48" s="1"/>
  <c r="M16" i="48"/>
  <c r="N48" i="48"/>
  <c r="N16" i="48" s="1"/>
  <c r="M49" i="48"/>
  <c r="K133" i="1"/>
  <c r="N80" i="48" l="1"/>
  <c r="N81" i="48"/>
  <c r="M82" i="48"/>
  <c r="M50" i="48"/>
  <c r="M17" i="48"/>
  <c r="N49" i="48"/>
  <c r="C8" i="72"/>
  <c r="L8" i="28" s="1"/>
  <c r="A34" i="72"/>
  <c r="J50" i="28" s="1"/>
  <c r="A26" i="72"/>
  <c r="J33" i="28" s="1"/>
  <c r="C32" i="72"/>
  <c r="L49" i="28" s="1"/>
  <c r="A22" i="72"/>
  <c r="A10" i="72"/>
  <c r="C34" i="72"/>
  <c r="L50" i="28" s="1"/>
  <c r="C30" i="72"/>
  <c r="L46" i="28" s="1"/>
  <c r="C28" i="72"/>
  <c r="L34" i="28" s="1"/>
  <c r="L48" i="28" s="1"/>
  <c r="C26" i="72"/>
  <c r="L33" i="28" s="1"/>
  <c r="C24" i="72"/>
  <c r="C14" i="72"/>
  <c r="L11" i="28" s="1"/>
  <c r="C10" i="72"/>
  <c r="L9" i="28" s="1"/>
  <c r="N17" i="48" l="1"/>
  <c r="N50" i="48"/>
  <c r="N18" i="48" s="1"/>
  <c r="M51" i="48"/>
  <c r="M18" i="48"/>
  <c r="N82" i="48"/>
  <c r="M83" i="48"/>
  <c r="L16" i="28"/>
  <c r="A14" i="72"/>
  <c r="J9" i="28"/>
  <c r="L32" i="28"/>
  <c r="L47" i="28"/>
  <c r="A28" i="72"/>
  <c r="J34" i="28" s="1"/>
  <c r="N83" i="48" l="1"/>
  <c r="M84" i="48"/>
  <c r="M52" i="48"/>
  <c r="N51" i="48"/>
  <c r="N19" i="48" s="1"/>
  <c r="M19" i="48"/>
  <c r="A16" i="72"/>
  <c r="J11" i="28"/>
  <c r="M53" i="48" l="1"/>
  <c r="M20" i="48"/>
  <c r="N52" i="48"/>
  <c r="N20" i="48" s="1"/>
  <c r="N84" i="48"/>
  <c r="M85" i="48"/>
  <c r="A18" i="72"/>
  <c r="M54" i="48" l="1"/>
  <c r="M21" i="48"/>
  <c r="N53" i="48"/>
  <c r="N21" i="48" s="1"/>
  <c r="N85" i="48"/>
  <c r="M86" i="48"/>
  <c r="L41" i="28"/>
  <c r="A9" i="28"/>
  <c r="M55" i="48" l="1"/>
  <c r="N54" i="48"/>
  <c r="N22" i="48" s="1"/>
  <c r="M22" i="48"/>
  <c r="N86" i="48"/>
  <c r="M87" i="48"/>
  <c r="A11" i="28"/>
  <c r="A12" i="28" s="1"/>
  <c r="A13" i="28" s="1"/>
  <c r="L51" i="28"/>
  <c r="L35" i="28"/>
  <c r="L43" i="28" s="1"/>
  <c r="M23" i="48" l="1"/>
  <c r="M56" i="48"/>
  <c r="N55" i="48"/>
  <c r="N23" i="48" s="1"/>
  <c r="N87" i="48"/>
  <c r="M88" i="48"/>
  <c r="J16" i="28"/>
  <c r="A14" i="28"/>
  <c r="E41" i="57"/>
  <c r="N88" i="48" l="1"/>
  <c r="M89" i="48"/>
  <c r="M24" i="48"/>
  <c r="N56" i="48"/>
  <c r="N24" i="48" s="1"/>
  <c r="M57" i="48"/>
  <c r="E51" i="63"/>
  <c r="E50" i="63"/>
  <c r="E49" i="63"/>
  <c r="E48" i="63"/>
  <c r="E45" i="63"/>
  <c r="E44" i="63"/>
  <c r="E43" i="63"/>
  <c r="E42" i="63"/>
  <c r="E41" i="63"/>
  <c r="E40" i="63"/>
  <c r="E39" i="63"/>
  <c r="E38" i="63"/>
  <c r="E37" i="63"/>
  <c r="E36" i="63"/>
  <c r="E35" i="63"/>
  <c r="E34" i="63"/>
  <c r="E33" i="63"/>
  <c r="E32" i="63"/>
  <c r="E31" i="63"/>
  <c r="E30" i="63"/>
  <c r="E29" i="63"/>
  <c r="M25" i="48" l="1"/>
  <c r="M58" i="48"/>
  <c r="N57" i="48"/>
  <c r="N25" i="48" s="1"/>
  <c r="N89" i="48"/>
  <c r="M90" i="48"/>
  <c r="E27" i="12"/>
  <c r="E26" i="12"/>
  <c r="E25" i="12"/>
  <c r="N90" i="48" l="1"/>
  <c r="M91" i="48"/>
  <c r="N58" i="48"/>
  <c r="N26" i="48" s="1"/>
  <c r="M26" i="48"/>
  <c r="M59" i="48"/>
  <c r="A15" i="28"/>
  <c r="M60" i="48" l="1"/>
  <c r="N59" i="48"/>
  <c r="N27" i="48" s="1"/>
  <c r="M27" i="48"/>
  <c r="N91" i="48"/>
  <c r="M92" i="48"/>
  <c r="A16" i="28"/>
  <c r="I63" i="1" s="1"/>
  <c r="N60" i="48" l="1"/>
  <c r="N28" i="48" s="1"/>
  <c r="M61" i="48"/>
  <c r="M28" i="48"/>
  <c r="N92" i="48"/>
  <c r="M93" i="48"/>
  <c r="A19" i="28"/>
  <c r="J27" i="28" s="1"/>
  <c r="N93" i="48" l="1"/>
  <c r="M94" i="48"/>
  <c r="M62" i="48"/>
  <c r="M29" i="48"/>
  <c r="N61" i="48"/>
  <c r="N29" i="48" s="1"/>
  <c r="A20" i="28"/>
  <c r="A21" i="28" s="1"/>
  <c r="A22" i="28" s="1"/>
  <c r="A23" i="28" s="1"/>
  <c r="A25" i="28" s="1"/>
  <c r="A26" i="28" s="1"/>
  <c r="A27" i="28" s="1"/>
  <c r="I64" i="1" s="1"/>
  <c r="M63" i="48" l="1"/>
  <c r="M30" i="48"/>
  <c r="N62" i="48"/>
  <c r="N30" i="48" s="1"/>
  <c r="N94" i="48"/>
  <c r="M95" i="48"/>
  <c r="A29" i="28"/>
  <c r="I65" i="1" s="1"/>
  <c r="J29" i="28"/>
  <c r="A32" i="28"/>
  <c r="A33" i="28" s="1"/>
  <c r="H302" i="11"/>
  <c r="G302" i="11"/>
  <c r="H301" i="11"/>
  <c r="G301" i="11"/>
  <c r="H300" i="11"/>
  <c r="G300" i="11"/>
  <c r="H299" i="11"/>
  <c r="G299" i="11"/>
  <c r="H298" i="11"/>
  <c r="G298" i="11"/>
  <c r="H297" i="11"/>
  <c r="G297" i="11"/>
  <c r="H296" i="11"/>
  <c r="G296" i="11"/>
  <c r="H295" i="11"/>
  <c r="G295" i="11"/>
  <c r="H294" i="11"/>
  <c r="G294" i="11"/>
  <c r="H293" i="11"/>
  <c r="G293" i="11"/>
  <c r="H292" i="11"/>
  <c r="G292" i="11"/>
  <c r="H291" i="11"/>
  <c r="G291" i="11"/>
  <c r="H290" i="11"/>
  <c r="G290" i="11"/>
  <c r="H283" i="11"/>
  <c r="G283" i="11"/>
  <c r="H282" i="11"/>
  <c r="G282" i="11"/>
  <c r="H281" i="11"/>
  <c r="G281" i="11"/>
  <c r="H280" i="11"/>
  <c r="G280" i="11"/>
  <c r="H279" i="11"/>
  <c r="G279" i="11"/>
  <c r="H278" i="11"/>
  <c r="G278" i="11"/>
  <c r="H277" i="11"/>
  <c r="G277" i="11"/>
  <c r="H276" i="11"/>
  <c r="G276" i="11"/>
  <c r="H275" i="11"/>
  <c r="G275" i="11"/>
  <c r="H274" i="11"/>
  <c r="G274" i="11"/>
  <c r="H273" i="11"/>
  <c r="G273" i="11"/>
  <c r="H272" i="11"/>
  <c r="G272" i="11"/>
  <c r="H271" i="11"/>
  <c r="G271" i="11"/>
  <c r="H264" i="11"/>
  <c r="G264" i="11"/>
  <c r="H263" i="11"/>
  <c r="G263" i="11"/>
  <c r="H262" i="11"/>
  <c r="G262" i="11"/>
  <c r="H261" i="11"/>
  <c r="G261" i="11"/>
  <c r="H260" i="11"/>
  <c r="G260" i="11"/>
  <c r="H259" i="11"/>
  <c r="G259" i="11"/>
  <c r="H258" i="11"/>
  <c r="G258" i="11"/>
  <c r="H257" i="11"/>
  <c r="G257" i="11"/>
  <c r="H256" i="11"/>
  <c r="G256" i="11"/>
  <c r="H255" i="11"/>
  <c r="G255" i="11"/>
  <c r="H254" i="11"/>
  <c r="G254" i="11"/>
  <c r="H253" i="11"/>
  <c r="G253" i="11"/>
  <c r="H252" i="11"/>
  <c r="G252" i="11"/>
  <c r="H245" i="11"/>
  <c r="G245" i="11"/>
  <c r="H244" i="11"/>
  <c r="G244" i="11"/>
  <c r="H243" i="11"/>
  <c r="G243" i="11"/>
  <c r="H242" i="11"/>
  <c r="G242" i="11"/>
  <c r="H241" i="11"/>
  <c r="G241" i="11"/>
  <c r="H240" i="11"/>
  <c r="G240" i="11"/>
  <c r="H239" i="11"/>
  <c r="G239" i="11"/>
  <c r="H238" i="11"/>
  <c r="G238" i="11"/>
  <c r="H237" i="11"/>
  <c r="G237" i="11"/>
  <c r="H236" i="11"/>
  <c r="G236" i="11"/>
  <c r="H235" i="11"/>
  <c r="G235" i="11"/>
  <c r="H234" i="11"/>
  <c r="G234" i="11"/>
  <c r="H233" i="11"/>
  <c r="G233" i="11"/>
  <c r="H226" i="11"/>
  <c r="G226" i="11"/>
  <c r="H225" i="11"/>
  <c r="G225" i="11"/>
  <c r="H224" i="11"/>
  <c r="G224" i="11"/>
  <c r="H223" i="11"/>
  <c r="G223" i="11"/>
  <c r="H222" i="11"/>
  <c r="G222" i="11"/>
  <c r="H221" i="11"/>
  <c r="G221" i="11"/>
  <c r="H220" i="11"/>
  <c r="G220" i="11"/>
  <c r="H219" i="11"/>
  <c r="G219" i="11"/>
  <c r="H218" i="11"/>
  <c r="G218" i="11"/>
  <c r="H217" i="11"/>
  <c r="G217" i="11"/>
  <c r="H216" i="11"/>
  <c r="G216" i="11"/>
  <c r="H215" i="11"/>
  <c r="G215" i="11"/>
  <c r="H214" i="11"/>
  <c r="G214" i="11"/>
  <c r="H207" i="11"/>
  <c r="G207" i="11"/>
  <c r="H206" i="11"/>
  <c r="G206" i="11"/>
  <c r="H205" i="11"/>
  <c r="G205" i="11"/>
  <c r="H204" i="11"/>
  <c r="G204" i="11"/>
  <c r="H203" i="11"/>
  <c r="G203" i="11"/>
  <c r="H202" i="11"/>
  <c r="G202" i="11"/>
  <c r="H201" i="11"/>
  <c r="G201" i="11"/>
  <c r="H200" i="11"/>
  <c r="G200" i="11"/>
  <c r="H199" i="11"/>
  <c r="G199" i="11"/>
  <c r="H198" i="11"/>
  <c r="G198" i="11"/>
  <c r="H197" i="11"/>
  <c r="G197" i="11"/>
  <c r="H196" i="11"/>
  <c r="G196" i="11"/>
  <c r="H195" i="11"/>
  <c r="G195" i="11"/>
  <c r="H188" i="11"/>
  <c r="G188" i="11"/>
  <c r="H187" i="11"/>
  <c r="G187" i="11"/>
  <c r="H186" i="11"/>
  <c r="G186" i="11"/>
  <c r="H185" i="11"/>
  <c r="G185" i="11"/>
  <c r="H184" i="11"/>
  <c r="G184" i="11"/>
  <c r="H183" i="11"/>
  <c r="G183" i="11"/>
  <c r="H182" i="11"/>
  <c r="G182" i="11"/>
  <c r="H181" i="11"/>
  <c r="G181" i="11"/>
  <c r="H180" i="11"/>
  <c r="G180" i="11"/>
  <c r="H179" i="11"/>
  <c r="G179" i="11"/>
  <c r="H178" i="11"/>
  <c r="G178" i="11"/>
  <c r="H177" i="11"/>
  <c r="G177" i="11"/>
  <c r="H176" i="11"/>
  <c r="G176" i="11"/>
  <c r="H169" i="11"/>
  <c r="G169" i="11"/>
  <c r="G84" i="11" s="1"/>
  <c r="H168" i="11"/>
  <c r="G168" i="11"/>
  <c r="G83" i="11" s="1"/>
  <c r="H167" i="11"/>
  <c r="G167" i="11"/>
  <c r="G82" i="11" s="1"/>
  <c r="H166" i="11"/>
  <c r="G166" i="11"/>
  <c r="G81" i="11" s="1"/>
  <c r="H165" i="11"/>
  <c r="G165" i="11"/>
  <c r="G80" i="11" s="1"/>
  <c r="H164" i="11"/>
  <c r="G164" i="11"/>
  <c r="G79" i="11" s="1"/>
  <c r="H163" i="11"/>
  <c r="G163" i="11"/>
  <c r="G78" i="11" s="1"/>
  <c r="H162" i="11"/>
  <c r="G162" i="11"/>
  <c r="G77" i="11" s="1"/>
  <c r="H161" i="11"/>
  <c r="G161" i="11"/>
  <c r="G76" i="11" s="1"/>
  <c r="H160" i="11"/>
  <c r="G160" i="11"/>
  <c r="G75" i="11" s="1"/>
  <c r="H159" i="11"/>
  <c r="G159" i="11"/>
  <c r="G74" i="11" s="1"/>
  <c r="H158" i="11"/>
  <c r="G158" i="11"/>
  <c r="G73" i="11" s="1"/>
  <c r="H157" i="11"/>
  <c r="G157" i="11"/>
  <c r="G72" i="11" s="1"/>
  <c r="H149" i="11"/>
  <c r="G149" i="11"/>
  <c r="H84" i="11" s="1"/>
  <c r="H148" i="11"/>
  <c r="G148" i="11"/>
  <c r="H83" i="11" s="1"/>
  <c r="H147" i="11"/>
  <c r="G147" i="11"/>
  <c r="H82" i="11" s="1"/>
  <c r="H146" i="11"/>
  <c r="G146" i="11"/>
  <c r="H81" i="11" s="1"/>
  <c r="H145" i="11"/>
  <c r="G145" i="11"/>
  <c r="H80" i="11" s="1"/>
  <c r="H144" i="11"/>
  <c r="G144" i="11"/>
  <c r="H79" i="11" s="1"/>
  <c r="H143" i="11"/>
  <c r="G143" i="11"/>
  <c r="H78" i="11" s="1"/>
  <c r="H142" i="11"/>
  <c r="G142" i="11"/>
  <c r="H77" i="11" s="1"/>
  <c r="H141" i="11"/>
  <c r="G141" i="11"/>
  <c r="H76" i="11" s="1"/>
  <c r="H140" i="11"/>
  <c r="G140" i="11"/>
  <c r="H75" i="11" s="1"/>
  <c r="H139" i="11"/>
  <c r="G139" i="11"/>
  <c r="H74" i="11" s="1"/>
  <c r="H138" i="11"/>
  <c r="G138" i="11"/>
  <c r="H73" i="11" s="1"/>
  <c r="H137" i="11"/>
  <c r="G137" i="11"/>
  <c r="H72" i="11" s="1"/>
  <c r="H129" i="11"/>
  <c r="G129" i="11"/>
  <c r="F84" i="11" s="1"/>
  <c r="H128" i="11"/>
  <c r="G128" i="11"/>
  <c r="F83" i="11" s="1"/>
  <c r="H127" i="11"/>
  <c r="G127" i="11"/>
  <c r="F82" i="11" s="1"/>
  <c r="H126" i="11"/>
  <c r="G126" i="11"/>
  <c r="F81" i="11" s="1"/>
  <c r="H125" i="11"/>
  <c r="G125" i="11"/>
  <c r="F80" i="11" s="1"/>
  <c r="H124" i="11"/>
  <c r="G124" i="11"/>
  <c r="F79" i="11" s="1"/>
  <c r="H123" i="11"/>
  <c r="G123" i="11"/>
  <c r="F78" i="11" s="1"/>
  <c r="H122" i="11"/>
  <c r="G122" i="11"/>
  <c r="F77" i="11" s="1"/>
  <c r="H121" i="11"/>
  <c r="G121" i="11"/>
  <c r="F76" i="11" s="1"/>
  <c r="H120" i="11"/>
  <c r="G120" i="11"/>
  <c r="F75" i="11" s="1"/>
  <c r="H119" i="11"/>
  <c r="G119" i="11"/>
  <c r="F74" i="11" s="1"/>
  <c r="H118" i="11"/>
  <c r="G118" i="11"/>
  <c r="F73" i="11" s="1"/>
  <c r="H117" i="11"/>
  <c r="G117" i="11"/>
  <c r="F72" i="11" s="1"/>
  <c r="F107" i="11"/>
  <c r="E97" i="11" l="1"/>
  <c r="G97" i="11" s="1"/>
  <c r="E105" i="11"/>
  <c r="G105" i="11" s="1"/>
  <c r="E101" i="11"/>
  <c r="G101" i="11" s="1"/>
  <c r="E99" i="11"/>
  <c r="G99" i="11" s="1"/>
  <c r="E103" i="11"/>
  <c r="G103" i="11" s="1"/>
  <c r="E95" i="11"/>
  <c r="G95" i="11" s="1"/>
  <c r="E94" i="11"/>
  <c r="G94" i="11" s="1"/>
  <c r="E96" i="11"/>
  <c r="G96" i="11" s="1"/>
  <c r="E98" i="11"/>
  <c r="G98" i="11" s="1"/>
  <c r="E100" i="11"/>
  <c r="G100" i="11" s="1"/>
  <c r="E102" i="11"/>
  <c r="G102" i="11" s="1"/>
  <c r="E104" i="11"/>
  <c r="G104" i="11" s="1"/>
  <c r="E106" i="11"/>
  <c r="G106" i="11" s="1"/>
  <c r="N95" i="48"/>
  <c r="M96" i="48"/>
  <c r="M64" i="48"/>
  <c r="M31" i="48"/>
  <c r="N63" i="48"/>
  <c r="N31" i="48" s="1"/>
  <c r="I47" i="28"/>
  <c r="A34" i="28"/>
  <c r="B57" i="28" s="1"/>
  <c r="N96" i="48" l="1"/>
  <c r="M97" i="48"/>
  <c r="G107" i="11"/>
  <c r="E107" i="11"/>
  <c r="M32" i="48"/>
  <c r="N64" i="48"/>
  <c r="N32" i="48" s="1"/>
  <c r="M65" i="48"/>
  <c r="M66" i="48" s="1"/>
  <c r="I48" i="28"/>
  <c r="A35" i="28"/>
  <c r="I68" i="1" s="1"/>
  <c r="J35" i="28"/>
  <c r="M34" i="48" l="1"/>
  <c r="N97" i="48"/>
  <c r="M98" i="48"/>
  <c r="N66" i="48"/>
  <c r="M67" i="48"/>
  <c r="N65" i="48"/>
  <c r="N33" i="48" s="1"/>
  <c r="M33" i="48"/>
  <c r="A38" i="28"/>
  <c r="A39" i="28" s="1"/>
  <c r="A40" i="28" s="1"/>
  <c r="A41" i="28" s="1"/>
  <c r="I69" i="1" s="1"/>
  <c r="B170" i="21"/>
  <c r="D156" i="21"/>
  <c r="M129" i="21"/>
  <c r="L129" i="21"/>
  <c r="K129" i="21"/>
  <c r="J129" i="21"/>
  <c r="I129" i="21"/>
  <c r="H129" i="21"/>
  <c r="G129" i="21"/>
  <c r="F129" i="21"/>
  <c r="D129" i="21"/>
  <c r="M83" i="21"/>
  <c r="L83" i="21"/>
  <c r="K83" i="21"/>
  <c r="J83" i="21"/>
  <c r="I83" i="21"/>
  <c r="H83" i="21"/>
  <c r="G83" i="21"/>
  <c r="F83" i="21"/>
  <c r="E83" i="21"/>
  <c r="D83" i="21"/>
  <c r="N82" i="21"/>
  <c r="N81" i="21"/>
  <c r="N80" i="21"/>
  <c r="N79" i="21"/>
  <c r="N78" i="21"/>
  <c r="N77" i="21"/>
  <c r="N76" i="21"/>
  <c r="N75" i="21"/>
  <c r="N74" i="21"/>
  <c r="N73" i="21"/>
  <c r="N72" i="21"/>
  <c r="N71" i="21"/>
  <c r="F58" i="21"/>
  <c r="E46" i="21"/>
  <c r="F51" i="21" s="1"/>
  <c r="F35" i="21"/>
  <c r="E35" i="21"/>
  <c r="D35" i="21"/>
  <c r="A35" i="21"/>
  <c r="H19" i="8" s="1"/>
  <c r="G34" i="21"/>
  <c r="G33" i="21"/>
  <c r="D25" i="21"/>
  <c r="N24" i="21"/>
  <c r="A13" i="21"/>
  <c r="A14" i="21" s="1"/>
  <c r="A15" i="21" s="1"/>
  <c r="A16" i="21" s="1"/>
  <c r="A17" i="21" s="1"/>
  <c r="A18" i="21" s="1"/>
  <c r="A19" i="21" s="1"/>
  <c r="A20" i="21" s="1"/>
  <c r="A21" i="21" s="1"/>
  <c r="A22" i="21" s="1"/>
  <c r="A23" i="21" s="1"/>
  <c r="A24" i="21" s="1"/>
  <c r="N12" i="21"/>
  <c r="M11" i="4"/>
  <c r="A12" i="4"/>
  <c r="A13" i="4" s="1"/>
  <c r="A14" i="4" s="1"/>
  <c r="A15" i="4" s="1"/>
  <c r="A16" i="4" s="1"/>
  <c r="A17" i="4" s="1"/>
  <c r="A18" i="4" s="1"/>
  <c r="A19" i="4" s="1"/>
  <c r="A20" i="4" s="1"/>
  <c r="A21" i="4" s="1"/>
  <c r="A22" i="4" s="1"/>
  <c r="A23" i="4" s="1"/>
  <c r="E36" i="7" s="1"/>
  <c r="M23" i="4"/>
  <c r="M24" i="64" s="1"/>
  <c r="F34" i="4"/>
  <c r="F35" i="4"/>
  <c r="D37" i="7" s="1"/>
  <c r="C36" i="4"/>
  <c r="D36" i="4"/>
  <c r="E36" i="4"/>
  <c r="H52" i="4"/>
  <c r="H53" i="4"/>
  <c r="F61" i="4" s="1"/>
  <c r="M74" i="4"/>
  <c r="M75" i="4"/>
  <c r="M76" i="4"/>
  <c r="M77" i="4"/>
  <c r="M78" i="4"/>
  <c r="M79" i="4"/>
  <c r="M80" i="4"/>
  <c r="M81" i="4"/>
  <c r="M82" i="4"/>
  <c r="M83" i="4"/>
  <c r="M84" i="4"/>
  <c r="M85" i="4"/>
  <c r="C86" i="4"/>
  <c r="D86" i="4"/>
  <c r="E86" i="4"/>
  <c r="F86" i="4"/>
  <c r="G86" i="4"/>
  <c r="H86" i="4"/>
  <c r="I86" i="4"/>
  <c r="J86" i="4"/>
  <c r="K86" i="4"/>
  <c r="L86" i="4"/>
  <c r="M94" i="4"/>
  <c r="M95" i="4"/>
  <c r="M96" i="4"/>
  <c r="M97" i="4"/>
  <c r="M98" i="4"/>
  <c r="M99" i="4"/>
  <c r="M100" i="4"/>
  <c r="M101" i="4"/>
  <c r="M102" i="4"/>
  <c r="M103" i="4"/>
  <c r="M104" i="4"/>
  <c r="M105" i="4"/>
  <c r="C106" i="4"/>
  <c r="C135" i="4" s="1"/>
  <c r="D106" i="4"/>
  <c r="D135" i="4" s="1"/>
  <c r="E106" i="4"/>
  <c r="F106" i="4"/>
  <c r="F135" i="4" s="1"/>
  <c r="G106" i="4"/>
  <c r="G135" i="4" s="1"/>
  <c r="H106" i="4"/>
  <c r="H135" i="4" s="1"/>
  <c r="I106" i="4"/>
  <c r="I135" i="4" s="1"/>
  <c r="J106" i="4"/>
  <c r="J135" i="4" s="1"/>
  <c r="K106" i="4"/>
  <c r="K135" i="4" s="1"/>
  <c r="L106" i="4"/>
  <c r="L135" i="4" s="1"/>
  <c r="C114" i="4"/>
  <c r="D114" i="4"/>
  <c r="E114" i="4"/>
  <c r="F114" i="4"/>
  <c r="G114" i="4"/>
  <c r="H114" i="4"/>
  <c r="I114" i="4"/>
  <c r="J114" i="4"/>
  <c r="K114" i="4"/>
  <c r="L114" i="4"/>
  <c r="C115" i="4"/>
  <c r="D115" i="4"/>
  <c r="E115" i="4"/>
  <c r="F115" i="4"/>
  <c r="G115" i="4"/>
  <c r="H115" i="4"/>
  <c r="I115" i="4"/>
  <c r="J115" i="4"/>
  <c r="K115" i="4"/>
  <c r="L115" i="4"/>
  <c r="C116" i="4"/>
  <c r="D116" i="4"/>
  <c r="E116" i="4"/>
  <c r="F116" i="4"/>
  <c r="G116" i="4"/>
  <c r="H116" i="4"/>
  <c r="I116" i="4"/>
  <c r="J116" i="4"/>
  <c r="K116" i="4"/>
  <c r="L116" i="4"/>
  <c r="C117" i="4"/>
  <c r="D117" i="4"/>
  <c r="E117" i="4"/>
  <c r="F117" i="4"/>
  <c r="G117" i="4"/>
  <c r="H117" i="4"/>
  <c r="I117" i="4"/>
  <c r="J117" i="4"/>
  <c r="K117" i="4"/>
  <c r="L117" i="4"/>
  <c r="C118" i="4"/>
  <c r="D118" i="4"/>
  <c r="E118" i="4"/>
  <c r="F118" i="4"/>
  <c r="G118" i="4"/>
  <c r="H118" i="4"/>
  <c r="I118" i="4"/>
  <c r="J118" i="4"/>
  <c r="K118" i="4"/>
  <c r="L118" i="4"/>
  <c r="C119" i="4"/>
  <c r="D119" i="4"/>
  <c r="E119" i="4"/>
  <c r="F119" i="4"/>
  <c r="G119" i="4"/>
  <c r="H119" i="4"/>
  <c r="I119" i="4"/>
  <c r="J119" i="4"/>
  <c r="K119" i="4"/>
  <c r="L119" i="4"/>
  <c r="C120" i="4"/>
  <c r="D120" i="4"/>
  <c r="E120" i="4"/>
  <c r="F120" i="4"/>
  <c r="G120" i="4"/>
  <c r="H120" i="4"/>
  <c r="I120" i="4"/>
  <c r="J120" i="4"/>
  <c r="K120" i="4"/>
  <c r="L120" i="4"/>
  <c r="C121" i="4"/>
  <c r="D121" i="4"/>
  <c r="E121" i="4"/>
  <c r="F121" i="4"/>
  <c r="G121" i="4"/>
  <c r="H121" i="4"/>
  <c r="I121" i="4"/>
  <c r="J121" i="4"/>
  <c r="K121" i="4"/>
  <c r="L121" i="4"/>
  <c r="C122" i="4"/>
  <c r="D122" i="4"/>
  <c r="E122" i="4"/>
  <c r="F122" i="4"/>
  <c r="G122" i="4"/>
  <c r="H122" i="4"/>
  <c r="I122" i="4"/>
  <c r="J122" i="4"/>
  <c r="K122" i="4"/>
  <c r="L122" i="4"/>
  <c r="C123" i="4"/>
  <c r="D123" i="4"/>
  <c r="E123" i="4"/>
  <c r="F123" i="4"/>
  <c r="G123" i="4"/>
  <c r="H123" i="4"/>
  <c r="I123" i="4"/>
  <c r="J123" i="4"/>
  <c r="K123" i="4"/>
  <c r="L123" i="4"/>
  <c r="C124" i="4"/>
  <c r="D124" i="4"/>
  <c r="E124" i="4"/>
  <c r="F124" i="4"/>
  <c r="G124" i="4"/>
  <c r="H124" i="4"/>
  <c r="I124" i="4"/>
  <c r="J124" i="4"/>
  <c r="K124" i="4"/>
  <c r="L124" i="4"/>
  <c r="C125" i="4"/>
  <c r="D125" i="4"/>
  <c r="E125" i="4"/>
  <c r="F125" i="4"/>
  <c r="G125" i="4"/>
  <c r="H125" i="4"/>
  <c r="I125" i="4"/>
  <c r="J125" i="4"/>
  <c r="K125" i="4"/>
  <c r="L125" i="4"/>
  <c r="C131" i="4"/>
  <c r="D131" i="4"/>
  <c r="E131" i="4"/>
  <c r="F131" i="4"/>
  <c r="G131" i="4"/>
  <c r="H131" i="4"/>
  <c r="I131" i="4"/>
  <c r="J131" i="4"/>
  <c r="K131" i="4"/>
  <c r="L131" i="4"/>
  <c r="E135" i="4"/>
  <c r="G24" i="2"/>
  <c r="G22" i="2"/>
  <c r="E126" i="4" l="1"/>
  <c r="J126" i="4"/>
  <c r="M35" i="48"/>
  <c r="N34" i="48"/>
  <c r="N98" i="48"/>
  <c r="M99" i="48"/>
  <c r="N99" i="48" s="1"/>
  <c r="M68" i="48"/>
  <c r="N67" i="48"/>
  <c r="I126" i="4"/>
  <c r="F126" i="4"/>
  <c r="L126" i="4"/>
  <c r="H126" i="4"/>
  <c r="K126" i="4"/>
  <c r="G126" i="4"/>
  <c r="C126" i="4"/>
  <c r="D126" i="4"/>
  <c r="F36" i="4"/>
  <c r="D43" i="4"/>
  <c r="M131" i="4"/>
  <c r="M12" i="64"/>
  <c r="D139" i="4"/>
  <c r="B176" i="4"/>
  <c r="L139" i="4"/>
  <c r="L154" i="4" s="1"/>
  <c r="E38" i="7"/>
  <c r="I21" i="1"/>
  <c r="H139" i="4"/>
  <c r="M106" i="4"/>
  <c r="M135" i="4" s="1"/>
  <c r="F139" i="4"/>
  <c r="J139" i="4"/>
  <c r="K139" i="4"/>
  <c r="I139" i="4"/>
  <c r="I149" i="4" s="1"/>
  <c r="G139" i="4"/>
  <c r="E139" i="4"/>
  <c r="C139" i="4"/>
  <c r="F56" i="4"/>
  <c r="G35" i="21"/>
  <c r="J19" i="8" s="1"/>
  <c r="M86" i="4"/>
  <c r="A44" i="21"/>
  <c r="A45" i="21" s="1"/>
  <c r="H46" i="21" s="1"/>
  <c r="A25" i="21"/>
  <c r="B174" i="21"/>
  <c r="K22" i="1"/>
  <c r="D39" i="7"/>
  <c r="N83" i="21"/>
  <c r="J41" i="28"/>
  <c r="J43" i="28"/>
  <c r="A43" i="28"/>
  <c r="I70" i="1" s="1"/>
  <c r="I147" i="4"/>
  <c r="M125" i="4"/>
  <c r="M124" i="4"/>
  <c r="M123" i="4"/>
  <c r="M122" i="4"/>
  <c r="M121" i="4"/>
  <c r="M120" i="4"/>
  <c r="M119" i="4"/>
  <c r="M118" i="4"/>
  <c r="M117" i="4"/>
  <c r="M116" i="4"/>
  <c r="M115" i="4"/>
  <c r="M114" i="4"/>
  <c r="A24" i="4"/>
  <c r="N129" i="21"/>
  <c r="K9" i="1"/>
  <c r="M139" i="4" l="1"/>
  <c r="E149" i="4"/>
  <c r="E146" i="4"/>
  <c r="E12" i="4" s="1"/>
  <c r="C147" i="4"/>
  <c r="D150" i="4"/>
  <c r="I155" i="4"/>
  <c r="G149" i="4"/>
  <c r="F149" i="4"/>
  <c r="H155" i="4"/>
  <c r="C149" i="4"/>
  <c r="J149" i="4"/>
  <c r="N68" i="48"/>
  <c r="N36" i="48" s="1"/>
  <c r="M36" i="48"/>
  <c r="N35" i="48"/>
  <c r="H151" i="4"/>
  <c r="C148" i="4"/>
  <c r="H153" i="4"/>
  <c r="H148" i="4"/>
  <c r="C155" i="4"/>
  <c r="D146" i="4"/>
  <c r="D12" i="4" s="1"/>
  <c r="D13" i="64" s="1"/>
  <c r="D50" i="64" s="1"/>
  <c r="H150" i="4"/>
  <c r="H147" i="4"/>
  <c r="H157" i="4"/>
  <c r="H146" i="4"/>
  <c r="H12" i="4" s="1"/>
  <c r="H13" i="64" s="1"/>
  <c r="H50" i="64" s="1"/>
  <c r="I92" i="21" s="1"/>
  <c r="K149" i="4"/>
  <c r="D148" i="4"/>
  <c r="G148" i="4"/>
  <c r="I150" i="4"/>
  <c r="L150" i="4"/>
  <c r="E156" i="4"/>
  <c r="G155" i="4"/>
  <c r="K152" i="4"/>
  <c r="G154" i="4"/>
  <c r="E150" i="4"/>
  <c r="E153" i="4"/>
  <c r="J148" i="4"/>
  <c r="J150" i="4"/>
  <c r="E148" i="4"/>
  <c r="E151" i="4"/>
  <c r="I154" i="4"/>
  <c r="I151" i="4"/>
  <c r="D155" i="4"/>
  <c r="F147" i="4"/>
  <c r="D149" i="4"/>
  <c r="F148" i="4"/>
  <c r="F150" i="4"/>
  <c r="E154" i="4"/>
  <c r="E155" i="4"/>
  <c r="I146" i="4"/>
  <c r="I12" i="4" s="1"/>
  <c r="I13" i="64" s="1"/>
  <c r="I50" i="64" s="1"/>
  <c r="L155" i="4"/>
  <c r="L152" i="4"/>
  <c r="D151" i="4"/>
  <c r="D156" i="4"/>
  <c r="L148" i="4"/>
  <c r="C154" i="4"/>
  <c r="C146" i="4"/>
  <c r="C12" i="4" s="1"/>
  <c r="C13" i="64" s="1"/>
  <c r="C50" i="64" s="1"/>
  <c r="C153" i="4"/>
  <c r="G152" i="4"/>
  <c r="G151" i="4"/>
  <c r="K156" i="4"/>
  <c r="D147" i="4"/>
  <c r="L153" i="4"/>
  <c r="D157" i="4"/>
  <c r="L149" i="4"/>
  <c r="D154" i="4"/>
  <c r="C152" i="4"/>
  <c r="C156" i="4"/>
  <c r="C151" i="4"/>
  <c r="K151" i="4"/>
  <c r="L151" i="4"/>
  <c r="L156" i="4"/>
  <c r="L146" i="4"/>
  <c r="L12" i="4" s="1"/>
  <c r="C150" i="4"/>
  <c r="C157" i="4"/>
  <c r="E152" i="4"/>
  <c r="E157" i="4"/>
  <c r="E147" i="4"/>
  <c r="G156" i="4"/>
  <c r="L147" i="4"/>
  <c r="D153" i="4"/>
  <c r="L157" i="4"/>
  <c r="D152" i="4"/>
  <c r="I156" i="4"/>
  <c r="I152" i="4"/>
  <c r="I148" i="4"/>
  <c r="I157" i="4"/>
  <c r="I153" i="4"/>
  <c r="F155" i="4"/>
  <c r="J155" i="4"/>
  <c r="G147" i="4"/>
  <c r="K148" i="4"/>
  <c r="K155" i="4"/>
  <c r="F151" i="4"/>
  <c r="F152" i="4"/>
  <c r="H152" i="4"/>
  <c r="G150" i="4"/>
  <c r="G146" i="4"/>
  <c r="G12" i="4" s="1"/>
  <c r="G157" i="4"/>
  <c r="G153" i="4"/>
  <c r="K154" i="4"/>
  <c r="K150" i="4"/>
  <c r="K146" i="4"/>
  <c r="K12" i="4" s="1"/>
  <c r="K13" i="64" s="1"/>
  <c r="K50" i="64" s="1"/>
  <c r="K157" i="4"/>
  <c r="K153" i="4"/>
  <c r="K147" i="4"/>
  <c r="F153" i="4"/>
  <c r="F157" i="4"/>
  <c r="F156" i="4"/>
  <c r="F146" i="4"/>
  <c r="F12" i="4" s="1"/>
  <c r="J152" i="4"/>
  <c r="H156" i="4"/>
  <c r="J147" i="4"/>
  <c r="J156" i="4"/>
  <c r="J146" i="4"/>
  <c r="J12" i="4" s="1"/>
  <c r="J13" i="64" s="1"/>
  <c r="J50" i="64" s="1"/>
  <c r="F154" i="4"/>
  <c r="J153" i="4"/>
  <c r="J157" i="4"/>
  <c r="J151" i="4"/>
  <c r="J154" i="4"/>
  <c r="H149" i="4"/>
  <c r="H154" i="4"/>
  <c r="A33" i="21"/>
  <c r="H35" i="21" s="1"/>
  <c r="H18" i="8"/>
  <c r="M126" i="4"/>
  <c r="A46" i="28"/>
  <c r="A47" i="28" s="1"/>
  <c r="A48" i="28" s="1"/>
  <c r="A49" i="28" s="1"/>
  <c r="B169" i="21"/>
  <c r="A34" i="4"/>
  <c r="G58" i="21"/>
  <c r="A46" i="21"/>
  <c r="F100" i="12"/>
  <c r="B108" i="12"/>
  <c r="N37" i="48" l="1"/>
  <c r="D78" i="7" s="1"/>
  <c r="H13" i="4"/>
  <c r="H14" i="64" s="1"/>
  <c r="H51" i="64" s="1"/>
  <c r="I93" i="21" s="1"/>
  <c r="D13" i="4"/>
  <c r="D14" i="64" s="1"/>
  <c r="D51" i="64" s="1"/>
  <c r="E93" i="21" s="1"/>
  <c r="M153" i="4"/>
  <c r="M148" i="4"/>
  <c r="H158" i="4"/>
  <c r="M155" i="4"/>
  <c r="K158" i="4"/>
  <c r="I158" i="4"/>
  <c r="K13" i="4"/>
  <c r="K14" i="4" s="1"/>
  <c r="C13" i="4"/>
  <c r="C14" i="64" s="1"/>
  <c r="C51" i="64" s="1"/>
  <c r="D93" i="21" s="1"/>
  <c r="G13" i="64"/>
  <c r="G50" i="64" s="1"/>
  <c r="H92" i="21" s="1"/>
  <c r="G13" i="4"/>
  <c r="G14" i="4" s="1"/>
  <c r="E158" i="4"/>
  <c r="M149" i="4"/>
  <c r="I13" i="4"/>
  <c r="I14" i="4" s="1"/>
  <c r="F158" i="4"/>
  <c r="H14" i="4"/>
  <c r="H15" i="64" s="1"/>
  <c r="H52" i="64" s="1"/>
  <c r="I94" i="21" s="1"/>
  <c r="M154" i="4"/>
  <c r="M157" i="4"/>
  <c r="J158" i="4"/>
  <c r="G158" i="4"/>
  <c r="M146" i="4"/>
  <c r="M156" i="4"/>
  <c r="M150" i="4"/>
  <c r="M151" i="4"/>
  <c r="D158" i="4"/>
  <c r="M152" i="4"/>
  <c r="D92" i="21"/>
  <c r="F13" i="4"/>
  <c r="F13" i="64"/>
  <c r="F50" i="64" s="1"/>
  <c r="E13" i="4"/>
  <c r="E13" i="64"/>
  <c r="E50" i="64" s="1"/>
  <c r="L92" i="21"/>
  <c r="L13" i="4"/>
  <c r="L13" i="64"/>
  <c r="L50" i="64" s="1"/>
  <c r="J92" i="21"/>
  <c r="M147" i="4"/>
  <c r="C158" i="4"/>
  <c r="L158" i="4"/>
  <c r="K92" i="21"/>
  <c r="E92" i="21"/>
  <c r="J13" i="4"/>
  <c r="B171" i="4"/>
  <c r="A50" i="28"/>
  <c r="M12" i="4"/>
  <c r="M13" i="64" s="1"/>
  <c r="A35" i="4"/>
  <c r="G51" i="21"/>
  <c r="A51" i="21"/>
  <c r="D14" i="4" l="1"/>
  <c r="D15" i="64" s="1"/>
  <c r="D52" i="64" s="1"/>
  <c r="E94" i="21" s="1"/>
  <c r="H15" i="4"/>
  <c r="H16" i="64" s="1"/>
  <c r="H53" i="64" s="1"/>
  <c r="I14" i="64"/>
  <c r="I51" i="64" s="1"/>
  <c r="J93" i="21" s="1"/>
  <c r="M158" i="4"/>
  <c r="G14" i="64"/>
  <c r="G51" i="64" s="1"/>
  <c r="H93" i="21" s="1"/>
  <c r="K14" i="64"/>
  <c r="K51" i="64" s="1"/>
  <c r="L93" i="21" s="1"/>
  <c r="C14" i="4"/>
  <c r="C15" i="64" s="1"/>
  <c r="C52" i="64" s="1"/>
  <c r="D94" i="21" s="1"/>
  <c r="M13" i="4"/>
  <c r="M14" i="64" s="1"/>
  <c r="G15" i="4"/>
  <c r="G15" i="64"/>
  <c r="G52" i="64" s="1"/>
  <c r="H94" i="21" s="1"/>
  <c r="G92" i="21"/>
  <c r="M50" i="64"/>
  <c r="M92" i="21"/>
  <c r="F92" i="21"/>
  <c r="F14" i="64"/>
  <c r="F51" i="64" s="1"/>
  <c r="G93" i="21" s="1"/>
  <c r="F14" i="4"/>
  <c r="L14" i="64"/>
  <c r="L51" i="64" s="1"/>
  <c r="M93" i="21" s="1"/>
  <c r="L14" i="4"/>
  <c r="E14" i="4"/>
  <c r="E14" i="64"/>
  <c r="E51" i="64" s="1"/>
  <c r="K15" i="4"/>
  <c r="K15" i="64"/>
  <c r="K52" i="64" s="1"/>
  <c r="L94" i="21" s="1"/>
  <c r="J14" i="4"/>
  <c r="J14" i="64"/>
  <c r="J51" i="64" s="1"/>
  <c r="I15" i="4"/>
  <c r="I15" i="64"/>
  <c r="I52" i="64" s="1"/>
  <c r="J94" i="21" s="1"/>
  <c r="E37" i="7"/>
  <c r="B172" i="4"/>
  <c r="A51" i="28"/>
  <c r="I73" i="1" s="1"/>
  <c r="J51" i="28"/>
  <c r="A36" i="4"/>
  <c r="E43" i="4"/>
  <c r="A52" i="21"/>
  <c r="A53" i="21" s="1"/>
  <c r="H20" i="8" s="1"/>
  <c r="H16" i="4" l="1"/>
  <c r="H17" i="64" s="1"/>
  <c r="H54" i="64" s="1"/>
  <c r="I96" i="21" s="1"/>
  <c r="D15" i="4"/>
  <c r="C15" i="4"/>
  <c r="C16" i="64" s="1"/>
  <c r="C53" i="64" s="1"/>
  <c r="D95" i="21" s="1"/>
  <c r="M14" i="4"/>
  <c r="M15" i="64" s="1"/>
  <c r="F93" i="21"/>
  <c r="M51" i="64"/>
  <c r="I95" i="21"/>
  <c r="F15" i="4"/>
  <c r="F15" i="64"/>
  <c r="F52" i="64" s="1"/>
  <c r="G94" i="21" s="1"/>
  <c r="G16" i="4"/>
  <c r="G16" i="64"/>
  <c r="G53" i="64" s="1"/>
  <c r="H95" i="21" s="1"/>
  <c r="K16" i="4"/>
  <c r="K16" i="64"/>
  <c r="K53" i="64" s="1"/>
  <c r="K93" i="21"/>
  <c r="E15" i="4"/>
  <c r="E15" i="64"/>
  <c r="E52" i="64" s="1"/>
  <c r="H17" i="4"/>
  <c r="I16" i="4"/>
  <c r="I16" i="64"/>
  <c r="I53" i="64" s="1"/>
  <c r="J95" i="21" s="1"/>
  <c r="J15" i="4"/>
  <c r="J15" i="64"/>
  <c r="J52" i="64" s="1"/>
  <c r="K94" i="21" s="1"/>
  <c r="L15" i="4"/>
  <c r="L15" i="64"/>
  <c r="L52" i="64" s="1"/>
  <c r="M94" i="21" s="1"/>
  <c r="A58" i="21"/>
  <c r="G53" i="21"/>
  <c r="A42" i="4"/>
  <c r="E42" i="4"/>
  <c r="A59" i="21"/>
  <c r="A60" i="21" s="1"/>
  <c r="I23" i="1" s="1"/>
  <c r="D16" i="64" l="1"/>
  <c r="D53" i="64" s="1"/>
  <c r="E95" i="21" s="1"/>
  <c r="D16" i="4"/>
  <c r="C16" i="4"/>
  <c r="C17" i="64" s="1"/>
  <c r="C54" i="64" s="1"/>
  <c r="D96" i="21" s="1"/>
  <c r="M15" i="4"/>
  <c r="M16" i="64" s="1"/>
  <c r="I17" i="4"/>
  <c r="I17" i="64"/>
  <c r="I54" i="64" s="1"/>
  <c r="J96" i="21" s="1"/>
  <c r="J16" i="4"/>
  <c r="J16" i="64"/>
  <c r="J53" i="64" s="1"/>
  <c r="K95" i="21" s="1"/>
  <c r="F94" i="21"/>
  <c r="M52" i="64"/>
  <c r="G17" i="4"/>
  <c r="G17" i="64"/>
  <c r="G54" i="64" s="1"/>
  <c r="H96" i="21" s="1"/>
  <c r="L16" i="64"/>
  <c r="L53" i="64" s="1"/>
  <c r="M95" i="21" s="1"/>
  <c r="L16" i="4"/>
  <c r="E16" i="4"/>
  <c r="E16" i="64"/>
  <c r="E53" i="64" s="1"/>
  <c r="L95" i="21"/>
  <c r="F16" i="4"/>
  <c r="F16" i="64"/>
  <c r="F53" i="64" s="1"/>
  <c r="H18" i="4"/>
  <c r="H18" i="64"/>
  <c r="H55" i="64" s="1"/>
  <c r="I97" i="21" s="1"/>
  <c r="K17" i="4"/>
  <c r="K17" i="64"/>
  <c r="K54" i="64" s="1"/>
  <c r="L96" i="21" s="1"/>
  <c r="A43" i="4"/>
  <c r="H6" i="8"/>
  <c r="G60" i="21"/>
  <c r="A71" i="21"/>
  <c r="D17" i="4" l="1"/>
  <c r="D17" i="64"/>
  <c r="D54" i="64" s="1"/>
  <c r="E96" i="21" s="1"/>
  <c r="C17" i="4"/>
  <c r="C18" i="64" s="1"/>
  <c r="C55" i="64" s="1"/>
  <c r="D97" i="21" s="1"/>
  <c r="M16" i="4"/>
  <c r="M17" i="64" s="1"/>
  <c r="L17" i="4"/>
  <c r="L17" i="64"/>
  <c r="L54" i="64" s="1"/>
  <c r="M96" i="21" s="1"/>
  <c r="K18" i="4"/>
  <c r="K18" i="64"/>
  <c r="K55" i="64" s="1"/>
  <c r="G95" i="21"/>
  <c r="F95" i="21"/>
  <c r="M53" i="64"/>
  <c r="I18" i="4"/>
  <c r="I18" i="64"/>
  <c r="I55" i="64" s="1"/>
  <c r="H19" i="4"/>
  <c r="H19" i="64"/>
  <c r="H56" i="64" s="1"/>
  <c r="F17" i="4"/>
  <c r="F17" i="64"/>
  <c r="F54" i="64" s="1"/>
  <c r="G96" i="21" s="1"/>
  <c r="E17" i="4"/>
  <c r="E17" i="64"/>
  <c r="E54" i="64" s="1"/>
  <c r="G18" i="4"/>
  <c r="G18" i="64"/>
  <c r="G55" i="64" s="1"/>
  <c r="J17" i="4"/>
  <c r="J17" i="64"/>
  <c r="J54" i="64" s="1"/>
  <c r="A52" i="4"/>
  <c r="A53" i="4" s="1"/>
  <c r="G61" i="4" s="1"/>
  <c r="I9" i="1"/>
  <c r="A72" i="21"/>
  <c r="A73" i="21" s="1"/>
  <c r="A74" i="21" s="1"/>
  <c r="A75" i="21" s="1"/>
  <c r="A76" i="21" s="1"/>
  <c r="A77" i="21" s="1"/>
  <c r="A78" i="21" s="1"/>
  <c r="A79" i="21" s="1"/>
  <c r="A80" i="21" s="1"/>
  <c r="A81" i="21" s="1"/>
  <c r="A82" i="21" s="1"/>
  <c r="A83" i="21" s="1"/>
  <c r="A91" i="21" s="1"/>
  <c r="C18" i="4"/>
  <c r="C19" i="64" s="1"/>
  <c r="C56" i="64" s="1"/>
  <c r="A56" i="4"/>
  <c r="D18" i="64" l="1"/>
  <c r="D55" i="64" s="1"/>
  <c r="E97" i="21" s="1"/>
  <c r="D18" i="4"/>
  <c r="M17" i="4"/>
  <c r="M18" i="64" s="1"/>
  <c r="D98" i="21"/>
  <c r="L97" i="21"/>
  <c r="G19" i="4"/>
  <c r="G19" i="64"/>
  <c r="G56" i="64" s="1"/>
  <c r="H98" i="21" s="1"/>
  <c r="F18" i="4"/>
  <c r="F18" i="64"/>
  <c r="F55" i="64" s="1"/>
  <c r="G97" i="21" s="1"/>
  <c r="K19" i="4"/>
  <c r="K19" i="64"/>
  <c r="K56" i="64" s="1"/>
  <c r="L98" i="21" s="1"/>
  <c r="H97" i="21"/>
  <c r="J97" i="21"/>
  <c r="L18" i="4"/>
  <c r="L18" i="64"/>
  <c r="L55" i="64" s="1"/>
  <c r="F96" i="21"/>
  <c r="M54" i="64"/>
  <c r="I19" i="4"/>
  <c r="I19" i="64"/>
  <c r="I56" i="64" s="1"/>
  <c r="J98" i="21" s="1"/>
  <c r="K96" i="21"/>
  <c r="E18" i="4"/>
  <c r="E18" i="64"/>
  <c r="E55" i="64" s="1"/>
  <c r="I98" i="21"/>
  <c r="J18" i="4"/>
  <c r="J18" i="64"/>
  <c r="J55" i="64" s="1"/>
  <c r="K97" i="21" s="1"/>
  <c r="H20" i="4"/>
  <c r="H20" i="64"/>
  <c r="H57" i="64" s="1"/>
  <c r="I99" i="21" s="1"/>
  <c r="G56" i="4"/>
  <c r="E24" i="2"/>
  <c r="E22" i="2"/>
  <c r="A92" i="21"/>
  <c r="A93" i="21" s="1"/>
  <c r="A94" i="21" s="1"/>
  <c r="A95" i="21" s="1"/>
  <c r="A96" i="21" s="1"/>
  <c r="A97" i="21" s="1"/>
  <c r="A98" i="21" s="1"/>
  <c r="A99" i="21" s="1"/>
  <c r="A100" i="21" s="1"/>
  <c r="A101" i="21" s="1"/>
  <c r="A102" i="21" s="1"/>
  <c r="A103" i="21" s="1"/>
  <c r="C19" i="4"/>
  <c r="C20" i="64" s="1"/>
  <c r="C57" i="64" s="1"/>
  <c r="A57" i="4"/>
  <c r="A58" i="4" s="1"/>
  <c r="D19" i="64" l="1"/>
  <c r="D56" i="64" s="1"/>
  <c r="E98" i="21" s="1"/>
  <c r="D19" i="4"/>
  <c r="M18" i="4"/>
  <c r="M19" i="64" s="1"/>
  <c r="E19" i="4"/>
  <c r="E19" i="64"/>
  <c r="E56" i="64" s="1"/>
  <c r="F19" i="4"/>
  <c r="F19" i="64"/>
  <c r="F56" i="64" s="1"/>
  <c r="D99" i="21"/>
  <c r="J19" i="4"/>
  <c r="J19" i="64"/>
  <c r="J56" i="64" s="1"/>
  <c r="K98" i="21" s="1"/>
  <c r="I20" i="4"/>
  <c r="I20" i="64"/>
  <c r="I57" i="64" s="1"/>
  <c r="J99" i="21" s="1"/>
  <c r="K20" i="4"/>
  <c r="K20" i="64"/>
  <c r="K57" i="64" s="1"/>
  <c r="L99" i="21" s="1"/>
  <c r="H21" i="4"/>
  <c r="H21" i="64"/>
  <c r="H58" i="64" s="1"/>
  <c r="I100" i="21" s="1"/>
  <c r="M97" i="21"/>
  <c r="F97" i="21"/>
  <c r="M55" i="64"/>
  <c r="L19" i="4"/>
  <c r="L19" i="64"/>
  <c r="L56" i="64" s="1"/>
  <c r="M98" i="21" s="1"/>
  <c r="G20" i="4"/>
  <c r="G20" i="64"/>
  <c r="G57" i="64" s="1"/>
  <c r="H99" i="21" s="1"/>
  <c r="A61" i="4"/>
  <c r="A62" i="4" s="1"/>
  <c r="A63" i="4" s="1"/>
  <c r="H7" i="8"/>
  <c r="B175" i="21"/>
  <c r="A111" i="21"/>
  <c r="B173" i="21"/>
  <c r="C20" i="4"/>
  <c r="C21" i="64" s="1"/>
  <c r="C58" i="64" s="1"/>
  <c r="G58" i="4"/>
  <c r="D20" i="4" l="1"/>
  <c r="D20" i="64"/>
  <c r="D57" i="64" s="1"/>
  <c r="E99" i="21" s="1"/>
  <c r="L20" i="4"/>
  <c r="L20" i="64"/>
  <c r="L57" i="64" s="1"/>
  <c r="M99" i="21" s="1"/>
  <c r="K21" i="4"/>
  <c r="K21" i="64"/>
  <c r="K58" i="64" s="1"/>
  <c r="L100" i="21" s="1"/>
  <c r="I21" i="4"/>
  <c r="I21" i="64"/>
  <c r="I58" i="64" s="1"/>
  <c r="J100" i="21" s="1"/>
  <c r="J20" i="4"/>
  <c r="J20" i="64"/>
  <c r="J57" i="64" s="1"/>
  <c r="K99" i="21" s="1"/>
  <c r="G98" i="21"/>
  <c r="D100" i="21"/>
  <c r="G21" i="4"/>
  <c r="G21" i="64"/>
  <c r="G58" i="64" s="1"/>
  <c r="H100" i="21" s="1"/>
  <c r="F20" i="4"/>
  <c r="F20" i="64"/>
  <c r="F57" i="64" s="1"/>
  <c r="G99" i="21" s="1"/>
  <c r="F98" i="21"/>
  <c r="M56" i="64"/>
  <c r="M19" i="4"/>
  <c r="M20" i="64" s="1"/>
  <c r="H22" i="4"/>
  <c r="H23" i="64" s="1"/>
  <c r="H60" i="64" s="1"/>
  <c r="H22" i="64"/>
  <c r="H59" i="64" s="1"/>
  <c r="I101" i="21" s="1"/>
  <c r="E20" i="4"/>
  <c r="E20" i="64"/>
  <c r="E57" i="64" s="1"/>
  <c r="A74" i="4"/>
  <c r="A75" i="4" s="1"/>
  <c r="A76" i="4" s="1"/>
  <c r="A77" i="4" s="1"/>
  <c r="A78" i="4" s="1"/>
  <c r="A79" i="4" s="1"/>
  <c r="A80" i="4" s="1"/>
  <c r="A81" i="4" s="1"/>
  <c r="A82" i="4" s="1"/>
  <c r="A83" i="4" s="1"/>
  <c r="A84" i="4" s="1"/>
  <c r="A85" i="4" s="1"/>
  <c r="A86" i="4" s="1"/>
  <c r="A94" i="4" s="1"/>
  <c r="I10" i="1"/>
  <c r="A112" i="21"/>
  <c r="A113" i="21" s="1"/>
  <c r="A114" i="21" s="1"/>
  <c r="A115" i="21" s="1"/>
  <c r="A116" i="21" s="1"/>
  <c r="A117" i="21" s="1"/>
  <c r="A118" i="21" s="1"/>
  <c r="A119" i="21" s="1"/>
  <c r="A120" i="21" s="1"/>
  <c r="A121" i="21" s="1"/>
  <c r="A122" i="21" s="1"/>
  <c r="A123" i="21" s="1"/>
  <c r="A129" i="21" s="1"/>
  <c r="C21" i="4"/>
  <c r="C22" i="64" s="1"/>
  <c r="C59" i="64" s="1"/>
  <c r="G63" i="4"/>
  <c r="D21" i="4" l="1"/>
  <c r="D21" i="64"/>
  <c r="D58" i="64" s="1"/>
  <c r="E100" i="21" s="1"/>
  <c r="E21" i="4"/>
  <c r="E21" i="64"/>
  <c r="E58" i="64" s="1"/>
  <c r="I102" i="21"/>
  <c r="H61" i="64"/>
  <c r="L21" i="4"/>
  <c r="L21" i="64"/>
  <c r="L58" i="64" s="1"/>
  <c r="M100" i="21" s="1"/>
  <c r="G22" i="4"/>
  <c r="G22" i="64"/>
  <c r="G59" i="64" s="1"/>
  <c r="H101" i="21" s="1"/>
  <c r="K22" i="4"/>
  <c r="K22" i="64"/>
  <c r="K59" i="64" s="1"/>
  <c r="L101" i="21" s="1"/>
  <c r="D101" i="21"/>
  <c r="H24" i="4"/>
  <c r="I22" i="4"/>
  <c r="I22" i="64"/>
  <c r="I59" i="64" s="1"/>
  <c r="J101" i="21" s="1"/>
  <c r="M20" i="4"/>
  <c r="M21" i="64" s="1"/>
  <c r="F99" i="21"/>
  <c r="M57" i="64"/>
  <c r="F21" i="4"/>
  <c r="F21" i="64"/>
  <c r="F58" i="64" s="1"/>
  <c r="G100" i="21" s="1"/>
  <c r="J21" i="4"/>
  <c r="J21" i="64"/>
  <c r="J58" i="64" s="1"/>
  <c r="K100" i="21" s="1"/>
  <c r="B178" i="21"/>
  <c r="A133" i="21"/>
  <c r="A136" i="21" s="1"/>
  <c r="C22" i="4"/>
  <c r="C23" i="64" s="1"/>
  <c r="C60" i="64" s="1"/>
  <c r="A95" i="4"/>
  <c r="A96" i="4" s="1"/>
  <c r="A97" i="4" s="1"/>
  <c r="A98" i="4" s="1"/>
  <c r="A99" i="4" s="1"/>
  <c r="A100" i="4" s="1"/>
  <c r="A101" i="4" s="1"/>
  <c r="A102" i="4" s="1"/>
  <c r="A103" i="4" s="1"/>
  <c r="A104" i="4" s="1"/>
  <c r="A105" i="4" s="1"/>
  <c r="A106" i="4" s="1"/>
  <c r="D24" i="4" l="1"/>
  <c r="D22" i="4"/>
  <c r="D23" i="64" s="1"/>
  <c r="D60" i="64" s="1"/>
  <c r="E102" i="21" s="1"/>
  <c r="D22" i="64"/>
  <c r="D59" i="64" s="1"/>
  <c r="G23" i="64"/>
  <c r="G60" i="64" s="1"/>
  <c r="G24" i="4"/>
  <c r="E22" i="4"/>
  <c r="E22" i="64"/>
  <c r="E59" i="64" s="1"/>
  <c r="M21" i="4"/>
  <c r="M22" i="64" s="1"/>
  <c r="J22" i="4"/>
  <c r="J23" i="64" s="1"/>
  <c r="J60" i="64" s="1"/>
  <c r="J22" i="64"/>
  <c r="J59" i="64" s="1"/>
  <c r="K101" i="21" s="1"/>
  <c r="I23" i="64"/>
  <c r="I60" i="64" s="1"/>
  <c r="I24" i="4"/>
  <c r="D102" i="21"/>
  <c r="C61" i="64"/>
  <c r="K23" i="64"/>
  <c r="K60" i="64" s="1"/>
  <c r="K24" i="4"/>
  <c r="F22" i="4"/>
  <c r="F22" i="64"/>
  <c r="F59" i="64" s="1"/>
  <c r="G101" i="21" s="1"/>
  <c r="L22" i="4"/>
  <c r="L23" i="64" s="1"/>
  <c r="L60" i="64" s="1"/>
  <c r="L22" i="64"/>
  <c r="L59" i="64" s="1"/>
  <c r="M101" i="21" s="1"/>
  <c r="F100" i="21"/>
  <c r="M58" i="64"/>
  <c r="A144" i="21"/>
  <c r="B177" i="21"/>
  <c r="B176" i="21"/>
  <c r="A145" i="21"/>
  <c r="A146" i="21" s="1"/>
  <c r="A147" i="21" s="1"/>
  <c r="A148" i="21" s="1"/>
  <c r="A149" i="21" s="1"/>
  <c r="A150" i="21" s="1"/>
  <c r="A151" i="21" s="1"/>
  <c r="A152" i="21" s="1"/>
  <c r="A153" i="21" s="1"/>
  <c r="A154" i="21" s="1"/>
  <c r="A155" i="21" s="1"/>
  <c r="A156" i="21" s="1"/>
  <c r="C24" i="4"/>
  <c r="B175" i="4"/>
  <c r="A114" i="4"/>
  <c r="B177" i="4"/>
  <c r="L24" i="4" l="1"/>
  <c r="E101" i="21"/>
  <c r="D61" i="64"/>
  <c r="J24" i="4"/>
  <c r="M22" i="4"/>
  <c r="M23" i="64" s="1"/>
  <c r="J102" i="21"/>
  <c r="I61" i="64"/>
  <c r="H102" i="21"/>
  <c r="G61" i="64"/>
  <c r="F23" i="64"/>
  <c r="F60" i="64" s="1"/>
  <c r="F24" i="4"/>
  <c r="F101" i="21"/>
  <c r="M59" i="64"/>
  <c r="M24" i="4"/>
  <c r="D42" i="4" s="1"/>
  <c r="E23" i="64"/>
  <c r="E60" i="64" s="1"/>
  <c r="E24" i="4"/>
  <c r="M102" i="21"/>
  <c r="L61" i="64"/>
  <c r="L102" i="21"/>
  <c r="K61" i="64"/>
  <c r="K102" i="21"/>
  <c r="J61" i="64"/>
  <c r="B179" i="21"/>
  <c r="A115" i="4"/>
  <c r="A116" i="4" s="1"/>
  <c r="A117" i="4" s="1"/>
  <c r="A118" i="4" s="1"/>
  <c r="A119" i="4" s="1"/>
  <c r="A120" i="4" s="1"/>
  <c r="A121" i="4" s="1"/>
  <c r="A122" i="4" s="1"/>
  <c r="A123" i="4" s="1"/>
  <c r="A124" i="4" s="1"/>
  <c r="A125" i="4" s="1"/>
  <c r="A126" i="4" s="1"/>
  <c r="A131" i="4" s="1"/>
  <c r="G102" i="21" l="1"/>
  <c r="F61" i="64"/>
  <c r="F102" i="21"/>
  <c r="E61" i="64"/>
  <c r="M60" i="64"/>
  <c r="M62" i="64" s="1"/>
  <c r="F92" i="64" s="1"/>
  <c r="B180" i="4"/>
  <c r="A135" i="4"/>
  <c r="A139" i="4" s="1"/>
  <c r="J6" i="8"/>
  <c r="A146" i="4" l="1"/>
  <c r="A147" i="4" s="1"/>
  <c r="A148" i="4" s="1"/>
  <c r="A149" i="4" s="1"/>
  <c r="A150" i="4" s="1"/>
  <c r="A151" i="4" s="1"/>
  <c r="A152" i="4" s="1"/>
  <c r="A153" i="4" s="1"/>
  <c r="A154" i="4" s="1"/>
  <c r="A155" i="4" s="1"/>
  <c r="A156" i="4" s="1"/>
  <c r="A157" i="4" s="1"/>
  <c r="A158" i="4" s="1"/>
  <c r="B179" i="4"/>
  <c r="B178" i="4"/>
  <c r="B181" i="4" l="1"/>
  <c r="K69" i="1" l="1"/>
  <c r="K64" i="1"/>
  <c r="K73" i="1" l="1"/>
  <c r="K70" i="1" l="1"/>
  <c r="K84" i="1" s="1"/>
  <c r="K68" i="1"/>
  <c r="L55" i="46" l="1"/>
  <c r="E141" i="46" s="1"/>
  <c r="I141" i="46" s="1"/>
  <c r="K55" i="46"/>
  <c r="D141" i="46" s="1"/>
  <c r="H141" i="46" s="1"/>
  <c r="E62" i="46"/>
  <c r="D62" i="46"/>
  <c r="G55" i="46"/>
  <c r="C55" i="46"/>
  <c r="G141" i="46" l="1"/>
  <c r="J55" i="46"/>
  <c r="C141" i="46" s="1"/>
  <c r="B34" i="31" l="1"/>
  <c r="F44" i="26" l="1"/>
  <c r="F46" i="71" l="1"/>
  <c r="D19" i="71"/>
  <c r="D18" i="71"/>
  <c r="D53" i="71"/>
  <c r="A10" i="71"/>
  <c r="A11" i="71" s="1"/>
  <c r="A12" i="71" s="1"/>
  <c r="A13" i="71" s="1"/>
  <c r="A14" i="71" s="1"/>
  <c r="A15" i="71" s="1"/>
  <c r="A16" i="71" s="1"/>
  <c r="A17" i="71" s="1"/>
  <c r="A18" i="71" s="1"/>
  <c r="A19" i="71" s="1"/>
  <c r="D46" i="71"/>
  <c r="F53" i="71"/>
  <c r="D38" i="7"/>
  <c r="E128" i="61"/>
  <c r="E36" i="61"/>
  <c r="F77" i="61"/>
  <c r="G77" i="61" s="1"/>
  <c r="F44" i="61"/>
  <c r="J44" i="61" s="1"/>
  <c r="G12" i="2"/>
  <c r="C87" i="46"/>
  <c r="G57" i="26"/>
  <c r="G58" i="26" s="1"/>
  <c r="G37" i="26" s="1"/>
  <c r="D37" i="26" s="1"/>
  <c r="G6" i="26" s="1"/>
  <c r="H6" i="26" s="1"/>
  <c r="E64" i="26"/>
  <c r="G11" i="2" s="1"/>
  <c r="H80" i="44"/>
  <c r="H77" i="44"/>
  <c r="H55" i="44"/>
  <c r="I34" i="44"/>
  <c r="H34" i="44"/>
  <c r="A14" i="44"/>
  <c r="A15" i="44" s="1"/>
  <c r="A16" i="44" s="1"/>
  <c r="A17" i="44" s="1"/>
  <c r="K21" i="1"/>
  <c r="E81" i="46"/>
  <c r="E83" i="46" s="1"/>
  <c r="D81" i="46"/>
  <c r="C79" i="46"/>
  <c r="J79" i="46" s="1"/>
  <c r="I81" i="46"/>
  <c r="I83" i="46" s="1"/>
  <c r="L80" i="46"/>
  <c r="E166" i="46" s="1"/>
  <c r="I166" i="46" s="1"/>
  <c r="K79" i="46"/>
  <c r="D165" i="46" s="1"/>
  <c r="H165" i="46" s="1"/>
  <c r="K78" i="46"/>
  <c r="L78" i="46"/>
  <c r="E164" i="46" s="1"/>
  <c r="C78" i="46"/>
  <c r="G77" i="46"/>
  <c r="L77" i="46"/>
  <c r="K77" i="46"/>
  <c r="D163" i="46" s="1"/>
  <c r="H163" i="46" s="1"/>
  <c r="C77" i="46"/>
  <c r="G76" i="46"/>
  <c r="L76" i="46"/>
  <c r="K76" i="46"/>
  <c r="D162" i="46" s="1"/>
  <c r="H162" i="46" s="1"/>
  <c r="C76" i="46"/>
  <c r="G75" i="46"/>
  <c r="L75" i="46"/>
  <c r="K75" i="46"/>
  <c r="D161" i="46" s="1"/>
  <c r="H161" i="46" s="1"/>
  <c r="J214" i="46" s="1"/>
  <c r="C75" i="46"/>
  <c r="G74" i="46"/>
  <c r="L74" i="46"/>
  <c r="K74" i="46"/>
  <c r="D160" i="46" s="1"/>
  <c r="C74" i="46"/>
  <c r="G73" i="46"/>
  <c r="L73" i="46"/>
  <c r="K73" i="46"/>
  <c r="D159" i="46" s="1"/>
  <c r="C73" i="46"/>
  <c r="G72" i="46"/>
  <c r="L72" i="46"/>
  <c r="K72" i="46"/>
  <c r="D158" i="46" s="1"/>
  <c r="C72" i="46"/>
  <c r="G71" i="46"/>
  <c r="L79" i="46"/>
  <c r="E165" i="46" s="1"/>
  <c r="I165" i="46" s="1"/>
  <c r="K71" i="46"/>
  <c r="D157" i="46" s="1"/>
  <c r="C71" i="46"/>
  <c r="C81" i="46" s="1"/>
  <c r="C165" i="46"/>
  <c r="I62" i="46"/>
  <c r="L61" i="46"/>
  <c r="E147" i="46" s="1"/>
  <c r="G60" i="46"/>
  <c r="G59" i="46"/>
  <c r="L59" i="46"/>
  <c r="E145" i="46" s="1"/>
  <c r="I145" i="46" s="1"/>
  <c r="C59" i="46"/>
  <c r="K58" i="46"/>
  <c r="G58" i="46"/>
  <c r="L58" i="46"/>
  <c r="E144" i="46" s="1"/>
  <c r="I144" i="46" s="1"/>
  <c r="C58" i="46"/>
  <c r="G57" i="46"/>
  <c r="L57" i="46"/>
  <c r="E143" i="46" s="1"/>
  <c r="I143" i="46" s="1"/>
  <c r="C57" i="46"/>
  <c r="K56" i="46"/>
  <c r="D142" i="46" s="1"/>
  <c r="G56" i="46"/>
  <c r="L56" i="46"/>
  <c r="E142" i="46" s="1"/>
  <c r="I142" i="46" s="1"/>
  <c r="C56" i="46"/>
  <c r="G54" i="46"/>
  <c r="L54" i="46"/>
  <c r="E140" i="46" s="1"/>
  <c r="I140" i="46" s="1"/>
  <c r="C54" i="46"/>
  <c r="K53" i="46"/>
  <c r="D139" i="46" s="1"/>
  <c r="H139" i="46" s="1"/>
  <c r="G53" i="46"/>
  <c r="L53" i="46"/>
  <c r="E139" i="46" s="1"/>
  <c r="I139" i="46" s="1"/>
  <c r="C53" i="46"/>
  <c r="G52" i="46"/>
  <c r="L52" i="46"/>
  <c r="E138" i="46" s="1"/>
  <c r="I138" i="46" s="1"/>
  <c r="C52" i="46"/>
  <c r="K51" i="46"/>
  <c r="D137" i="46" s="1"/>
  <c r="H137" i="46" s="1"/>
  <c r="G51" i="46"/>
  <c r="L51" i="46"/>
  <c r="E137" i="46" s="1"/>
  <c r="I137" i="46" s="1"/>
  <c r="C51" i="46"/>
  <c r="G50" i="46"/>
  <c r="L50" i="46"/>
  <c r="E136" i="46" s="1"/>
  <c r="I136" i="46" s="1"/>
  <c r="C50" i="46"/>
  <c r="K49" i="46"/>
  <c r="D135" i="46" s="1"/>
  <c r="G49" i="46"/>
  <c r="L49" i="46"/>
  <c r="E135" i="46" s="1"/>
  <c r="C49" i="46"/>
  <c r="G48" i="46"/>
  <c r="L48" i="46"/>
  <c r="E134" i="46" s="1"/>
  <c r="I134" i="46" s="1"/>
  <c r="C48" i="46"/>
  <c r="K47" i="46"/>
  <c r="D133" i="46" s="1"/>
  <c r="H133" i="46" s="1"/>
  <c r="G47" i="46"/>
  <c r="L47" i="46"/>
  <c r="E133" i="46" s="1"/>
  <c r="I133" i="46" s="1"/>
  <c r="C47" i="46"/>
  <c r="G46" i="46"/>
  <c r="L46" i="46"/>
  <c r="E132" i="46" s="1"/>
  <c r="I132" i="46" s="1"/>
  <c r="C46" i="46"/>
  <c r="K45" i="46"/>
  <c r="J45" i="46" s="1"/>
  <c r="C131" i="46" s="1"/>
  <c r="G45" i="46"/>
  <c r="L45" i="46"/>
  <c r="E131" i="46" s="1"/>
  <c r="I131" i="46" s="1"/>
  <c r="C45" i="46"/>
  <c r="G44" i="46"/>
  <c r="L44" i="46"/>
  <c r="E130" i="46" s="1"/>
  <c r="C44" i="46"/>
  <c r="K43" i="46"/>
  <c r="D129" i="46" s="1"/>
  <c r="G43" i="46"/>
  <c r="L43" i="46"/>
  <c r="E129" i="46" s="1"/>
  <c r="C43" i="46"/>
  <c r="G42" i="46"/>
  <c r="L42" i="46"/>
  <c r="E128" i="46" s="1"/>
  <c r="C42" i="46"/>
  <c r="K41" i="46"/>
  <c r="D127" i="46" s="1"/>
  <c r="G41" i="46"/>
  <c r="L41" i="46"/>
  <c r="E127" i="46" s="1"/>
  <c r="C41" i="46"/>
  <c r="G40" i="46"/>
  <c r="L40" i="46"/>
  <c r="E126" i="46" s="1"/>
  <c r="I126" i="46" s="1"/>
  <c r="C40" i="46"/>
  <c r="K39" i="46"/>
  <c r="D125" i="46" s="1"/>
  <c r="G39" i="46"/>
  <c r="L39" i="46"/>
  <c r="E125" i="46" s="1"/>
  <c r="C39" i="46"/>
  <c r="G38" i="46"/>
  <c r="L38" i="46"/>
  <c r="E124" i="46" s="1"/>
  <c r="I124" i="46" s="1"/>
  <c r="C38" i="46"/>
  <c r="K37" i="46"/>
  <c r="G37" i="46"/>
  <c r="L37" i="46"/>
  <c r="E123" i="46" s="1"/>
  <c r="I123" i="46" s="1"/>
  <c r="C37" i="46"/>
  <c r="G36" i="46"/>
  <c r="L36" i="46"/>
  <c r="E122" i="46" s="1"/>
  <c r="I122" i="46" s="1"/>
  <c r="C36" i="46"/>
  <c r="K35" i="46"/>
  <c r="D121" i="46" s="1"/>
  <c r="H121" i="46" s="1"/>
  <c r="G35" i="46"/>
  <c r="L35" i="46"/>
  <c r="E121" i="46" s="1"/>
  <c r="I121" i="46" s="1"/>
  <c r="C35" i="46"/>
  <c r="G34" i="46"/>
  <c r="L34" i="46"/>
  <c r="E120" i="46" s="1"/>
  <c r="I120" i="46" s="1"/>
  <c r="C34" i="46"/>
  <c r="K33" i="46"/>
  <c r="G33" i="46"/>
  <c r="L33" i="46"/>
  <c r="E119" i="46" s="1"/>
  <c r="C33" i="46"/>
  <c r="G32" i="46"/>
  <c r="L32" i="46"/>
  <c r="E118" i="46" s="1"/>
  <c r="K32" i="46"/>
  <c r="C32" i="46"/>
  <c r="G31" i="46"/>
  <c r="L31" i="46"/>
  <c r="E117" i="46" s="1"/>
  <c r="K31" i="46"/>
  <c r="D117" i="46" s="1"/>
  <c r="C31" i="46"/>
  <c r="G30" i="46"/>
  <c r="L30" i="46"/>
  <c r="E116" i="46" s="1"/>
  <c r="K30" i="46"/>
  <c r="C30" i="46"/>
  <c r="G28" i="46"/>
  <c r="L28" i="46"/>
  <c r="E114" i="46" s="1"/>
  <c r="K28" i="46"/>
  <c r="D114" i="46" s="1"/>
  <c r="C28" i="46"/>
  <c r="G27" i="46"/>
  <c r="L27" i="46"/>
  <c r="E113" i="46" s="1"/>
  <c r="I113" i="46" s="1"/>
  <c r="K27" i="46"/>
  <c r="C27" i="46"/>
  <c r="G26" i="46"/>
  <c r="L26" i="46"/>
  <c r="E112" i="46" s="1"/>
  <c r="I112" i="46" s="1"/>
  <c r="K26" i="46"/>
  <c r="C26" i="46"/>
  <c r="G25" i="46"/>
  <c r="L25" i="46"/>
  <c r="E111" i="46" s="1"/>
  <c r="I111" i="46" s="1"/>
  <c r="K25" i="46"/>
  <c r="C25" i="46"/>
  <c r="G24" i="46"/>
  <c r="L24" i="46"/>
  <c r="E110" i="46" s="1"/>
  <c r="I110" i="46" s="1"/>
  <c r="K24" i="46"/>
  <c r="C24" i="46"/>
  <c r="G23" i="46"/>
  <c r="L23" i="46"/>
  <c r="E109" i="46" s="1"/>
  <c r="I109" i="46" s="1"/>
  <c r="K23" i="46"/>
  <c r="C23" i="46"/>
  <c r="G22" i="46"/>
  <c r="L22" i="46"/>
  <c r="K22" i="46"/>
  <c r="C22" i="46"/>
  <c r="G21" i="46"/>
  <c r="L21" i="46"/>
  <c r="K21" i="46"/>
  <c r="C21" i="46"/>
  <c r="G20" i="46"/>
  <c r="L20" i="46"/>
  <c r="K20" i="46"/>
  <c r="D106" i="46" s="1"/>
  <c r="H106" i="46" s="1"/>
  <c r="C20" i="46"/>
  <c r="G19" i="46"/>
  <c r="L19" i="46"/>
  <c r="K19" i="46"/>
  <c r="D105" i="46" s="1"/>
  <c r="H105" i="46" s="1"/>
  <c r="C19" i="46"/>
  <c r="G18" i="46"/>
  <c r="L18" i="46"/>
  <c r="K18" i="46"/>
  <c r="C18" i="46"/>
  <c r="G17" i="46"/>
  <c r="L17" i="46"/>
  <c r="K17" i="46"/>
  <c r="C17" i="46"/>
  <c r="G16" i="46"/>
  <c r="L16" i="46"/>
  <c r="K16" i="46"/>
  <c r="D102" i="46" s="1"/>
  <c r="H102" i="46" s="1"/>
  <c r="C16" i="46"/>
  <c r="G15" i="46"/>
  <c r="L15" i="46"/>
  <c r="K15" i="46"/>
  <c r="D101" i="46" s="1"/>
  <c r="H101" i="46" s="1"/>
  <c r="C15" i="46"/>
  <c r="G14" i="46"/>
  <c r="L14" i="46"/>
  <c r="E100" i="46" s="1"/>
  <c r="I100" i="46" s="1"/>
  <c r="K14" i="46"/>
  <c r="C14" i="46"/>
  <c r="G13" i="46"/>
  <c r="L13" i="46"/>
  <c r="E99" i="46" s="1"/>
  <c r="I99" i="46" s="1"/>
  <c r="K13" i="46"/>
  <c r="C13" i="46"/>
  <c r="G12" i="46"/>
  <c r="L12" i="46"/>
  <c r="E98" i="46" s="1"/>
  <c r="I98" i="46" s="1"/>
  <c r="K12" i="46"/>
  <c r="C12" i="46"/>
  <c r="A12" i="46"/>
  <c r="A13" i="46" s="1"/>
  <c r="A14" i="46" s="1"/>
  <c r="A15" i="46" s="1"/>
  <c r="A16" i="46" s="1"/>
  <c r="A17" i="46" s="1"/>
  <c r="A18" i="46" s="1"/>
  <c r="A19" i="46" s="1"/>
  <c r="A20" i="46" s="1"/>
  <c r="A21" i="46" s="1"/>
  <c r="A22" i="46" s="1"/>
  <c r="A23" i="46" s="1"/>
  <c r="A24" i="46" s="1"/>
  <c r="A25" i="46" s="1"/>
  <c r="A26" i="46" s="1"/>
  <c r="A27" i="46" s="1"/>
  <c r="A28" i="46" s="1"/>
  <c r="A29" i="46" s="1"/>
  <c r="A30" i="46" s="1"/>
  <c r="A31" i="46" s="1"/>
  <c r="A32" i="46" s="1"/>
  <c r="A33" i="46" s="1"/>
  <c r="A34" i="46" s="1"/>
  <c r="A35" i="46" s="1"/>
  <c r="A36" i="46" s="1"/>
  <c r="A37" i="46" s="1"/>
  <c r="A38" i="46" s="1"/>
  <c r="A39" i="46" s="1"/>
  <c r="A40" i="46" s="1"/>
  <c r="A41" i="46" s="1"/>
  <c r="A42" i="46" s="1"/>
  <c r="A43" i="46" s="1"/>
  <c r="A44" i="46" s="1"/>
  <c r="A45" i="46" s="1"/>
  <c r="A46" i="46" s="1"/>
  <c r="A47" i="46" s="1"/>
  <c r="A48" i="46" s="1"/>
  <c r="A49" i="46" s="1"/>
  <c r="A50" i="46" s="1"/>
  <c r="A51" i="46" s="1"/>
  <c r="A52" i="46" s="1"/>
  <c r="A53" i="46" s="1"/>
  <c r="A54" i="46" s="1"/>
  <c r="A55" i="46" s="1"/>
  <c r="A56" i="46" s="1"/>
  <c r="A57" i="46" s="1"/>
  <c r="A58" i="46" s="1"/>
  <c r="A59" i="46" s="1"/>
  <c r="A60" i="46" s="1"/>
  <c r="A61" i="46" s="1"/>
  <c r="A62" i="46" s="1"/>
  <c r="A63" i="46" s="1"/>
  <c r="G11" i="46"/>
  <c r="C11" i="46"/>
  <c r="E16" i="57"/>
  <c r="E10" i="57"/>
  <c r="E53" i="71"/>
  <c r="D122" i="21"/>
  <c r="D120" i="21"/>
  <c r="D118" i="21"/>
  <c r="D116" i="21"/>
  <c r="D114" i="21"/>
  <c r="D112" i="21"/>
  <c r="D46" i="17"/>
  <c r="D49" i="17"/>
  <c r="D48" i="17"/>
  <c r="D47" i="17"/>
  <c r="B54" i="54"/>
  <c r="C9" i="9"/>
  <c r="G67" i="65"/>
  <c r="K67" i="65" s="1"/>
  <c r="G66" i="65"/>
  <c r="K66" i="65" s="1"/>
  <c r="G65" i="65"/>
  <c r="K65" i="65" s="1"/>
  <c r="G64" i="65"/>
  <c r="G63" i="65"/>
  <c r="K63" i="65" s="1"/>
  <c r="G62" i="65"/>
  <c r="K62" i="65" s="1"/>
  <c r="G61" i="65"/>
  <c r="K61" i="65" s="1"/>
  <c r="G60" i="65"/>
  <c r="K60" i="65" s="1"/>
  <c r="G59" i="65"/>
  <c r="K59" i="65" s="1"/>
  <c r="G58" i="65"/>
  <c r="K58" i="65" s="1"/>
  <c r="G57" i="65"/>
  <c r="K57" i="65" s="1"/>
  <c r="G56" i="65"/>
  <c r="A5" i="31"/>
  <c r="L122" i="21"/>
  <c r="J122" i="21"/>
  <c r="H122" i="21"/>
  <c r="F122" i="21"/>
  <c r="L120" i="21"/>
  <c r="J120" i="21"/>
  <c r="H120" i="21"/>
  <c r="F120" i="21"/>
  <c r="L118" i="21"/>
  <c r="J118" i="21"/>
  <c r="H118" i="21"/>
  <c r="F118" i="21"/>
  <c r="L116" i="21"/>
  <c r="J116" i="21"/>
  <c r="H116" i="21"/>
  <c r="F116" i="21"/>
  <c r="L114" i="21"/>
  <c r="J114" i="21"/>
  <c r="H114" i="21"/>
  <c r="F114" i="21"/>
  <c r="L112" i="21"/>
  <c r="J112" i="21"/>
  <c r="H112" i="21"/>
  <c r="F112" i="21"/>
  <c r="D36" i="7"/>
  <c r="D97" i="65"/>
  <c r="E17" i="66"/>
  <c r="J25" i="8" s="1"/>
  <c r="F17" i="66"/>
  <c r="F21" i="66"/>
  <c r="F14" i="66"/>
  <c r="F7" i="66"/>
  <c r="E70" i="26"/>
  <c r="H43" i="26" s="1"/>
  <c r="D43" i="26" s="1"/>
  <c r="G12" i="26" s="1"/>
  <c r="H12" i="26" s="1"/>
  <c r="F53" i="22"/>
  <c r="D58" i="7"/>
  <c r="D54" i="7"/>
  <c r="F41" i="54"/>
  <c r="F38" i="54"/>
  <c r="F29" i="54"/>
  <c r="E40" i="56"/>
  <c r="E42" i="56" s="1"/>
  <c r="G21" i="2" s="1"/>
  <c r="E26" i="56"/>
  <c r="E12" i="56"/>
  <c r="E17" i="56" s="1"/>
  <c r="F17" i="56" s="1"/>
  <c r="H41" i="8"/>
  <c r="J9" i="8"/>
  <c r="G10" i="2"/>
  <c r="A8" i="2"/>
  <c r="K126" i="1"/>
  <c r="J51" i="8" s="1"/>
  <c r="A11" i="7"/>
  <c r="A12" i="7" s="1"/>
  <c r="A13" i="7" s="1"/>
  <c r="A14" i="7" s="1"/>
  <c r="A15" i="7" s="1"/>
  <c r="A16" i="7" s="1"/>
  <c r="K32" i="1"/>
  <c r="E21" i="66"/>
  <c r="E14" i="66"/>
  <c r="E7" i="66"/>
  <c r="I118" i="65"/>
  <c r="I117" i="65"/>
  <c r="I116" i="65"/>
  <c r="I114" i="65"/>
  <c r="I113" i="65"/>
  <c r="I112" i="65"/>
  <c r="I110" i="65"/>
  <c r="I109" i="65"/>
  <c r="G120" i="65"/>
  <c r="E120" i="65"/>
  <c r="C120" i="65"/>
  <c r="K64" i="65"/>
  <c r="H44" i="65"/>
  <c r="H43" i="65"/>
  <c r="H42" i="65"/>
  <c r="H41" i="65"/>
  <c r="H40" i="65"/>
  <c r="H39" i="65"/>
  <c r="H38" i="65"/>
  <c r="H37" i="65"/>
  <c r="H36" i="65"/>
  <c r="A14" i="65"/>
  <c r="A15" i="65" s="1"/>
  <c r="A16" i="65" s="1"/>
  <c r="A17" i="65" s="1"/>
  <c r="A18" i="65" s="1"/>
  <c r="A19" i="65" s="1"/>
  <c r="A20" i="65" s="1"/>
  <c r="A21" i="65" s="1"/>
  <c r="A22" i="65" s="1"/>
  <c r="A23" i="65" s="1"/>
  <c r="A24" i="65" s="1"/>
  <c r="B140" i="65" s="1"/>
  <c r="I108" i="65"/>
  <c r="A7" i="63"/>
  <c r="A8" i="63" s="1"/>
  <c r="A9" i="63" s="1"/>
  <c r="A10" i="63" s="1"/>
  <c r="A11" i="63" s="1"/>
  <c r="A12" i="63" s="1"/>
  <c r="A13" i="63" s="1"/>
  <c r="A14" i="63" s="1"/>
  <c r="A15" i="63" s="1"/>
  <c r="A16" i="63" s="1"/>
  <c r="A20" i="63" s="1"/>
  <c r="A21" i="63" s="1"/>
  <c r="A22" i="63" s="1"/>
  <c r="A27" i="63" s="1"/>
  <c r="A28" i="63" s="1"/>
  <c r="A29" i="63" s="1"/>
  <c r="A30" i="63" s="1"/>
  <c r="A31" i="63" s="1"/>
  <c r="A32" i="63" s="1"/>
  <c r="A33" i="63" s="1"/>
  <c r="A34" i="63" s="1"/>
  <c r="E111" i="21"/>
  <c r="G122" i="21"/>
  <c r="G121" i="21"/>
  <c r="G120" i="21"/>
  <c r="G119" i="21"/>
  <c r="G118" i="21"/>
  <c r="G117" i="21"/>
  <c r="G116" i="21"/>
  <c r="G115" i="21"/>
  <c r="G114" i="21"/>
  <c r="G113" i="21"/>
  <c r="G112" i="21"/>
  <c r="I122" i="21"/>
  <c r="I121" i="21"/>
  <c r="I120" i="21"/>
  <c r="I119" i="21"/>
  <c r="I118" i="21"/>
  <c r="I117" i="21"/>
  <c r="I116" i="21"/>
  <c r="I115" i="21"/>
  <c r="I114" i="21"/>
  <c r="I113" i="21"/>
  <c r="I112" i="21"/>
  <c r="K122" i="21"/>
  <c r="K121" i="21"/>
  <c r="K120" i="21"/>
  <c r="K119" i="21"/>
  <c r="K118" i="21"/>
  <c r="K117" i="21"/>
  <c r="K116" i="21"/>
  <c r="K115" i="21"/>
  <c r="K114" i="21"/>
  <c r="K113" i="21"/>
  <c r="K112" i="21"/>
  <c r="M122" i="21"/>
  <c r="M121" i="21"/>
  <c r="M120" i="21"/>
  <c r="M119" i="21"/>
  <c r="M118" i="21"/>
  <c r="M117" i="21"/>
  <c r="M116" i="21"/>
  <c r="M115" i="21"/>
  <c r="M114" i="21"/>
  <c r="M113" i="21"/>
  <c r="M112" i="21"/>
  <c r="D121" i="21"/>
  <c r="D119" i="21"/>
  <c r="D117" i="21"/>
  <c r="D115" i="21"/>
  <c r="D113" i="21"/>
  <c r="F121" i="21"/>
  <c r="F119" i="21"/>
  <c r="F117" i="21"/>
  <c r="F115" i="21"/>
  <c r="F113" i="21"/>
  <c r="H121" i="21"/>
  <c r="H119" i="21"/>
  <c r="H117" i="21"/>
  <c r="H115" i="21"/>
  <c r="H113" i="21"/>
  <c r="J121" i="21"/>
  <c r="J119" i="21"/>
  <c r="J117" i="21"/>
  <c r="J115" i="21"/>
  <c r="J113" i="21"/>
  <c r="L121" i="21"/>
  <c r="L119" i="21"/>
  <c r="L117" i="21"/>
  <c r="L115" i="21"/>
  <c r="L113" i="21"/>
  <c r="G48" i="11"/>
  <c r="G47" i="11"/>
  <c r="G46" i="11"/>
  <c r="E46" i="11" s="1"/>
  <c r="E39" i="12" s="1"/>
  <c r="H85" i="11"/>
  <c r="G60" i="11" s="1"/>
  <c r="G85" i="11"/>
  <c r="G62" i="11" s="1"/>
  <c r="E70" i="12" s="1"/>
  <c r="F85" i="11"/>
  <c r="G61" i="11" s="1"/>
  <c r="E69" i="12" s="1"/>
  <c r="E84" i="11"/>
  <c r="E83" i="11"/>
  <c r="E82" i="11"/>
  <c r="E81" i="11"/>
  <c r="E80" i="11"/>
  <c r="E79" i="11"/>
  <c r="E78" i="11"/>
  <c r="E77" i="11"/>
  <c r="E76" i="11"/>
  <c r="E75" i="11"/>
  <c r="E74" i="11"/>
  <c r="E73" i="11"/>
  <c r="E72" i="11"/>
  <c r="A25" i="12"/>
  <c r="A26" i="12"/>
  <c r="E211" i="61"/>
  <c r="F192" i="61"/>
  <c r="G192" i="61" s="1"/>
  <c r="I192" i="61" s="1"/>
  <c r="F191" i="61"/>
  <c r="G191" i="61" s="1"/>
  <c r="I191" i="61" s="1"/>
  <c r="F189" i="61"/>
  <c r="J189" i="61" s="1"/>
  <c r="L196" i="61"/>
  <c r="F188" i="61"/>
  <c r="N188" i="61" s="1"/>
  <c r="H183" i="61"/>
  <c r="E183" i="61"/>
  <c r="F180" i="61"/>
  <c r="J180" i="61" s="1"/>
  <c r="M180" i="61" s="1"/>
  <c r="F179" i="61"/>
  <c r="J179" i="61" s="1"/>
  <c r="M179" i="61" s="1"/>
  <c r="F178" i="61"/>
  <c r="N178" i="61" s="1"/>
  <c r="F177" i="61"/>
  <c r="G177" i="61" s="1"/>
  <c r="I177" i="61" s="1"/>
  <c r="F176" i="61"/>
  <c r="J176" i="61" s="1"/>
  <c r="M176" i="61" s="1"/>
  <c r="F175" i="61"/>
  <c r="N175" i="61" s="1"/>
  <c r="F174" i="61"/>
  <c r="J174" i="61" s="1"/>
  <c r="M174" i="61" s="1"/>
  <c r="F173" i="61"/>
  <c r="N173" i="61" s="1"/>
  <c r="F172" i="61"/>
  <c r="N172" i="61" s="1"/>
  <c r="F171" i="61"/>
  <c r="J171" i="61" s="1"/>
  <c r="M171" i="61" s="1"/>
  <c r="F170" i="61"/>
  <c r="G170" i="61" s="1"/>
  <c r="I170" i="61" s="1"/>
  <c r="F169" i="61"/>
  <c r="N169" i="61" s="1"/>
  <c r="F168" i="61"/>
  <c r="N168" i="61" s="1"/>
  <c r="F167" i="61"/>
  <c r="N167" i="61" s="1"/>
  <c r="L183" i="61"/>
  <c r="F166" i="61"/>
  <c r="G166" i="61" s="1"/>
  <c r="N162" i="61"/>
  <c r="M162" i="61"/>
  <c r="L162" i="61"/>
  <c r="J162" i="61"/>
  <c r="I162" i="61"/>
  <c r="H162" i="61"/>
  <c r="G162" i="61"/>
  <c r="E162" i="61"/>
  <c r="N157" i="61"/>
  <c r="M157" i="61"/>
  <c r="L157" i="61"/>
  <c r="J157" i="61"/>
  <c r="I157" i="61"/>
  <c r="H157" i="61"/>
  <c r="G157" i="61"/>
  <c r="E157" i="61"/>
  <c r="L152" i="61"/>
  <c r="E152" i="61"/>
  <c r="F149" i="61"/>
  <c r="J149" i="61" s="1"/>
  <c r="M149" i="61" s="1"/>
  <c r="F148" i="61"/>
  <c r="G148" i="61" s="1"/>
  <c r="I148" i="61" s="1"/>
  <c r="F147" i="61"/>
  <c r="G147" i="61" s="1"/>
  <c r="I147" i="61" s="1"/>
  <c r="F146" i="61"/>
  <c r="J146" i="61" s="1"/>
  <c r="M146" i="61" s="1"/>
  <c r="F145" i="61"/>
  <c r="N145" i="61" s="1"/>
  <c r="F144" i="61"/>
  <c r="N144" i="61" s="1"/>
  <c r="F143" i="61"/>
  <c r="N143" i="61" s="1"/>
  <c r="F142" i="61"/>
  <c r="N142" i="61" s="1"/>
  <c r="F141" i="61"/>
  <c r="N141" i="61" s="1"/>
  <c r="F140" i="61"/>
  <c r="N140" i="61" s="1"/>
  <c r="F139" i="61"/>
  <c r="N139" i="61" s="1"/>
  <c r="F138" i="61"/>
  <c r="N138" i="61" s="1"/>
  <c r="F137" i="61"/>
  <c r="G137" i="61" s="1"/>
  <c r="H137" i="61" s="1"/>
  <c r="I137" i="61" s="1"/>
  <c r="F136" i="61"/>
  <c r="N136" i="61" s="1"/>
  <c r="F135" i="61"/>
  <c r="N135" i="61" s="1"/>
  <c r="F134" i="61"/>
  <c r="N134" i="61" s="1"/>
  <c r="F133" i="61"/>
  <c r="N133" i="61" s="1"/>
  <c r="F132" i="61"/>
  <c r="N132" i="61" s="1"/>
  <c r="F131" i="61"/>
  <c r="G131" i="61" s="1"/>
  <c r="H131" i="61" s="1"/>
  <c r="F123" i="61"/>
  <c r="N123" i="61" s="1"/>
  <c r="F122" i="61"/>
  <c r="N122" i="61" s="1"/>
  <c r="F121" i="61"/>
  <c r="N121" i="61" s="1"/>
  <c r="F120" i="61"/>
  <c r="N120" i="61" s="1"/>
  <c r="F119" i="61"/>
  <c r="N119" i="61" s="1"/>
  <c r="F118" i="61"/>
  <c r="G118" i="61" s="1"/>
  <c r="I118" i="61" s="1"/>
  <c r="F117" i="61"/>
  <c r="N117" i="61" s="1"/>
  <c r="F116" i="61"/>
  <c r="N116" i="61" s="1"/>
  <c r="F115" i="61"/>
  <c r="N115" i="61" s="1"/>
  <c r="F114" i="61"/>
  <c r="J114" i="61" s="1"/>
  <c r="M114" i="61" s="1"/>
  <c r="F113" i="61"/>
  <c r="J113" i="61" s="1"/>
  <c r="M113" i="61" s="1"/>
  <c r="F112" i="61"/>
  <c r="J112" i="61" s="1"/>
  <c r="M112" i="61" s="1"/>
  <c r="F111" i="61"/>
  <c r="J111" i="61" s="1"/>
  <c r="M111" i="61" s="1"/>
  <c r="F110" i="61"/>
  <c r="J110" i="61" s="1"/>
  <c r="M110" i="61" s="1"/>
  <c r="F109" i="61"/>
  <c r="J109" i="61" s="1"/>
  <c r="M109" i="61" s="1"/>
  <c r="F108" i="61"/>
  <c r="N108" i="61" s="1"/>
  <c r="F107" i="61"/>
  <c r="N107" i="61" s="1"/>
  <c r="F106" i="61"/>
  <c r="N106" i="61" s="1"/>
  <c r="F105" i="61"/>
  <c r="J105" i="61" s="1"/>
  <c r="M105" i="61" s="1"/>
  <c r="F104" i="61"/>
  <c r="N104" i="61" s="1"/>
  <c r="F103" i="61"/>
  <c r="G103" i="61" s="1"/>
  <c r="I103" i="61" s="1"/>
  <c r="F102" i="61"/>
  <c r="N102" i="61" s="1"/>
  <c r="F101" i="61"/>
  <c r="J101" i="61" s="1"/>
  <c r="M101" i="61" s="1"/>
  <c r="F100" i="61"/>
  <c r="N100" i="61" s="1"/>
  <c r="F99" i="61"/>
  <c r="J99" i="61" s="1"/>
  <c r="M99" i="61" s="1"/>
  <c r="F98" i="61"/>
  <c r="N98" i="61" s="1"/>
  <c r="F97" i="61"/>
  <c r="J97" i="61" s="1"/>
  <c r="M97" i="61" s="1"/>
  <c r="F96" i="61"/>
  <c r="N96" i="61" s="1"/>
  <c r="F95" i="61"/>
  <c r="J95" i="61" s="1"/>
  <c r="M95" i="61" s="1"/>
  <c r="F94" i="61"/>
  <c r="N94" i="61" s="1"/>
  <c r="F93" i="61"/>
  <c r="N93" i="61" s="1"/>
  <c r="F92" i="61"/>
  <c r="F91" i="61"/>
  <c r="J91" i="61" s="1"/>
  <c r="M91" i="61" s="1"/>
  <c r="F90" i="61"/>
  <c r="N90" i="61" s="1"/>
  <c r="F89" i="61"/>
  <c r="N89" i="61" s="1"/>
  <c r="F88" i="61"/>
  <c r="J88" i="61" s="1"/>
  <c r="M88" i="61" s="1"/>
  <c r="F87" i="61"/>
  <c r="N87" i="61" s="1"/>
  <c r="L128" i="61"/>
  <c r="F86" i="61"/>
  <c r="J86" i="61" s="1"/>
  <c r="M86" i="61" s="1"/>
  <c r="F85" i="61"/>
  <c r="J85" i="61" s="1"/>
  <c r="M85" i="61" s="1"/>
  <c r="F84" i="61"/>
  <c r="J84" i="61" s="1"/>
  <c r="M84" i="61" s="1"/>
  <c r="F83" i="61"/>
  <c r="J83" i="61" s="1"/>
  <c r="F82" i="61"/>
  <c r="J82" i="61" s="1"/>
  <c r="M82" i="61" s="1"/>
  <c r="F81" i="61"/>
  <c r="N81" i="61" s="1"/>
  <c r="F80" i="61"/>
  <c r="N80" i="61" s="1"/>
  <c r="H79" i="61"/>
  <c r="G79" i="61" s="1"/>
  <c r="F79" i="61"/>
  <c r="J79" i="61" s="1"/>
  <c r="M79" i="61" s="1"/>
  <c r="H78" i="61"/>
  <c r="F78" i="61"/>
  <c r="G78" i="61" s="1"/>
  <c r="F76" i="61"/>
  <c r="N76" i="61" s="1"/>
  <c r="F75" i="61"/>
  <c r="N75" i="61" s="1"/>
  <c r="F74" i="61"/>
  <c r="N74" i="61" s="1"/>
  <c r="F73" i="61"/>
  <c r="N73" i="61" s="1"/>
  <c r="F72" i="61"/>
  <c r="N72" i="61" s="1"/>
  <c r="F71" i="61"/>
  <c r="J71" i="61" s="1"/>
  <c r="M71" i="61" s="1"/>
  <c r="F70" i="61"/>
  <c r="J70" i="61" s="1"/>
  <c r="M70" i="61" s="1"/>
  <c r="E67" i="61"/>
  <c r="F61" i="61"/>
  <c r="N61" i="61" s="1"/>
  <c r="F60" i="61"/>
  <c r="G60" i="61" s="1"/>
  <c r="I60" i="61" s="1"/>
  <c r="F59" i="61"/>
  <c r="J59" i="61" s="1"/>
  <c r="M59" i="61" s="1"/>
  <c r="F58" i="61"/>
  <c r="N58" i="61" s="1"/>
  <c r="F57" i="61"/>
  <c r="N57" i="61" s="1"/>
  <c r="F56" i="61"/>
  <c r="N56" i="61" s="1"/>
  <c r="F55" i="61"/>
  <c r="N55" i="61" s="1"/>
  <c r="F54" i="61"/>
  <c r="N54" i="61" s="1"/>
  <c r="H53" i="61"/>
  <c r="F53" i="61"/>
  <c r="G53" i="61" s="1"/>
  <c r="H52" i="61"/>
  <c r="G52" i="61" s="1"/>
  <c r="F52" i="61"/>
  <c r="J52" i="61" s="1"/>
  <c r="M52" i="61" s="1"/>
  <c r="H51" i="61"/>
  <c r="F51" i="61"/>
  <c r="G51" i="61" s="1"/>
  <c r="H50" i="61"/>
  <c r="G50" i="61" s="1"/>
  <c r="F50" i="61"/>
  <c r="F49" i="61"/>
  <c r="N49" i="61" s="1"/>
  <c r="F48" i="61"/>
  <c r="N48" i="61" s="1"/>
  <c r="F47" i="61"/>
  <c r="J47" i="61" s="1"/>
  <c r="M47" i="61" s="1"/>
  <c r="F46" i="61"/>
  <c r="J46" i="61" s="1"/>
  <c r="M46" i="61" s="1"/>
  <c r="L67" i="61"/>
  <c r="F45" i="61"/>
  <c r="J45" i="61" s="1"/>
  <c r="M45" i="61" s="1"/>
  <c r="F43" i="61"/>
  <c r="N43" i="61" s="1"/>
  <c r="F42" i="61"/>
  <c r="N42" i="61" s="1"/>
  <c r="F41" i="61"/>
  <c r="N41" i="61" s="1"/>
  <c r="F40" i="61"/>
  <c r="N40" i="61" s="1"/>
  <c r="F39" i="61"/>
  <c r="N39" i="61" s="1"/>
  <c r="L36" i="61"/>
  <c r="H36" i="61"/>
  <c r="F33" i="61"/>
  <c r="N33" i="61" s="1"/>
  <c r="F32" i="61"/>
  <c r="N32" i="61" s="1"/>
  <c r="F31" i="61"/>
  <c r="J31" i="61" s="1"/>
  <c r="M31" i="61" s="1"/>
  <c r="H28" i="61"/>
  <c r="E28" i="61"/>
  <c r="F20" i="61"/>
  <c r="N20" i="61" s="1"/>
  <c r="L28" i="61"/>
  <c r="F19" i="61"/>
  <c r="G19" i="61" s="1"/>
  <c r="I19" i="61" s="1"/>
  <c r="F18" i="61"/>
  <c r="J18" i="61" s="1"/>
  <c r="M18" i="61" s="1"/>
  <c r="F17" i="61"/>
  <c r="F16" i="61"/>
  <c r="J16" i="61" s="1"/>
  <c r="M16" i="61" s="1"/>
  <c r="F15" i="61"/>
  <c r="G15" i="61" s="1"/>
  <c r="I15" i="61" s="1"/>
  <c r="F14" i="61"/>
  <c r="J14" i="61" s="1"/>
  <c r="F13" i="61"/>
  <c r="J13" i="61" s="1"/>
  <c r="M13" i="61" s="1"/>
  <c r="F12" i="61"/>
  <c r="J12" i="61" s="1"/>
  <c r="M12" i="61" s="1"/>
  <c r="L9" i="61"/>
  <c r="H9" i="61"/>
  <c r="E9" i="61"/>
  <c r="F6" i="61"/>
  <c r="J6" i="61" s="1"/>
  <c r="M6" i="61" s="1"/>
  <c r="F5" i="61"/>
  <c r="J5" i="61" s="1"/>
  <c r="M5" i="61" s="1"/>
  <c r="F4" i="61"/>
  <c r="G4" i="61" s="1"/>
  <c r="D16" i="57"/>
  <c r="E11" i="57"/>
  <c r="E12" i="57" s="1"/>
  <c r="D11" i="57"/>
  <c r="D12" i="57" s="1"/>
  <c r="D10" i="57"/>
  <c r="D17" i="57"/>
  <c r="F48" i="11"/>
  <c r="F62" i="11"/>
  <c r="E46" i="71"/>
  <c r="E24" i="54"/>
  <c r="D24" i="54"/>
  <c r="A8" i="17"/>
  <c r="A9" i="17" s="1"/>
  <c r="A10" i="17" s="1"/>
  <c r="A11" i="17" s="1"/>
  <c r="A12" i="17" s="1"/>
  <c r="A13" i="17" s="1"/>
  <c r="A14" i="17" s="1"/>
  <c r="I101" i="1" s="1"/>
  <c r="D50" i="26"/>
  <c r="G19" i="26" s="1"/>
  <c r="H19" i="26" s="1"/>
  <c r="D49" i="26"/>
  <c r="G18" i="26" s="1"/>
  <c r="H18" i="26" s="1"/>
  <c r="D48" i="26"/>
  <c r="G17" i="26" s="1"/>
  <c r="H17" i="26" s="1"/>
  <c r="D47" i="26"/>
  <c r="G16" i="26" s="1"/>
  <c r="H16" i="26" s="1"/>
  <c r="D46" i="26"/>
  <c r="G15" i="26" s="1"/>
  <c r="H15" i="26" s="1"/>
  <c r="D45" i="26"/>
  <c r="G14" i="26" s="1"/>
  <c r="H14" i="26" s="1"/>
  <c r="D44" i="26"/>
  <c r="G13" i="26" s="1"/>
  <c r="H13" i="26" s="1"/>
  <c r="D42" i="26"/>
  <c r="G11" i="26" s="1"/>
  <c r="H11" i="26" s="1"/>
  <c r="D41" i="26"/>
  <c r="G10" i="26" s="1"/>
  <c r="H10" i="26" s="1"/>
  <c r="D40" i="26"/>
  <c r="G9" i="26" s="1"/>
  <c r="H9" i="26" s="1"/>
  <c r="D39" i="26"/>
  <c r="G8" i="26" s="1"/>
  <c r="H8" i="26" s="1"/>
  <c r="D38" i="26"/>
  <c r="G7" i="26" s="1"/>
  <c r="H7" i="26" s="1"/>
  <c r="A10" i="57"/>
  <c r="A11" i="57" s="1"/>
  <c r="A12" i="57" s="1"/>
  <c r="A13" i="57" s="1"/>
  <c r="A14" i="57" s="1"/>
  <c r="A15" i="57" s="1"/>
  <c r="A16" i="57" s="1"/>
  <c r="A17" i="57" s="1"/>
  <c r="A18" i="57" s="1"/>
  <c r="A19" i="57" s="1"/>
  <c r="A20" i="57" s="1"/>
  <c r="A21" i="57" s="1"/>
  <c r="A22" i="57" s="1"/>
  <c r="A23" i="57" s="1"/>
  <c r="A24" i="57" s="1"/>
  <c r="A25" i="57" s="1"/>
  <c r="A26" i="57" s="1"/>
  <c r="A27" i="57" s="1"/>
  <c r="A28" i="57" s="1"/>
  <c r="A29" i="57" s="1"/>
  <c r="A30" i="57" s="1"/>
  <c r="A31" i="57" s="1"/>
  <c r="K18" i="57"/>
  <c r="J18" i="57"/>
  <c r="I18" i="57"/>
  <c r="H18" i="57"/>
  <c r="G18" i="57"/>
  <c r="E17" i="57"/>
  <c r="E15" i="57"/>
  <c r="D15" i="57"/>
  <c r="C10" i="57"/>
  <c r="K12" i="57"/>
  <c r="J12" i="57"/>
  <c r="I12" i="57"/>
  <c r="H12" i="57"/>
  <c r="G12" i="57"/>
  <c r="F11" i="56"/>
  <c r="F10" i="56"/>
  <c r="A9" i="56"/>
  <c r="A10" i="56" s="1"/>
  <c r="C40" i="56"/>
  <c r="C42" i="56" s="1"/>
  <c r="F42" i="56" s="1"/>
  <c r="F39" i="56"/>
  <c r="F38" i="56"/>
  <c r="F36" i="56"/>
  <c r="C26" i="56"/>
  <c r="F25" i="56"/>
  <c r="F24" i="56"/>
  <c r="F23" i="56"/>
  <c r="F22" i="56"/>
  <c r="F21" i="56"/>
  <c r="F20" i="56"/>
  <c r="C12" i="56"/>
  <c r="C17" i="56" s="1"/>
  <c r="F40" i="56"/>
  <c r="K30" i="1"/>
  <c r="K134" i="1"/>
  <c r="J59" i="8" s="1"/>
  <c r="A15" i="32"/>
  <c r="G16" i="32" s="1"/>
  <c r="A7" i="26"/>
  <c r="A8" i="26" s="1"/>
  <c r="A9" i="26" s="1"/>
  <c r="A10" i="26" s="1"/>
  <c r="A27" i="11"/>
  <c r="K100" i="1"/>
  <c r="A7" i="8"/>
  <c r="A8" i="8" s="1"/>
  <c r="A9" i="8" s="1"/>
  <c r="A33" i="8"/>
  <c r="H34" i="8" s="1"/>
  <c r="A34" i="8"/>
  <c r="A38" i="8" s="1"/>
  <c r="E41" i="32"/>
  <c r="E35" i="32"/>
  <c r="K12" i="1"/>
  <c r="K128" i="1"/>
  <c r="J53" i="8" s="1"/>
  <c r="F24" i="26"/>
  <c r="F7" i="42"/>
  <c r="E21" i="32" s="1"/>
  <c r="F27" i="12"/>
  <c r="F56" i="12" s="1"/>
  <c r="F26" i="12"/>
  <c r="F55" i="12" s="1"/>
  <c r="F25" i="12"/>
  <c r="F54" i="12" s="1"/>
  <c r="J44" i="8"/>
  <c r="F22" i="31"/>
  <c r="E22" i="31"/>
  <c r="D22" i="31"/>
  <c r="E20" i="26"/>
  <c r="D18" i="57"/>
  <c r="F15" i="56"/>
  <c r="J20" i="61"/>
  <c r="M20" i="61" s="1"/>
  <c r="G20" i="61"/>
  <c r="I20" i="61" s="1"/>
  <c r="N45" i="61"/>
  <c r="N47" i="61"/>
  <c r="J87" i="61"/>
  <c r="M87" i="61" s="1"/>
  <c r="G98" i="61"/>
  <c r="I98" i="61" s="1"/>
  <c r="N105" i="61"/>
  <c r="G39" i="61"/>
  <c r="I39" i="61" s="1"/>
  <c r="J39" i="61"/>
  <c r="M39" i="61" s="1"/>
  <c r="J40" i="61"/>
  <c r="M40" i="61" s="1"/>
  <c r="G43" i="61"/>
  <c r="I43" i="61" s="1"/>
  <c r="J43" i="61"/>
  <c r="M43" i="61" s="1"/>
  <c r="J50" i="61"/>
  <c r="M50" i="61" s="1"/>
  <c r="G55" i="61"/>
  <c r="I55" i="61" s="1"/>
  <c r="J55" i="61"/>
  <c r="M55" i="61" s="1"/>
  <c r="G57" i="61"/>
  <c r="I57" i="61" s="1"/>
  <c r="G58" i="61"/>
  <c r="I58" i="61" s="1"/>
  <c r="G59" i="61"/>
  <c r="I59" i="61" s="1"/>
  <c r="J78" i="61"/>
  <c r="M78" i="61" s="1"/>
  <c r="G81" i="61"/>
  <c r="I81" i="61" s="1"/>
  <c r="J81" i="61"/>
  <c r="M81" i="61" s="1"/>
  <c r="G82" i="61"/>
  <c r="I82" i="61" s="1"/>
  <c r="G91" i="61"/>
  <c r="I91" i="61" s="1"/>
  <c r="J96" i="61"/>
  <c r="M96" i="61" s="1"/>
  <c r="G96" i="61"/>
  <c r="I96" i="61" s="1"/>
  <c r="J100" i="61"/>
  <c r="M100" i="61" s="1"/>
  <c r="G100" i="61"/>
  <c r="I100" i="61" s="1"/>
  <c r="G102" i="61"/>
  <c r="I102" i="61" s="1"/>
  <c r="J104" i="61"/>
  <c r="M104" i="61" s="1"/>
  <c r="G104" i="61"/>
  <c r="I104" i="61" s="1"/>
  <c r="J137" i="61"/>
  <c r="M137" i="61" s="1"/>
  <c r="N147" i="61"/>
  <c r="J147" i="61"/>
  <c r="M147" i="61" s="1"/>
  <c r="J191" i="61"/>
  <c r="M191" i="61" s="1"/>
  <c r="G108" i="61"/>
  <c r="I108" i="61" s="1"/>
  <c r="J108" i="61"/>
  <c r="M108" i="61" s="1"/>
  <c r="J131" i="61"/>
  <c r="M131" i="61" s="1"/>
  <c r="J134" i="61"/>
  <c r="M134" i="61" s="1"/>
  <c r="G135" i="61"/>
  <c r="I135" i="61" s="1"/>
  <c r="J135" i="61"/>
  <c r="M135" i="61" s="1"/>
  <c r="G146" i="61"/>
  <c r="I146" i="61" s="1"/>
  <c r="J168" i="61"/>
  <c r="M168" i="61" s="1"/>
  <c r="G168" i="61"/>
  <c r="I168" i="61" s="1"/>
  <c r="J172" i="61"/>
  <c r="M172" i="61" s="1"/>
  <c r="G172" i="61"/>
  <c r="I172" i="61" s="1"/>
  <c r="J175" i="61"/>
  <c r="M175" i="61" s="1"/>
  <c r="G188" i="61"/>
  <c r="J192" i="61"/>
  <c r="M192" i="61" s="1"/>
  <c r="F47" i="11"/>
  <c r="F61" i="11"/>
  <c r="E61" i="11" s="1"/>
  <c r="A9" i="2"/>
  <c r="A10" i="2" s="1"/>
  <c r="A11" i="2" s="1"/>
  <c r="H56" i="8"/>
  <c r="A28" i="11"/>
  <c r="A29" i="11" s="1"/>
  <c r="A30" i="11" s="1"/>
  <c r="A31" i="11" s="1"/>
  <c r="A32" i="11" s="1"/>
  <c r="A33" i="11" s="1"/>
  <c r="A34" i="11" s="1"/>
  <c r="A35" i="11" s="1"/>
  <c r="A36" i="11" s="1"/>
  <c r="A37" i="11" s="1"/>
  <c r="D120" i="65"/>
  <c r="F120" i="65"/>
  <c r="H120" i="65"/>
  <c r="I111" i="65"/>
  <c r="I115" i="65"/>
  <c r="I119" i="65"/>
  <c r="N6" i="61"/>
  <c r="N13" i="61"/>
  <c r="N70" i="61"/>
  <c r="N192" i="61"/>
  <c r="N84" i="61"/>
  <c r="N85" i="61"/>
  <c r="G120" i="61"/>
  <c r="I120" i="61" s="1"/>
  <c r="J48" i="61"/>
  <c r="M48" i="61" s="1"/>
  <c r="G13" i="61"/>
  <c r="I13" i="61" s="1"/>
  <c r="G16" i="61"/>
  <c r="I16" i="61" s="1"/>
  <c r="G17" i="61"/>
  <c r="I17" i="61" s="1"/>
  <c r="G70" i="61"/>
  <c r="I70" i="61" s="1"/>
  <c r="G72" i="61"/>
  <c r="I72" i="61" s="1"/>
  <c r="G74" i="61"/>
  <c r="I74" i="61" s="1"/>
  <c r="N78" i="61"/>
  <c r="G85" i="61"/>
  <c r="I85" i="61" s="1"/>
  <c r="N86" i="61"/>
  <c r="G88" i="61"/>
  <c r="I88" i="61" s="1"/>
  <c r="N95" i="61"/>
  <c r="N99" i="61"/>
  <c r="N111" i="61"/>
  <c r="J116" i="61"/>
  <c r="M116" i="61" s="1"/>
  <c r="J120" i="61"/>
  <c r="M120" i="61" s="1"/>
  <c r="G112" i="61"/>
  <c r="I112" i="61" s="1"/>
  <c r="J115" i="61"/>
  <c r="M115" i="61" s="1"/>
  <c r="J119" i="61"/>
  <c r="M119" i="61" s="1"/>
  <c r="J138" i="61"/>
  <c r="M138" i="61" s="1"/>
  <c r="G139" i="61"/>
  <c r="I139" i="61" s="1"/>
  <c r="J139" i="61"/>
  <c r="M139" i="61" s="1"/>
  <c r="J142" i="61"/>
  <c r="M142" i="61" s="1"/>
  <c r="G143" i="61"/>
  <c r="I143" i="61" s="1"/>
  <c r="J143" i="61"/>
  <c r="M143" i="61" s="1"/>
  <c r="J169" i="61"/>
  <c r="M169" i="61" s="1"/>
  <c r="N131" i="61"/>
  <c r="G171" i="61"/>
  <c r="I171" i="61" s="1"/>
  <c r="G180" i="61"/>
  <c r="I180" i="61" s="1"/>
  <c r="D99" i="46"/>
  <c r="D103" i="46"/>
  <c r="H103" i="46" s="1"/>
  <c r="D104" i="46"/>
  <c r="H104" i="46" s="1"/>
  <c r="D107" i="46"/>
  <c r="H107" i="46" s="1"/>
  <c r="D108" i="46"/>
  <c r="H108" i="46" s="1"/>
  <c r="D111" i="46"/>
  <c r="D113" i="46"/>
  <c r="H113" i="46" s="1"/>
  <c r="C62" i="46"/>
  <c r="E158" i="46"/>
  <c r="E159" i="46"/>
  <c r="E160" i="46"/>
  <c r="E161" i="46"/>
  <c r="I161" i="46" s="1"/>
  <c r="E162" i="46"/>
  <c r="I162" i="46" s="1"/>
  <c r="E163" i="46"/>
  <c r="L11" i="46"/>
  <c r="E97" i="46" s="1"/>
  <c r="D123" i="46"/>
  <c r="D131" i="46"/>
  <c r="K11" i="46"/>
  <c r="K34" i="46"/>
  <c r="D120" i="46" s="1"/>
  <c r="K36" i="46"/>
  <c r="D122" i="46" s="1"/>
  <c r="K38" i="46"/>
  <c r="K40" i="46"/>
  <c r="K42" i="46"/>
  <c r="D128" i="46" s="1"/>
  <c r="K44" i="46"/>
  <c r="K46" i="46"/>
  <c r="K48" i="46"/>
  <c r="D134" i="46" s="1"/>
  <c r="H134" i="46" s="1"/>
  <c r="K50" i="46"/>
  <c r="D136" i="46" s="1"/>
  <c r="H136" i="46" s="1"/>
  <c r="K52" i="46"/>
  <c r="D138" i="46" s="1"/>
  <c r="H138" i="46" s="1"/>
  <c r="K54" i="46"/>
  <c r="D140" i="46" s="1"/>
  <c r="K57" i="46"/>
  <c r="K59" i="46"/>
  <c r="D145" i="46" s="1"/>
  <c r="L71" i="46"/>
  <c r="D164" i="46"/>
  <c r="H64" i="44"/>
  <c r="A10" i="1"/>
  <c r="A11" i="1" s="1"/>
  <c r="A12" i="1" s="1"/>
  <c r="A15" i="1" s="1"/>
  <c r="A16" i="1" s="1"/>
  <c r="A17" i="1" s="1"/>
  <c r="H14" i="8" s="1"/>
  <c r="J75" i="61"/>
  <c r="M75" i="61" s="1"/>
  <c r="N176" i="61"/>
  <c r="J74" i="61"/>
  <c r="M74" i="61" s="1"/>
  <c r="J93" i="61"/>
  <c r="M93" i="61" s="1"/>
  <c r="G6" i="61"/>
  <c r="I6" i="61" s="1"/>
  <c r="J15" i="61"/>
  <c r="M15" i="61" s="1"/>
  <c r="N17" i="61"/>
  <c r="J17" i="61"/>
  <c r="M17" i="61" s="1"/>
  <c r="J32" i="61"/>
  <c r="N92" i="61"/>
  <c r="J92" i="61"/>
  <c r="M92" i="61" s="1"/>
  <c r="G92" i="61"/>
  <c r="I92" i="61" s="1"/>
  <c r="E10" i="2"/>
  <c r="C11" i="57" l="1"/>
  <c r="K20" i="57"/>
  <c r="E31" i="57" s="1"/>
  <c r="J118" i="61"/>
  <c r="M118" i="61" s="1"/>
  <c r="G76" i="61"/>
  <c r="I76" i="61" s="1"/>
  <c r="J98" i="61"/>
  <c r="M98" i="61" s="1"/>
  <c r="N77" i="61"/>
  <c r="G61" i="61"/>
  <c r="I61" i="61" s="1"/>
  <c r="N149" i="61"/>
  <c r="G145" i="61"/>
  <c r="I145" i="61" s="1"/>
  <c r="G49" i="61"/>
  <c r="I49" i="61" s="1"/>
  <c r="J42" i="61"/>
  <c r="M42" i="61" s="1"/>
  <c r="N31" i="61"/>
  <c r="H128" i="61"/>
  <c r="J77" i="61"/>
  <c r="M77" i="61" s="1"/>
  <c r="G32" i="61"/>
  <c r="N16" i="61"/>
  <c r="J76" i="61"/>
  <c r="M76" i="61" s="1"/>
  <c r="G176" i="61"/>
  <c r="I176" i="61" s="1"/>
  <c r="J167" i="61"/>
  <c r="M167" i="61" s="1"/>
  <c r="J141" i="61"/>
  <c r="M141" i="61" s="1"/>
  <c r="J123" i="61"/>
  <c r="M123" i="61" s="1"/>
  <c r="G110" i="61"/>
  <c r="I110" i="61" s="1"/>
  <c r="N112" i="61"/>
  <c r="G94" i="61"/>
  <c r="I94" i="61" s="1"/>
  <c r="G84" i="61"/>
  <c r="I84" i="61" s="1"/>
  <c r="G73" i="61"/>
  <c r="I73" i="61" s="1"/>
  <c r="G46" i="61"/>
  <c r="I46" i="61" s="1"/>
  <c r="G12" i="61"/>
  <c r="I12" i="61" s="1"/>
  <c r="N88" i="61"/>
  <c r="N180" i="61"/>
  <c r="N5" i="61"/>
  <c r="G179" i="61"/>
  <c r="I179" i="61" s="1"/>
  <c r="N146" i="61"/>
  <c r="G133" i="61"/>
  <c r="I133" i="61" s="1"/>
  <c r="J107" i="61"/>
  <c r="M107" i="61" s="1"/>
  <c r="J145" i="61"/>
  <c r="M145" i="61" s="1"/>
  <c r="N91" i="61"/>
  <c r="G80" i="61"/>
  <c r="I80" i="61" s="1"/>
  <c r="J57" i="61"/>
  <c r="M57" i="61" s="1"/>
  <c r="G54" i="61"/>
  <c r="I54" i="61" s="1"/>
  <c r="G47" i="61"/>
  <c r="I47" i="61" s="1"/>
  <c r="J103" i="61"/>
  <c r="M103" i="61" s="1"/>
  <c r="N59" i="61"/>
  <c r="J19" i="61"/>
  <c r="M19" i="61" s="1"/>
  <c r="J170" i="61"/>
  <c r="M170" i="61" s="1"/>
  <c r="J49" i="61"/>
  <c r="M49" i="61" s="1"/>
  <c r="G90" i="61"/>
  <c r="I90" i="61" s="1"/>
  <c r="J23" i="46"/>
  <c r="C109" i="46" s="1"/>
  <c r="D109" i="46"/>
  <c r="H109" i="46" s="1"/>
  <c r="G109" i="46" s="1"/>
  <c r="J33" i="46"/>
  <c r="C119" i="46" s="1"/>
  <c r="J58" i="46"/>
  <c r="C144" i="46" s="1"/>
  <c r="F41" i="12"/>
  <c r="F39" i="12"/>
  <c r="F26" i="56"/>
  <c r="H24" i="8"/>
  <c r="I28" i="1"/>
  <c r="E62" i="11"/>
  <c r="E56" i="12" s="1"/>
  <c r="F40" i="12"/>
  <c r="K56" i="65"/>
  <c r="K68" i="65" s="1"/>
  <c r="E74" i="65" s="1"/>
  <c r="E75" i="65" s="1"/>
  <c r="K148" i="1" s="1"/>
  <c r="C8" i="9" s="1"/>
  <c r="G68" i="65"/>
  <c r="E47" i="11"/>
  <c r="E40" i="12" s="1"/>
  <c r="E29" i="32"/>
  <c r="C16" i="57"/>
  <c r="C18" i="57" s="1"/>
  <c r="G20" i="57"/>
  <c r="C26" i="57" s="1"/>
  <c r="C15" i="57"/>
  <c r="D144" i="46"/>
  <c r="J39" i="46"/>
  <c r="C125" i="46" s="1"/>
  <c r="D119" i="46"/>
  <c r="J49" i="46"/>
  <c r="C135" i="46" s="1"/>
  <c r="J37" i="46"/>
  <c r="C123" i="46" s="1"/>
  <c r="N50" i="61"/>
  <c r="N79" i="61"/>
  <c r="N36" i="61"/>
  <c r="N18" i="61"/>
  <c r="N44" i="61"/>
  <c r="N15" i="61"/>
  <c r="J94" i="61"/>
  <c r="M94" i="61" s="1"/>
  <c r="G189" i="61"/>
  <c r="I189" i="61" s="1"/>
  <c r="G141" i="61"/>
  <c r="I141" i="61" s="1"/>
  <c r="G114" i="61"/>
  <c r="I114" i="61" s="1"/>
  <c r="G86" i="61"/>
  <c r="I86" i="61" s="1"/>
  <c r="N110" i="61"/>
  <c r="G93" i="61"/>
  <c r="I93" i="61" s="1"/>
  <c r="G75" i="61"/>
  <c r="I75" i="61" s="1"/>
  <c r="G71" i="61"/>
  <c r="I71" i="61" s="1"/>
  <c r="N19" i="61"/>
  <c r="G5" i="61"/>
  <c r="I5" i="61" s="1"/>
  <c r="N4" i="61"/>
  <c r="N9" i="61" s="1"/>
  <c r="N174" i="61"/>
  <c r="N189" i="61"/>
  <c r="N177" i="61"/>
  <c r="N166" i="61"/>
  <c r="J144" i="61"/>
  <c r="M144" i="61" s="1"/>
  <c r="J106" i="61"/>
  <c r="M106" i="61" s="1"/>
  <c r="J173" i="61"/>
  <c r="M173" i="61" s="1"/>
  <c r="G149" i="61"/>
  <c r="I149" i="61" s="1"/>
  <c r="J102" i="61"/>
  <c r="M102" i="61" s="1"/>
  <c r="G56" i="61"/>
  <c r="I56" i="61" s="1"/>
  <c r="J41" i="61"/>
  <c r="M41" i="61" s="1"/>
  <c r="G101" i="61"/>
  <c r="I101" i="61" s="1"/>
  <c r="J90" i="61"/>
  <c r="M90" i="61" s="1"/>
  <c r="J51" i="61"/>
  <c r="M51" i="61" s="1"/>
  <c r="G97" i="61"/>
  <c r="I97" i="61" s="1"/>
  <c r="N14" i="61"/>
  <c r="J132" i="61"/>
  <c r="M132" i="61" s="1"/>
  <c r="J177" i="61"/>
  <c r="M177" i="61" s="1"/>
  <c r="J166" i="61"/>
  <c r="M166" i="61" s="1"/>
  <c r="N109" i="61"/>
  <c r="J33" i="61"/>
  <c r="M33" i="61" s="1"/>
  <c r="N118" i="61"/>
  <c r="J72" i="61"/>
  <c r="M72" i="61" s="1"/>
  <c r="N53" i="61"/>
  <c r="J178" i="61"/>
  <c r="M178" i="61" s="1"/>
  <c r="J140" i="61"/>
  <c r="M140" i="61" s="1"/>
  <c r="J122" i="61"/>
  <c r="M122" i="61" s="1"/>
  <c r="N113" i="61"/>
  <c r="G83" i="61"/>
  <c r="I83" i="61" s="1"/>
  <c r="G18" i="61"/>
  <c r="I18" i="61" s="1"/>
  <c r="G14" i="61"/>
  <c r="I14" i="61" s="1"/>
  <c r="J61" i="61"/>
  <c r="M61" i="61" s="1"/>
  <c r="N83" i="61"/>
  <c r="N71" i="61"/>
  <c r="G122" i="61"/>
  <c r="I122" i="61" s="1"/>
  <c r="N191" i="61"/>
  <c r="N196" i="61" s="1"/>
  <c r="N170" i="61"/>
  <c r="J148" i="61"/>
  <c r="M148" i="61" s="1"/>
  <c r="J136" i="61"/>
  <c r="M136" i="61" s="1"/>
  <c r="J133" i="61"/>
  <c r="M133" i="61" s="1"/>
  <c r="G106" i="61"/>
  <c r="I106" i="61" s="1"/>
  <c r="N137" i="61"/>
  <c r="J89" i="61"/>
  <c r="M89" i="61" s="1"/>
  <c r="G41" i="61"/>
  <c r="I41" i="61" s="1"/>
  <c r="G105" i="61"/>
  <c r="I105" i="61" s="1"/>
  <c r="N101" i="61"/>
  <c r="H67" i="61"/>
  <c r="I166" i="61"/>
  <c r="G31" i="61"/>
  <c r="I31" i="61" s="1"/>
  <c r="G44" i="61"/>
  <c r="I44" i="61" s="1"/>
  <c r="N60" i="61"/>
  <c r="J73" i="61"/>
  <c r="M73" i="61" s="1"/>
  <c r="G174" i="61"/>
  <c r="I174" i="61" s="1"/>
  <c r="G178" i="61"/>
  <c r="I178" i="61" s="1"/>
  <c r="G167" i="61"/>
  <c r="I167" i="61" s="1"/>
  <c r="G142" i="61"/>
  <c r="I142" i="61" s="1"/>
  <c r="G140" i="61"/>
  <c r="I140" i="61" s="1"/>
  <c r="G138" i="61"/>
  <c r="I138" i="61" s="1"/>
  <c r="J117" i="61"/>
  <c r="M117" i="61" s="1"/>
  <c r="G113" i="61"/>
  <c r="I113" i="61" s="1"/>
  <c r="G99" i="61"/>
  <c r="I99" i="61" s="1"/>
  <c r="G123" i="61"/>
  <c r="I123" i="61" s="1"/>
  <c r="G119" i="61"/>
  <c r="I119" i="61" s="1"/>
  <c r="N114" i="61"/>
  <c r="J60" i="61"/>
  <c r="M60" i="61" s="1"/>
  <c r="N52" i="61"/>
  <c r="N12" i="61"/>
  <c r="G116" i="61"/>
  <c r="I116" i="61" s="1"/>
  <c r="N171" i="61"/>
  <c r="N183" i="61" s="1"/>
  <c r="N46" i="61"/>
  <c r="J188" i="61"/>
  <c r="M188" i="61" s="1"/>
  <c r="G175" i="61"/>
  <c r="I175" i="61" s="1"/>
  <c r="N148" i="61"/>
  <c r="G144" i="61"/>
  <c r="I144" i="61" s="1"/>
  <c r="G136" i="61"/>
  <c r="I136" i="61" s="1"/>
  <c r="G134" i="61"/>
  <c r="I134" i="61" s="1"/>
  <c r="G132" i="61"/>
  <c r="G173" i="61"/>
  <c r="I173" i="61" s="1"/>
  <c r="G89" i="61"/>
  <c r="I89" i="61" s="1"/>
  <c r="J58" i="61"/>
  <c r="M58" i="61" s="1"/>
  <c r="J56" i="61"/>
  <c r="M56" i="61" s="1"/>
  <c r="J54" i="61"/>
  <c r="M54" i="61" s="1"/>
  <c r="G45" i="61"/>
  <c r="I45" i="61" s="1"/>
  <c r="G42" i="61"/>
  <c r="I42" i="61" s="1"/>
  <c r="G40" i="61"/>
  <c r="I40" i="61" s="1"/>
  <c r="N103" i="61"/>
  <c r="G87" i="61"/>
  <c r="I87" i="61" s="1"/>
  <c r="N51" i="61"/>
  <c r="G33" i="61"/>
  <c r="I33" i="61" s="1"/>
  <c r="N179" i="61"/>
  <c r="G169" i="61"/>
  <c r="I169" i="61" s="1"/>
  <c r="J121" i="61"/>
  <c r="M121" i="61" s="1"/>
  <c r="G115" i="61"/>
  <c r="I115" i="61" s="1"/>
  <c r="G111" i="61"/>
  <c r="I111" i="61" s="1"/>
  <c r="G95" i="61"/>
  <c r="I95" i="61" s="1"/>
  <c r="G121" i="61"/>
  <c r="I121" i="61" s="1"/>
  <c r="G117" i="61"/>
  <c r="I117" i="61" s="1"/>
  <c r="N97" i="61"/>
  <c r="G48" i="61"/>
  <c r="I48" i="61" s="1"/>
  <c r="J4" i="61"/>
  <c r="G109" i="61"/>
  <c r="I109" i="61" s="1"/>
  <c r="G107" i="61"/>
  <c r="I107" i="61" s="1"/>
  <c r="J80" i="61"/>
  <c r="M80" i="61" s="1"/>
  <c r="J53" i="61"/>
  <c r="M53" i="61" s="1"/>
  <c r="N82" i="61"/>
  <c r="E200" i="61"/>
  <c r="A25" i="65"/>
  <c r="A26" i="65" s="1"/>
  <c r="A27" i="65" s="1"/>
  <c r="A28" i="65" s="1"/>
  <c r="A29" i="65" s="1"/>
  <c r="A30" i="65" s="1"/>
  <c r="A31" i="65" s="1"/>
  <c r="A32" i="65" s="1"/>
  <c r="A33" i="65" s="1"/>
  <c r="A34" i="65" s="1"/>
  <c r="A35" i="65" s="1"/>
  <c r="A36" i="65" s="1"/>
  <c r="A37" i="65" s="1"/>
  <c r="A38" i="65" s="1"/>
  <c r="A39" i="65" s="1"/>
  <c r="A40" i="65" s="1"/>
  <c r="A41" i="65" s="1"/>
  <c r="A42" i="65" s="1"/>
  <c r="A43" i="65" s="1"/>
  <c r="A44" i="65" s="1"/>
  <c r="B8" i="65" s="1"/>
  <c r="I120" i="65"/>
  <c r="F12" i="56"/>
  <c r="E28" i="56"/>
  <c r="G20" i="2" s="1"/>
  <c r="E15" i="32"/>
  <c r="H20" i="57"/>
  <c r="D26" i="57" s="1"/>
  <c r="E26" i="57" s="1"/>
  <c r="C17" i="57"/>
  <c r="D20" i="57"/>
  <c r="I131" i="61"/>
  <c r="H152" i="61"/>
  <c r="L200" i="61"/>
  <c r="E203" i="61" s="1"/>
  <c r="E204" i="61" s="1"/>
  <c r="M32" i="61"/>
  <c r="L81" i="46"/>
  <c r="J76" i="46"/>
  <c r="C162" i="46" s="1"/>
  <c r="J74" i="46"/>
  <c r="C160" i="46" s="1"/>
  <c r="J72" i="46"/>
  <c r="C158" i="46" s="1"/>
  <c r="J78" i="46"/>
  <c r="C164" i="46" s="1"/>
  <c r="J77" i="46"/>
  <c r="C163" i="46" s="1"/>
  <c r="J75" i="46"/>
  <c r="C161" i="46" s="1"/>
  <c r="J73" i="46"/>
  <c r="C159" i="46" s="1"/>
  <c r="J41" i="46"/>
  <c r="C127" i="46" s="1"/>
  <c r="G113" i="46"/>
  <c r="J56" i="46"/>
  <c r="C142" i="46" s="1"/>
  <c r="J36" i="46"/>
  <c r="C122" i="46" s="1"/>
  <c r="J54" i="46"/>
  <c r="C140" i="46" s="1"/>
  <c r="J46" i="46"/>
  <c r="C132" i="46" s="1"/>
  <c r="J38" i="46"/>
  <c r="C124" i="46" s="1"/>
  <c r="J53" i="46"/>
  <c r="C139" i="46" s="1"/>
  <c r="J47" i="46"/>
  <c r="C133" i="46" s="1"/>
  <c r="J35" i="46"/>
  <c r="C121" i="46" s="1"/>
  <c r="J57" i="46"/>
  <c r="C143" i="46" s="1"/>
  <c r="J40" i="46"/>
  <c r="C126" i="46" s="1"/>
  <c r="J51" i="46"/>
  <c r="C137" i="46" s="1"/>
  <c r="L62" i="46"/>
  <c r="J44" i="46"/>
  <c r="C130" i="46" s="1"/>
  <c r="J43" i="46"/>
  <c r="C129" i="46" s="1"/>
  <c r="E48" i="11"/>
  <c r="E51" i="11" s="1"/>
  <c r="C28" i="56"/>
  <c r="E20" i="71"/>
  <c r="E24" i="71" s="1"/>
  <c r="A12" i="2"/>
  <c r="A13" i="2" s="1"/>
  <c r="I32" i="61"/>
  <c r="I53" i="61"/>
  <c r="I78" i="61"/>
  <c r="A41" i="8"/>
  <c r="A42" i="8" s="1"/>
  <c r="A43" i="8" s="1"/>
  <c r="A44" i="8" s="1"/>
  <c r="A45" i="8" s="1"/>
  <c r="A48" i="8" s="1"/>
  <c r="H57" i="8"/>
  <c r="J20" i="57"/>
  <c r="D27" i="57" s="1"/>
  <c r="I20" i="57"/>
  <c r="C27" i="57" s="1"/>
  <c r="C28" i="57" s="1"/>
  <c r="D126" i="46"/>
  <c r="H126" i="46" s="1"/>
  <c r="G126" i="46" s="1"/>
  <c r="G24" i="26"/>
  <c r="A11" i="26"/>
  <c r="A12" i="26" s="1"/>
  <c r="A13" i="26" s="1"/>
  <c r="A14" i="26" s="1"/>
  <c r="A15" i="26" s="1"/>
  <c r="A16" i="26" s="1"/>
  <c r="A17" i="26" s="1"/>
  <c r="A18" i="26" s="1"/>
  <c r="A19" i="26" s="1"/>
  <c r="A20" i="26" s="1"/>
  <c r="M189" i="61"/>
  <c r="J27" i="8"/>
  <c r="G40" i="57"/>
  <c r="G13" i="2"/>
  <c r="G14" i="2" s="1"/>
  <c r="D124" i="46"/>
  <c r="H124" i="46" s="1"/>
  <c r="G124" i="46" s="1"/>
  <c r="C113" i="46"/>
  <c r="I188" i="61"/>
  <c r="I196" i="61" s="1"/>
  <c r="C12" i="57"/>
  <c r="E18" i="57"/>
  <c r="E20" i="57" s="1"/>
  <c r="C76" i="26"/>
  <c r="M14" i="61"/>
  <c r="I51" i="61"/>
  <c r="M44" i="61"/>
  <c r="I4" i="61"/>
  <c r="G9" i="61"/>
  <c r="M83" i="61"/>
  <c r="I77" i="61"/>
  <c r="D111" i="21"/>
  <c r="D123" i="21" s="1"/>
  <c r="D103" i="21"/>
  <c r="D133" i="21" s="1"/>
  <c r="D136" i="21" s="1"/>
  <c r="E37" i="11"/>
  <c r="K28" i="1" s="1"/>
  <c r="F55" i="17"/>
  <c r="F57" i="17" s="1"/>
  <c r="D51" i="17"/>
  <c r="D14" i="17" s="1"/>
  <c r="K101" i="1" s="1"/>
  <c r="K102" i="1" s="1"/>
  <c r="A35" i="63"/>
  <c r="A36" i="63" s="1"/>
  <c r="A37" i="63" s="1"/>
  <c r="A38" i="63" s="1"/>
  <c r="A39" i="63" s="1"/>
  <c r="A40" i="63" s="1"/>
  <c r="A41" i="63" s="1"/>
  <c r="A42" i="63" s="1"/>
  <c r="A43" i="63" s="1"/>
  <c r="A44" i="63" s="1"/>
  <c r="A45" i="63" s="1"/>
  <c r="A46" i="63" s="1"/>
  <c r="A47" i="63" s="1"/>
  <c r="A48" i="63" s="1"/>
  <c r="A49" i="63" s="1"/>
  <c r="A50" i="63" s="1"/>
  <c r="A51" i="63" s="1"/>
  <c r="A56" i="63" s="1"/>
  <c r="A57" i="63" s="1"/>
  <c r="A58" i="63" s="1"/>
  <c r="A59" i="63" s="1"/>
  <c r="A60" i="63" s="1"/>
  <c r="A61" i="63" s="1"/>
  <c r="A62" i="63" s="1"/>
  <c r="E60" i="11"/>
  <c r="E54" i="12" s="1"/>
  <c r="E68" i="12"/>
  <c r="E112" i="21"/>
  <c r="N92" i="21"/>
  <c r="J111" i="21"/>
  <c r="J103" i="21"/>
  <c r="J133" i="21" s="1"/>
  <c r="J136" i="21" s="1"/>
  <c r="E116" i="21"/>
  <c r="N96" i="21"/>
  <c r="E120" i="21"/>
  <c r="N100" i="21"/>
  <c r="H111" i="21"/>
  <c r="H103" i="21"/>
  <c r="H133" i="21" s="1"/>
  <c r="H136" i="21" s="1"/>
  <c r="L111" i="21"/>
  <c r="L103" i="21"/>
  <c r="L133" i="21" s="1"/>
  <c r="L136" i="21" s="1"/>
  <c r="F111" i="21"/>
  <c r="F103" i="21"/>
  <c r="F133" i="21" s="1"/>
  <c r="F136" i="21" s="1"/>
  <c r="E114" i="21"/>
  <c r="N114" i="21" s="1"/>
  <c r="N94" i="21"/>
  <c r="E118" i="21"/>
  <c r="N98" i="21"/>
  <c r="E122" i="21"/>
  <c r="N102" i="21"/>
  <c r="N91" i="21"/>
  <c r="G103" i="21"/>
  <c r="G133" i="21" s="1"/>
  <c r="G136" i="21" s="1"/>
  <c r="G111" i="21"/>
  <c r="I103" i="21"/>
  <c r="I133" i="21" s="1"/>
  <c r="I136" i="21" s="1"/>
  <c r="I111" i="21"/>
  <c r="K103" i="21"/>
  <c r="K133" i="21" s="1"/>
  <c r="K136" i="21" s="1"/>
  <c r="K111" i="21"/>
  <c r="M103" i="21"/>
  <c r="M133" i="21" s="1"/>
  <c r="M136" i="21" s="1"/>
  <c r="M111" i="21"/>
  <c r="D20" i="71"/>
  <c r="D24" i="71" s="1"/>
  <c r="D40" i="7"/>
  <c r="D130" i="46"/>
  <c r="J52" i="46"/>
  <c r="C138" i="46" s="1"/>
  <c r="J13" i="46"/>
  <c r="C99" i="46" s="1"/>
  <c r="J25" i="46"/>
  <c r="C111" i="46" s="1"/>
  <c r="E85" i="11"/>
  <c r="H20" i="26"/>
  <c r="F23" i="26" s="1"/>
  <c r="F25" i="26" s="1"/>
  <c r="H43" i="44"/>
  <c r="A15" i="17"/>
  <c r="A16" i="17" s="1"/>
  <c r="A17" i="17" s="1"/>
  <c r="A18" i="17" s="1"/>
  <c r="A19" i="17" s="1"/>
  <c r="A20" i="17" s="1"/>
  <c r="A21" i="17" s="1"/>
  <c r="A22" i="17" s="1"/>
  <c r="A23" i="17" s="1"/>
  <c r="A24" i="17" s="1"/>
  <c r="J34" i="46"/>
  <c r="C120" i="46" s="1"/>
  <c r="J42" i="46"/>
  <c r="C128" i="46" s="1"/>
  <c r="D143" i="46"/>
  <c r="H143" i="46" s="1"/>
  <c r="G143" i="46" s="1"/>
  <c r="J11" i="46"/>
  <c r="C97" i="46" s="1"/>
  <c r="J28" i="46"/>
  <c r="C114" i="46" s="1"/>
  <c r="H122" i="46"/>
  <c r="G122" i="46" s="1"/>
  <c r="H140" i="46"/>
  <c r="G140" i="46" s="1"/>
  <c r="H145" i="46"/>
  <c r="G145" i="46" s="1"/>
  <c r="H123" i="46"/>
  <c r="G123" i="46" s="1"/>
  <c r="J71" i="46"/>
  <c r="C157" i="46" s="1"/>
  <c r="D97" i="46"/>
  <c r="J48" i="46"/>
  <c r="C134" i="46" s="1"/>
  <c r="H120" i="46"/>
  <c r="G120" i="46" s="1"/>
  <c r="H144" i="46"/>
  <c r="G144" i="46" s="1"/>
  <c r="H142" i="46"/>
  <c r="G142" i="46" s="1"/>
  <c r="H131" i="46"/>
  <c r="G131" i="46" s="1"/>
  <c r="I163" i="46"/>
  <c r="G163" i="46" s="1"/>
  <c r="H111" i="46"/>
  <c r="G111" i="46" s="1"/>
  <c r="H99" i="46"/>
  <c r="D83" i="46"/>
  <c r="C193" i="46" s="1"/>
  <c r="H80" i="46" s="1"/>
  <c r="J31" i="46"/>
  <c r="C117" i="46" s="1"/>
  <c r="G139" i="46"/>
  <c r="J27" i="46"/>
  <c r="J59" i="46"/>
  <c r="C145" i="46" s="1"/>
  <c r="G136" i="46"/>
  <c r="C83" i="46"/>
  <c r="A17" i="7"/>
  <c r="A18" i="7" s="1"/>
  <c r="A19" i="7" s="1"/>
  <c r="A20" i="7" s="1"/>
  <c r="A21" i="7" s="1"/>
  <c r="G20" i="71"/>
  <c r="A20" i="71"/>
  <c r="B191" i="71" s="1"/>
  <c r="E55" i="12"/>
  <c r="D98" i="46"/>
  <c r="J12" i="46"/>
  <c r="C98" i="46" s="1"/>
  <c r="E101" i="46"/>
  <c r="J15" i="46"/>
  <c r="C101" i="46" s="1"/>
  <c r="E102" i="46"/>
  <c r="I102" i="46" s="1"/>
  <c r="G102" i="46" s="1"/>
  <c r="J16" i="46"/>
  <c r="C102" i="46" s="1"/>
  <c r="E103" i="46"/>
  <c r="J17" i="46"/>
  <c r="C103" i="46" s="1"/>
  <c r="E104" i="46"/>
  <c r="I104" i="46" s="1"/>
  <c r="G104" i="46" s="1"/>
  <c r="J18" i="46"/>
  <c r="C104" i="46" s="1"/>
  <c r="E105" i="46"/>
  <c r="J19" i="46"/>
  <c r="C105" i="46" s="1"/>
  <c r="E106" i="46"/>
  <c r="I106" i="46" s="1"/>
  <c r="G106" i="46" s="1"/>
  <c r="J20" i="46"/>
  <c r="C106" i="46" s="1"/>
  <c r="E107" i="46"/>
  <c r="J21" i="46"/>
  <c r="C107" i="46" s="1"/>
  <c r="D112" i="46"/>
  <c r="J26" i="46"/>
  <c r="C112" i="46" s="1"/>
  <c r="D116" i="46"/>
  <c r="J30" i="46"/>
  <c r="C116" i="46" s="1"/>
  <c r="G133" i="46"/>
  <c r="G134" i="46"/>
  <c r="G161" i="46"/>
  <c r="D100" i="46"/>
  <c r="J14" i="46"/>
  <c r="C100" i="46" s="1"/>
  <c r="E108" i="46"/>
  <c r="J22" i="46"/>
  <c r="C108" i="46" s="1"/>
  <c r="D110" i="46"/>
  <c r="J24" i="46"/>
  <c r="C110" i="46" s="1"/>
  <c r="D118" i="46"/>
  <c r="J32" i="46"/>
  <c r="C118" i="46" s="1"/>
  <c r="G137" i="46"/>
  <c r="G138" i="46"/>
  <c r="G121" i="46"/>
  <c r="G162" i="46"/>
  <c r="I18" i="1"/>
  <c r="A18" i="1"/>
  <c r="G77" i="44"/>
  <c r="A31" i="44"/>
  <c r="A71" i="46"/>
  <c r="A72" i="46" s="1"/>
  <c r="A73" i="46" s="1"/>
  <c r="A74" i="46" s="1"/>
  <c r="A75" i="46" s="1"/>
  <c r="A76" i="46" s="1"/>
  <c r="A77" i="46" s="1"/>
  <c r="A78" i="46" s="1"/>
  <c r="A79" i="46" s="1"/>
  <c r="A80" i="46" s="1"/>
  <c r="A81" i="46" s="1"/>
  <c r="E85" i="46"/>
  <c r="A46" i="11"/>
  <c r="H39" i="12" s="1"/>
  <c r="A49" i="8"/>
  <c r="A51" i="8" s="1"/>
  <c r="A52" i="8" s="1"/>
  <c r="A53" i="8" s="1"/>
  <c r="A54" i="8" s="1"/>
  <c r="A55" i="8" s="1"/>
  <c r="A12" i="8"/>
  <c r="A11" i="56"/>
  <c r="A12" i="56" s="1"/>
  <c r="D132" i="46"/>
  <c r="J50" i="46"/>
  <c r="C136" i="46" s="1"/>
  <c r="E157" i="46"/>
  <c r="E141" i="71"/>
  <c r="A22" i="7"/>
  <c r="A23" i="7" s="1"/>
  <c r="A24" i="7" s="1"/>
  <c r="A25" i="7" s="1"/>
  <c r="E140" i="71"/>
  <c r="E69" i="8"/>
  <c r="A23" i="22"/>
  <c r="A16" i="32"/>
  <c r="A20" i="32" s="1"/>
  <c r="A27" i="12"/>
  <c r="D47" i="71"/>
  <c r="E47" i="71"/>
  <c r="E54" i="71"/>
  <c r="D54" i="71"/>
  <c r="A6" i="31"/>
  <c r="A7" i="31" s="1"/>
  <c r="A8" i="31" s="1"/>
  <c r="B39" i="31" s="1"/>
  <c r="N152" i="61" l="1"/>
  <c r="J28" i="61"/>
  <c r="J36" i="61"/>
  <c r="M196" i="61"/>
  <c r="M28" i="61"/>
  <c r="E208" i="61"/>
  <c r="E209" i="61" s="1"/>
  <c r="M36" i="61"/>
  <c r="G28" i="61"/>
  <c r="I28" i="61"/>
  <c r="M183" i="61"/>
  <c r="L83" i="46"/>
  <c r="E206" i="61"/>
  <c r="E207" i="61" s="1"/>
  <c r="G196" i="61"/>
  <c r="M152" i="61"/>
  <c r="N128" i="61"/>
  <c r="I128" i="61"/>
  <c r="N28" i="61"/>
  <c r="G67" i="61"/>
  <c r="I36" i="61"/>
  <c r="G36" i="61"/>
  <c r="H200" i="61"/>
  <c r="I9" i="61"/>
  <c r="J196" i="61"/>
  <c r="J183" i="61"/>
  <c r="J152" i="61"/>
  <c r="I183" i="61"/>
  <c r="N67" i="61"/>
  <c r="I67" i="61"/>
  <c r="M4" i="61"/>
  <c r="M9" i="61" s="1"/>
  <c r="J9" i="61"/>
  <c r="I132" i="61"/>
  <c r="I152" i="61" s="1"/>
  <c r="G152" i="61"/>
  <c r="M128" i="61"/>
  <c r="M67" i="61"/>
  <c r="J128" i="61"/>
  <c r="J67" i="61"/>
  <c r="G128" i="61"/>
  <c r="G183" i="61"/>
  <c r="B150" i="65"/>
  <c r="B5" i="65"/>
  <c r="E41" i="12"/>
  <c r="E31" i="71"/>
  <c r="F28" i="56"/>
  <c r="F117" i="46" s="1"/>
  <c r="C20" i="57"/>
  <c r="E27" i="57"/>
  <c r="D28" i="57"/>
  <c r="E28" i="57" s="1"/>
  <c r="E33" i="57" s="1"/>
  <c r="E40" i="57" s="1"/>
  <c r="I42" i="79"/>
  <c r="I43" i="79" s="1"/>
  <c r="G42" i="79"/>
  <c r="G43" i="79" s="1"/>
  <c r="G26" i="79"/>
  <c r="G27" i="79" s="1"/>
  <c r="G33" i="79"/>
  <c r="G34" i="79" s="1"/>
  <c r="I26" i="79"/>
  <c r="I27" i="79" s="1"/>
  <c r="I33" i="79"/>
  <c r="I34" i="79" s="1"/>
  <c r="E65" i="11"/>
  <c r="A23" i="26"/>
  <c r="A24" i="26" s="1"/>
  <c r="A25" i="26" s="1"/>
  <c r="G23" i="26"/>
  <c r="D31" i="71"/>
  <c r="G99" i="46"/>
  <c r="F112" i="71"/>
  <c r="G41" i="44"/>
  <c r="E25" i="7"/>
  <c r="E13" i="2"/>
  <c r="E14" i="2"/>
  <c r="A14" i="2"/>
  <c r="E148" i="46"/>
  <c r="D33" i="71"/>
  <c r="E33" i="71"/>
  <c r="D23" i="7"/>
  <c r="E42" i="57"/>
  <c r="E113" i="21"/>
  <c r="N93" i="21"/>
  <c r="F123" i="21"/>
  <c r="F147" i="21" s="1"/>
  <c r="H123" i="21"/>
  <c r="H144" i="21" s="1"/>
  <c r="J123" i="21"/>
  <c r="J150" i="21" s="1"/>
  <c r="M123" i="21"/>
  <c r="M155" i="21" s="1"/>
  <c r="K123" i="21"/>
  <c r="K149" i="21" s="1"/>
  <c r="I123" i="21"/>
  <c r="I155" i="21" s="1"/>
  <c r="G123" i="21"/>
  <c r="G152" i="21" s="1"/>
  <c r="N111" i="21"/>
  <c r="N122" i="21"/>
  <c r="N118" i="21"/>
  <c r="L123" i="21"/>
  <c r="L146" i="21" s="1"/>
  <c r="N120" i="21"/>
  <c r="N116" i="21"/>
  <c r="N112" i="21"/>
  <c r="H56" i="44"/>
  <c r="H57" i="44" s="1"/>
  <c r="G16" i="12"/>
  <c r="J58" i="8"/>
  <c r="J43" i="8"/>
  <c r="C192" i="46"/>
  <c r="H61" i="46" s="1"/>
  <c r="K61" i="46" s="1"/>
  <c r="K80" i="46"/>
  <c r="H81" i="46"/>
  <c r="G80" i="46"/>
  <c r="G81" i="46" s="1"/>
  <c r="H112" i="46"/>
  <c r="G112" i="46" s="1"/>
  <c r="I107" i="46"/>
  <c r="G107" i="46" s="1"/>
  <c r="I105" i="46"/>
  <c r="G105" i="46" s="1"/>
  <c r="I103" i="46"/>
  <c r="G103" i="46" s="1"/>
  <c r="I101" i="46"/>
  <c r="G101" i="46" s="1"/>
  <c r="H98" i="46"/>
  <c r="G98" i="46" s="1"/>
  <c r="H132" i="46"/>
  <c r="H110" i="46"/>
  <c r="G110" i="46" s="1"/>
  <c r="I108" i="46"/>
  <c r="G108" i="46" s="1"/>
  <c r="H100" i="46"/>
  <c r="G100" i="46" s="1"/>
  <c r="G37" i="11"/>
  <c r="F20" i="71"/>
  <c r="E111" i="71" s="1"/>
  <c r="A24" i="71"/>
  <c r="F111" i="71"/>
  <c r="F31" i="71"/>
  <c r="F24" i="71"/>
  <c r="A9" i="31"/>
  <c r="H22" i="31"/>
  <c r="A28" i="12"/>
  <c r="A29" i="12" s="1"/>
  <c r="A39" i="12" s="1"/>
  <c r="A40" i="12" s="1"/>
  <c r="A41" i="12" s="1"/>
  <c r="A42" i="12" s="1"/>
  <c r="A43" i="12" s="1"/>
  <c r="A44" i="12" s="1"/>
  <c r="E83" i="7"/>
  <c r="E47" i="7"/>
  <c r="A26" i="7"/>
  <c r="A27" i="7" s="1"/>
  <c r="A28" i="7" s="1"/>
  <c r="A29" i="7" s="1"/>
  <c r="A30" i="7" s="1"/>
  <c r="A31" i="7" s="1"/>
  <c r="A32" i="7" s="1"/>
  <c r="A33" i="7" s="1"/>
  <c r="A34" i="7" s="1"/>
  <c r="A35" i="7" s="1"/>
  <c r="A36" i="7" s="1"/>
  <c r="A25" i="17"/>
  <c r="E167" i="46"/>
  <c r="E170" i="46" s="1"/>
  <c r="D12" i="56"/>
  <c r="A56" i="8"/>
  <c r="A57" i="8" s="1"/>
  <c r="A58" i="8" s="1"/>
  <c r="A59" i="8" s="1"/>
  <c r="A82" i="46"/>
  <c r="A83" i="46" s="1"/>
  <c r="D192" i="46" s="1"/>
  <c r="E86" i="46"/>
  <c r="F37" i="11"/>
  <c r="J24" i="8" s="1"/>
  <c r="F91" i="12" s="1"/>
  <c r="A21" i="32"/>
  <c r="A22" i="32" s="1"/>
  <c r="A28" i="32" s="1"/>
  <c r="A24" i="22"/>
  <c r="G27" i="22" s="1"/>
  <c r="A13" i="56"/>
  <c r="A14" i="56" s="1"/>
  <c r="A15" i="56" s="1"/>
  <c r="A16" i="56" s="1"/>
  <c r="A17" i="56" s="1"/>
  <c r="A13" i="8"/>
  <c r="A14" i="8" s="1"/>
  <c r="A15" i="8" s="1"/>
  <c r="A47" i="11"/>
  <c r="H40" i="12" s="1"/>
  <c r="A32" i="44"/>
  <c r="G55" i="44"/>
  <c r="A21" i="1"/>
  <c r="E210" i="61" l="1"/>
  <c r="E212" i="61" s="1"/>
  <c r="E213" i="61" s="1"/>
  <c r="E216" i="61" s="1"/>
  <c r="K130" i="1" s="1"/>
  <c r="J55" i="8" s="1"/>
  <c r="F116" i="46"/>
  <c r="I116" i="46" s="1"/>
  <c r="F119" i="46"/>
  <c r="H119" i="46" s="1"/>
  <c r="F118" i="46"/>
  <c r="I118" i="46" s="1"/>
  <c r="M200" i="61"/>
  <c r="G200" i="61"/>
  <c r="N200" i="61"/>
  <c r="I200" i="61"/>
  <c r="J200" i="61"/>
  <c r="B9" i="65"/>
  <c r="F75" i="65"/>
  <c r="E43" i="57"/>
  <c r="I117" i="46"/>
  <c r="H117" i="46"/>
  <c r="M147" i="21"/>
  <c r="I151" i="21"/>
  <c r="F150" i="21"/>
  <c r="F145" i="21"/>
  <c r="K154" i="21"/>
  <c r="F151" i="21"/>
  <c r="G146" i="21"/>
  <c r="J152" i="21"/>
  <c r="J154" i="21"/>
  <c r="G149" i="21"/>
  <c r="H154" i="21"/>
  <c r="B132" i="65"/>
  <c r="J208" i="46"/>
  <c r="F125" i="46" s="1"/>
  <c r="L29" i="28"/>
  <c r="K65" i="1" s="1"/>
  <c r="K83" i="1" s="1"/>
  <c r="E15" i="2"/>
  <c r="A15" i="2"/>
  <c r="G73" i="44" s="1"/>
  <c r="G132" i="46"/>
  <c r="E103" i="21"/>
  <c r="E133" i="21" s="1"/>
  <c r="E136" i="21" s="1"/>
  <c r="C29" i="57"/>
  <c r="C31" i="57" s="1"/>
  <c r="C33" i="57" s="1"/>
  <c r="C40" i="57" s="1"/>
  <c r="C43" i="57" s="1"/>
  <c r="D29" i="57"/>
  <c r="D31" i="57" s="1"/>
  <c r="D33" i="57" s="1"/>
  <c r="D40" i="57" s="1"/>
  <c r="D43" i="57" s="1"/>
  <c r="M152" i="21"/>
  <c r="A60" i="8"/>
  <c r="H60" i="8"/>
  <c r="H15" i="8"/>
  <c r="H62" i="46"/>
  <c r="H83" i="46" s="1"/>
  <c r="L154" i="21"/>
  <c r="K155" i="21"/>
  <c r="K146" i="21"/>
  <c r="H146" i="21"/>
  <c r="A26" i="26"/>
  <c r="A27" i="26" s="1"/>
  <c r="G25" i="26"/>
  <c r="L150" i="21"/>
  <c r="I152" i="21"/>
  <c r="M151" i="21"/>
  <c r="J146" i="21"/>
  <c r="F152" i="21"/>
  <c r="H152" i="21"/>
  <c r="F154" i="21"/>
  <c r="K151" i="21"/>
  <c r="G153" i="21"/>
  <c r="F155" i="21"/>
  <c r="K150" i="21"/>
  <c r="G150" i="21"/>
  <c r="H150" i="21"/>
  <c r="F148" i="21"/>
  <c r="F149" i="21"/>
  <c r="L144" i="21"/>
  <c r="L13" i="21" s="1"/>
  <c r="F153" i="21"/>
  <c r="I147" i="21"/>
  <c r="K144" i="21"/>
  <c r="K13" i="21" s="1"/>
  <c r="M144" i="21"/>
  <c r="M13" i="21" s="1"/>
  <c r="F144" i="21"/>
  <c r="F13" i="21" s="1"/>
  <c r="L152" i="21"/>
  <c r="J144" i="21"/>
  <c r="M146" i="21"/>
  <c r="M154" i="21"/>
  <c r="K153" i="21"/>
  <c r="I150" i="21"/>
  <c r="G147" i="21"/>
  <c r="G155" i="21"/>
  <c r="H155" i="21"/>
  <c r="H145" i="21"/>
  <c r="H149" i="21"/>
  <c r="H153" i="21"/>
  <c r="H147" i="21"/>
  <c r="H151" i="21"/>
  <c r="M149" i="21"/>
  <c r="K148" i="21"/>
  <c r="I145" i="21"/>
  <c r="I153" i="21"/>
  <c r="G154" i="21"/>
  <c r="E117" i="21"/>
  <c r="N97" i="21"/>
  <c r="E121" i="21"/>
  <c r="N101" i="21"/>
  <c r="G145" i="21"/>
  <c r="K145" i="21"/>
  <c r="L145" i="21"/>
  <c r="L149" i="21"/>
  <c r="L153" i="21"/>
  <c r="L147" i="21"/>
  <c r="L151" i="21"/>
  <c r="L155" i="21"/>
  <c r="G144" i="21"/>
  <c r="I144" i="21"/>
  <c r="E115" i="21"/>
  <c r="N95" i="21"/>
  <c r="E119" i="21"/>
  <c r="N99" i="21"/>
  <c r="L148" i="21"/>
  <c r="J148" i="21"/>
  <c r="J147" i="21"/>
  <c r="J151" i="21"/>
  <c r="J155" i="21"/>
  <c r="J145" i="21"/>
  <c r="J149" i="21"/>
  <c r="J153" i="21"/>
  <c r="M150" i="21"/>
  <c r="K147" i="21"/>
  <c r="I146" i="21"/>
  <c r="I154" i="21"/>
  <c r="G151" i="21"/>
  <c r="H13" i="21"/>
  <c r="M145" i="21"/>
  <c r="M153" i="21"/>
  <c r="K152" i="21"/>
  <c r="I149" i="21"/>
  <c r="G148" i="21"/>
  <c r="N113" i="21"/>
  <c r="I148" i="21"/>
  <c r="M148" i="21"/>
  <c r="H148" i="21"/>
  <c r="F146" i="21"/>
  <c r="H59" i="44"/>
  <c r="H78" i="44" s="1"/>
  <c r="H65" i="44"/>
  <c r="H66" i="44" s="1"/>
  <c r="H79" i="44" s="1"/>
  <c r="J61" i="46"/>
  <c r="C147" i="46" s="1"/>
  <c r="C148" i="46" s="1"/>
  <c r="D147" i="46"/>
  <c r="D148" i="46" s="1"/>
  <c r="K62" i="46"/>
  <c r="G61" i="46"/>
  <c r="G62" i="46" s="1"/>
  <c r="G83" i="46" s="1"/>
  <c r="D166" i="46"/>
  <c r="J80" i="46"/>
  <c r="J81" i="46" s="1"/>
  <c r="K81" i="46"/>
  <c r="D193" i="46"/>
  <c r="A25" i="71"/>
  <c r="A26" i="71" s="1"/>
  <c r="A28" i="26"/>
  <c r="A33" i="44"/>
  <c r="B48" i="44" s="1"/>
  <c r="G64" i="44"/>
  <c r="A18" i="8"/>
  <c r="G22" i="32"/>
  <c r="A84" i="46"/>
  <c r="A85" i="46" s="1"/>
  <c r="A86" i="46" s="1"/>
  <c r="A87" i="46" s="1"/>
  <c r="A37" i="7"/>
  <c r="A38" i="7" s="1"/>
  <c r="A39" i="7" s="1"/>
  <c r="A40" i="7" s="1"/>
  <c r="A41" i="7" s="1"/>
  <c r="A42" i="7" s="1"/>
  <c r="A43" i="7" s="1"/>
  <c r="A44" i="7" s="1"/>
  <c r="A45" i="7" s="1"/>
  <c r="A46" i="7" s="1"/>
  <c r="A54" i="12"/>
  <c r="B40" i="31"/>
  <c r="B35" i="31"/>
  <c r="A10" i="31"/>
  <c r="A22" i="1"/>
  <c r="A23" i="1" s="1"/>
  <c r="A24" i="1" s="1"/>
  <c r="A48" i="11"/>
  <c r="H41" i="12" s="1"/>
  <c r="A18" i="56"/>
  <c r="A19" i="56" s="1"/>
  <c r="A20" i="56" s="1"/>
  <c r="A26" i="22"/>
  <c r="I15" i="1" s="1"/>
  <c r="G26" i="22"/>
  <c r="A29" i="32"/>
  <c r="A30" i="32" s="1"/>
  <c r="A34" i="32" s="1"/>
  <c r="A62" i="8"/>
  <c r="A64" i="8" s="1"/>
  <c r="A26" i="17"/>
  <c r="A27" i="17" s="1"/>
  <c r="A28" i="17" s="1"/>
  <c r="A29" i="17" s="1"/>
  <c r="H116" i="46" l="1"/>
  <c r="G116" i="46" s="1"/>
  <c r="H118" i="46"/>
  <c r="G118" i="46" s="1"/>
  <c r="I119" i="46"/>
  <c r="G119" i="46" s="1"/>
  <c r="I148" i="1"/>
  <c r="C45" i="57"/>
  <c r="B9" i="31" s="1"/>
  <c r="D45" i="57"/>
  <c r="B10" i="31" s="1"/>
  <c r="G117" i="46"/>
  <c r="N133" i="21"/>
  <c r="H156" i="21"/>
  <c r="M14" i="21"/>
  <c r="M15" i="21" s="1"/>
  <c r="M16" i="21" s="1"/>
  <c r="M17" i="21" s="1"/>
  <c r="M18" i="21" s="1"/>
  <c r="M19" i="21" s="1"/>
  <c r="M20" i="21" s="1"/>
  <c r="M21" i="21" s="1"/>
  <c r="M22" i="21" s="1"/>
  <c r="M23" i="21" s="1"/>
  <c r="K63" i="1"/>
  <c r="K75" i="1" s="1"/>
  <c r="F156" i="21"/>
  <c r="L14" i="21"/>
  <c r="L15" i="21" s="1"/>
  <c r="L16" i="21" s="1"/>
  <c r="L17" i="21" s="1"/>
  <c r="F135" i="46"/>
  <c r="H135" i="46" s="1"/>
  <c r="A47" i="7"/>
  <c r="A48" i="7" s="1"/>
  <c r="G26" i="26"/>
  <c r="G50" i="22"/>
  <c r="F28" i="54"/>
  <c r="G59" i="21"/>
  <c r="G62" i="4"/>
  <c r="G54" i="22"/>
  <c r="G24" i="22"/>
  <c r="G52" i="21"/>
  <c r="G57" i="4"/>
  <c r="I55" i="1"/>
  <c r="A16" i="2"/>
  <c r="A17" i="2" s="1"/>
  <c r="A18" i="2" s="1"/>
  <c r="A19" i="2" s="1"/>
  <c r="A20" i="2" s="1"/>
  <c r="A21" i="2" s="1"/>
  <c r="A22" i="2" s="1"/>
  <c r="K83" i="46"/>
  <c r="G30" i="32"/>
  <c r="G45" i="57"/>
  <c r="G43" i="57"/>
  <c r="G27" i="26"/>
  <c r="A55" i="12"/>
  <c r="A56" i="12" s="1"/>
  <c r="A57" i="12" s="1"/>
  <c r="A58" i="12" s="1"/>
  <c r="A59" i="12" s="1"/>
  <c r="K156" i="21"/>
  <c r="N119" i="21"/>
  <c r="N115" i="21"/>
  <c r="E123" i="21"/>
  <c r="E147" i="21" s="1"/>
  <c r="G156" i="21"/>
  <c r="G13" i="21"/>
  <c r="G14" i="21" s="1"/>
  <c r="G15" i="21" s="1"/>
  <c r="G16" i="21" s="1"/>
  <c r="G17" i="21" s="1"/>
  <c r="G18" i="21" s="1"/>
  <c r="G19" i="21" s="1"/>
  <c r="G20" i="21" s="1"/>
  <c r="G21" i="21" s="1"/>
  <c r="G22" i="21" s="1"/>
  <c r="G23" i="21" s="1"/>
  <c r="K14" i="21"/>
  <c r="K15" i="21" s="1"/>
  <c r="K16" i="21" s="1"/>
  <c r="K17" i="21" s="1"/>
  <c r="K18" i="21" s="1"/>
  <c r="K19" i="21" s="1"/>
  <c r="K20" i="21" s="1"/>
  <c r="K21" i="21" s="1"/>
  <c r="K22" i="21" s="1"/>
  <c r="K23" i="21" s="1"/>
  <c r="N136" i="21"/>
  <c r="N103" i="21"/>
  <c r="M156" i="21"/>
  <c r="I13" i="21"/>
  <c r="I156" i="21"/>
  <c r="F14" i="21"/>
  <c r="F15" i="21" s="1"/>
  <c r="F16" i="21" s="1"/>
  <c r="F17" i="21" s="1"/>
  <c r="F18" i="21" s="1"/>
  <c r="F19" i="21" s="1"/>
  <c r="F20" i="21" s="1"/>
  <c r="F21" i="21" s="1"/>
  <c r="F22" i="21" s="1"/>
  <c r="F23" i="21" s="1"/>
  <c r="N121" i="21"/>
  <c r="N117" i="21"/>
  <c r="H14" i="21"/>
  <c r="H15" i="21" s="1"/>
  <c r="H16" i="21" s="1"/>
  <c r="H17" i="21" s="1"/>
  <c r="H18" i="21" s="1"/>
  <c r="H19" i="21" s="1"/>
  <c r="H20" i="21" s="1"/>
  <c r="H21" i="21" s="1"/>
  <c r="H22" i="21" s="1"/>
  <c r="H23" i="21" s="1"/>
  <c r="J13" i="21"/>
  <c r="J14" i="21" s="1"/>
  <c r="J15" i="21" s="1"/>
  <c r="J16" i="21" s="1"/>
  <c r="J17" i="21" s="1"/>
  <c r="J18" i="21" s="1"/>
  <c r="J19" i="21" s="1"/>
  <c r="J20" i="21" s="1"/>
  <c r="J21" i="21" s="1"/>
  <c r="J22" i="21" s="1"/>
  <c r="J23" i="21" s="1"/>
  <c r="J25" i="21" s="1"/>
  <c r="J156" i="21"/>
  <c r="L156" i="21"/>
  <c r="B185" i="71"/>
  <c r="B188" i="71"/>
  <c r="J62" i="46"/>
  <c r="J83" i="46" s="1"/>
  <c r="F26" i="71"/>
  <c r="D167" i="46"/>
  <c r="D170" i="46" s="1"/>
  <c r="H166" i="46"/>
  <c r="G166" i="46" s="1"/>
  <c r="C166" i="46"/>
  <c r="C167" i="46" s="1"/>
  <c r="C170" i="46" s="1"/>
  <c r="A49" i="7"/>
  <c r="A50" i="7" s="1"/>
  <c r="A51" i="7" s="1"/>
  <c r="A52" i="7" s="1"/>
  <c r="A53" i="7" s="1"/>
  <c r="A54" i="7" s="1"/>
  <c r="A55" i="7" s="1"/>
  <c r="F64" i="71"/>
  <c r="A31" i="71"/>
  <c r="A32" i="71" s="1"/>
  <c r="A33" i="71" s="1"/>
  <c r="A34" i="71" s="1"/>
  <c r="F65" i="71" s="1"/>
  <c r="A27" i="22"/>
  <c r="H12" i="8" s="1"/>
  <c r="A26" i="1"/>
  <c r="A28" i="1" s="1"/>
  <c r="A30" i="1" s="1"/>
  <c r="A32" i="1" s="1"/>
  <c r="A34" i="1" s="1"/>
  <c r="I115" i="1" s="1"/>
  <c r="A30" i="17"/>
  <c r="A68" i="8"/>
  <c r="G68" i="8"/>
  <c r="H64" i="8"/>
  <c r="A35" i="32"/>
  <c r="A36" i="32" s="1"/>
  <c r="A40" i="32" s="1"/>
  <c r="A21" i="56"/>
  <c r="A22" i="56" s="1"/>
  <c r="A23" i="56" s="1"/>
  <c r="A24" i="56" s="1"/>
  <c r="A25" i="56" s="1"/>
  <c r="A26" i="56" s="1"/>
  <c r="A49" i="11"/>
  <c r="A50" i="11" s="1"/>
  <c r="A51" i="11" s="1"/>
  <c r="A60" i="11" s="1"/>
  <c r="I24" i="1"/>
  <c r="B41" i="31"/>
  <c r="B36" i="31"/>
  <c r="A18" i="31"/>
  <c r="E40" i="7"/>
  <c r="A97" i="46"/>
  <c r="A98" i="46" s="1"/>
  <c r="A99" i="46" s="1"/>
  <c r="A100" i="46" s="1"/>
  <c r="A101" i="46" s="1"/>
  <c r="A102" i="46" s="1"/>
  <c r="A103" i="46" s="1"/>
  <c r="A104" i="46" s="1"/>
  <c r="A105" i="46" s="1"/>
  <c r="A106" i="46" s="1"/>
  <c r="A107" i="46" s="1"/>
  <c r="A108" i="46" s="1"/>
  <c r="A109" i="46" s="1"/>
  <c r="A110" i="46" s="1"/>
  <c r="A111" i="46" s="1"/>
  <c r="A112" i="46" s="1"/>
  <c r="A113" i="46" s="1"/>
  <c r="A114" i="46" s="1"/>
  <c r="A115" i="46" s="1"/>
  <c r="A116" i="46" s="1"/>
  <c r="A117" i="46" s="1"/>
  <c r="A118" i="46" s="1"/>
  <c r="A119" i="46" s="1"/>
  <c r="A120" i="46" s="1"/>
  <c r="A121" i="46" s="1"/>
  <c r="A122" i="46" s="1"/>
  <c r="A123" i="46" s="1"/>
  <c r="A124" i="46" s="1"/>
  <c r="A125" i="46" s="1"/>
  <c r="A126" i="46" s="1"/>
  <c r="A127" i="46" s="1"/>
  <c r="A128" i="46" s="1"/>
  <c r="A129" i="46" s="1"/>
  <c r="A130" i="46" s="1"/>
  <c r="A131" i="46" s="1"/>
  <c r="A132" i="46" s="1"/>
  <c r="A133" i="46" s="1"/>
  <c r="A134" i="46" s="1"/>
  <c r="A135" i="46" s="1"/>
  <c r="A136" i="46" s="1"/>
  <c r="A137" i="46" s="1"/>
  <c r="A138" i="46" s="1"/>
  <c r="A139" i="46" s="1"/>
  <c r="A140" i="46" s="1"/>
  <c r="A141" i="46" s="1"/>
  <c r="A142" i="46" s="1"/>
  <c r="A143" i="46" s="1"/>
  <c r="A144" i="46" s="1"/>
  <c r="A145" i="46" s="1"/>
  <c r="A146" i="46" s="1"/>
  <c r="A147" i="46" s="1"/>
  <c r="A148" i="46" s="1"/>
  <c r="A149" i="46" s="1"/>
  <c r="A19" i="8"/>
  <c r="A20" i="8" s="1"/>
  <c r="A21" i="8" s="1"/>
  <c r="A34" i="44"/>
  <c r="G80" i="44"/>
  <c r="A29" i="26"/>
  <c r="G29" i="26"/>
  <c r="J203" i="46" l="1"/>
  <c r="H54" i="12"/>
  <c r="F68" i="12"/>
  <c r="I135" i="46"/>
  <c r="E154" i="21"/>
  <c r="N154" i="21" s="1"/>
  <c r="E153" i="21"/>
  <c r="N153" i="21" s="1"/>
  <c r="E48" i="7"/>
  <c r="E23" i="2"/>
  <c r="A23" i="2"/>
  <c r="G135" i="46"/>
  <c r="J206" i="46"/>
  <c r="F127" i="46" s="1"/>
  <c r="E155" i="21"/>
  <c r="N155" i="21" s="1"/>
  <c r="L18" i="21"/>
  <c r="L19" i="21" s="1"/>
  <c r="L20" i="21" s="1"/>
  <c r="L21" i="21" s="1"/>
  <c r="L22" i="21" s="1"/>
  <c r="L23" i="21" s="1"/>
  <c r="L25" i="21" s="1"/>
  <c r="E149" i="21"/>
  <c r="N149" i="21" s="1"/>
  <c r="E151" i="21"/>
  <c r="N151" i="21" s="1"/>
  <c r="E144" i="21"/>
  <c r="E13" i="21" s="1"/>
  <c r="B109" i="12"/>
  <c r="A68" i="12"/>
  <c r="E146" i="21"/>
  <c r="E145" i="21"/>
  <c r="N145" i="21" s="1"/>
  <c r="E150" i="21"/>
  <c r="N150" i="21" s="1"/>
  <c r="K80" i="1"/>
  <c r="K79" i="1"/>
  <c r="K89" i="1" s="1"/>
  <c r="E96" i="8" s="1"/>
  <c r="K78" i="1"/>
  <c r="K88" i="1" s="1"/>
  <c r="E95" i="8" s="1"/>
  <c r="N123" i="21"/>
  <c r="F25" i="21"/>
  <c r="N147" i="21"/>
  <c r="G25" i="21"/>
  <c r="K25" i="21"/>
  <c r="E148" i="21"/>
  <c r="E152" i="21"/>
  <c r="H25" i="21"/>
  <c r="I14" i="21"/>
  <c r="I15" i="21" s="1"/>
  <c r="I16" i="21" s="1"/>
  <c r="I17" i="21" s="1"/>
  <c r="I18" i="21" s="1"/>
  <c r="I19" i="21" s="1"/>
  <c r="I20" i="21" s="1"/>
  <c r="I21" i="21" s="1"/>
  <c r="I22" i="21" s="1"/>
  <c r="I23" i="21" s="1"/>
  <c r="M25" i="21"/>
  <c r="A19" i="31"/>
  <c r="A20" i="31" s="1"/>
  <c r="A22" i="31" s="1"/>
  <c r="A56" i="7"/>
  <c r="A57" i="7" s="1"/>
  <c r="A58" i="7" s="1"/>
  <c r="A59" i="7" s="1"/>
  <c r="A60" i="7" s="1"/>
  <c r="A61" i="7" s="1"/>
  <c r="E55" i="7" s="1"/>
  <c r="B189" i="71"/>
  <c r="B186" i="71"/>
  <c r="A35" i="71"/>
  <c r="A36" i="71" s="1"/>
  <c r="A37" i="71" s="1"/>
  <c r="A23" i="8"/>
  <c r="H29" i="8"/>
  <c r="A30" i="26"/>
  <c r="I125" i="1" s="1"/>
  <c r="G30" i="26"/>
  <c r="H21" i="8"/>
  <c r="D26" i="56"/>
  <c r="G36" i="32"/>
  <c r="A69" i="8"/>
  <c r="A31" i="17"/>
  <c r="A39" i="1"/>
  <c r="A34" i="22"/>
  <c r="A41" i="44"/>
  <c r="A42" i="44" s="1"/>
  <c r="A157" i="46"/>
  <c r="A158" i="46" s="1"/>
  <c r="A159" i="46" s="1"/>
  <c r="A160" i="46" s="1"/>
  <c r="A161" i="46" s="1"/>
  <c r="A162" i="46" s="1"/>
  <c r="A163" i="46" s="1"/>
  <c r="A164" i="46" s="1"/>
  <c r="A165" i="46" s="1"/>
  <c r="A166" i="46" s="1"/>
  <c r="A167" i="46" s="1"/>
  <c r="A168" i="46" s="1"/>
  <c r="A169" i="46" s="1"/>
  <c r="A170" i="46" s="1"/>
  <c r="A24" i="31"/>
  <c r="A27" i="31" s="1"/>
  <c r="A61" i="11"/>
  <c r="A27" i="56"/>
  <c r="A28" i="56" s="1"/>
  <c r="D28" i="56"/>
  <c r="A41" i="32"/>
  <c r="A42" i="32" s="1"/>
  <c r="H55" i="12" l="1"/>
  <c r="F69" i="12"/>
  <c r="F93" i="12"/>
  <c r="E97" i="8"/>
  <c r="E103" i="8" s="1"/>
  <c r="J42" i="8" s="1"/>
  <c r="E14" i="21"/>
  <c r="N14" i="21" s="1"/>
  <c r="N144" i="21"/>
  <c r="A35" i="22"/>
  <c r="A36" i="22" s="1"/>
  <c r="A37" i="22" s="1"/>
  <c r="A38" i="22" s="1"/>
  <c r="A39" i="22" s="1"/>
  <c r="A40" i="22" s="1"/>
  <c r="A41" i="22" s="1"/>
  <c r="A42" i="22" s="1"/>
  <c r="A43" i="22" s="1"/>
  <c r="A44" i="22" s="1"/>
  <c r="A45" i="22" s="1"/>
  <c r="A46" i="22" s="1"/>
  <c r="G49" i="22" s="1"/>
  <c r="A24" i="2"/>
  <c r="E7" i="2"/>
  <c r="K90" i="1"/>
  <c r="K91" i="1" s="1"/>
  <c r="H127" i="46"/>
  <c r="I127" i="46"/>
  <c r="I125" i="46"/>
  <c r="H125" i="46"/>
  <c r="A70" i="8"/>
  <c r="G42" i="32"/>
  <c r="A34" i="56"/>
  <c r="A35" i="56" s="1"/>
  <c r="A36" i="56" s="1"/>
  <c r="B149" i="65"/>
  <c r="E63" i="7"/>
  <c r="A69" i="12"/>
  <c r="A70" i="12" s="1"/>
  <c r="A71" i="12" s="1"/>
  <c r="A81" i="12" s="1"/>
  <c r="A82" i="12" s="1"/>
  <c r="A83" i="12" s="1"/>
  <c r="A84" i="12" s="1"/>
  <c r="A85" i="12" s="1"/>
  <c r="A86" i="12" s="1"/>
  <c r="N152" i="21"/>
  <c r="N148" i="21"/>
  <c r="N146" i="21"/>
  <c r="E156" i="21"/>
  <c r="N13" i="21"/>
  <c r="I25" i="21"/>
  <c r="B38" i="31"/>
  <c r="H27" i="31"/>
  <c r="D21" i="7"/>
  <c r="G15" i="12"/>
  <c r="G17" i="12" s="1"/>
  <c r="K81" i="1"/>
  <c r="A62" i="7"/>
  <c r="A63" i="7" s="1"/>
  <c r="E59" i="7"/>
  <c r="A38" i="71"/>
  <c r="A41" i="71" s="1"/>
  <c r="A46" i="71" s="1"/>
  <c r="A47" i="71" s="1"/>
  <c r="A48" i="71" s="1"/>
  <c r="A37" i="56"/>
  <c r="A38" i="56" s="1"/>
  <c r="A171" i="46"/>
  <c r="B97" i="44"/>
  <c r="A43" i="44"/>
  <c r="A37" i="26"/>
  <c r="G77" i="26" s="1"/>
  <c r="A62" i="11"/>
  <c r="B171" i="46"/>
  <c r="B98" i="44"/>
  <c r="A40" i="1"/>
  <c r="A41" i="1" s="1"/>
  <c r="A32" i="17"/>
  <c r="G70" i="8"/>
  <c r="A24" i="8"/>
  <c r="G91" i="12" s="1"/>
  <c r="H56" i="12" l="1"/>
  <c r="F70" i="12"/>
  <c r="E15" i="21"/>
  <c r="N15" i="21" s="1"/>
  <c r="E98" i="8"/>
  <c r="J33" i="8" s="1"/>
  <c r="E64" i="7"/>
  <c r="E69" i="7"/>
  <c r="E25" i="2"/>
  <c r="A25" i="2"/>
  <c r="G127" i="46"/>
  <c r="G125" i="46"/>
  <c r="A71" i="8"/>
  <c r="A72" i="8" s="1"/>
  <c r="A73" i="8" s="1"/>
  <c r="H14" i="65" s="1"/>
  <c r="A25" i="8"/>
  <c r="G53" i="22"/>
  <c r="A64" i="7"/>
  <c r="A65" i="7" s="1"/>
  <c r="B153" i="65"/>
  <c r="B110" i="12"/>
  <c r="A90" i="12"/>
  <c r="N156" i="21"/>
  <c r="E83" i="12"/>
  <c r="F83" i="12" s="1"/>
  <c r="E82" i="12"/>
  <c r="F82" i="12" s="1"/>
  <c r="E81" i="12"/>
  <c r="F81" i="12" s="1"/>
  <c r="K93" i="1"/>
  <c r="D32" i="71" s="1"/>
  <c r="D34" i="71" s="1"/>
  <c r="D25" i="71"/>
  <c r="D26" i="71" s="1"/>
  <c r="E25" i="71"/>
  <c r="E26" i="71" s="1"/>
  <c r="I41" i="1"/>
  <c r="D51" i="7"/>
  <c r="G39" i="12"/>
  <c r="G40" i="12"/>
  <c r="G41" i="12"/>
  <c r="D41" i="71"/>
  <c r="G55" i="12"/>
  <c r="G56" i="12"/>
  <c r="G54" i="12"/>
  <c r="A53" i="71"/>
  <c r="A54" i="71" s="1"/>
  <c r="A55" i="71" s="1"/>
  <c r="F66" i="71"/>
  <c r="A33" i="17"/>
  <c r="A34" i="17" s="1"/>
  <c r="A35" i="17" s="1"/>
  <c r="A36" i="17" s="1"/>
  <c r="A37" i="17" s="1"/>
  <c r="A38" i="17" s="1"/>
  <c r="A39" i="17" s="1"/>
  <c r="A40" i="17" s="1"/>
  <c r="A41" i="17" s="1"/>
  <c r="A42" i="17" s="1"/>
  <c r="A43" i="17" s="1"/>
  <c r="A44" i="17" s="1"/>
  <c r="A45" i="17" s="1"/>
  <c r="A46" i="17" s="1"/>
  <c r="A47" i="17" s="1"/>
  <c r="A48" i="17" s="1"/>
  <c r="A49" i="17" s="1"/>
  <c r="A50" i="17" s="1"/>
  <c r="A51" i="17" s="1"/>
  <c r="G44" i="44"/>
  <c r="A44" i="44"/>
  <c r="A43" i="1"/>
  <c r="A44" i="1" s="1"/>
  <c r="A49" i="22"/>
  <c r="A63" i="11"/>
  <c r="A64" i="11" s="1"/>
  <c r="A65" i="11" s="1"/>
  <c r="A72" i="11" s="1"/>
  <c r="A73" i="11" s="1"/>
  <c r="A74" i="11" s="1"/>
  <c r="A75" i="11" s="1"/>
  <c r="A76" i="11" s="1"/>
  <c r="A77" i="11" s="1"/>
  <c r="A78" i="11" s="1"/>
  <c r="A79" i="11" s="1"/>
  <c r="A80" i="11" s="1"/>
  <c r="A81" i="11" s="1"/>
  <c r="A82" i="11" s="1"/>
  <c r="A83" i="11" s="1"/>
  <c r="A84" i="11" s="1"/>
  <c r="A38" i="26"/>
  <c r="A39" i="26" s="1"/>
  <c r="A40" i="26" s="1"/>
  <c r="A41" i="26" s="1"/>
  <c r="A42" i="26" s="1"/>
  <c r="A43" i="26" s="1"/>
  <c r="C78" i="26" s="1"/>
  <c r="A39" i="56"/>
  <c r="A40" i="56" s="1"/>
  <c r="E16" i="21" l="1"/>
  <c r="N16" i="21" s="1"/>
  <c r="A26" i="2"/>
  <c r="A27" i="2" s="1"/>
  <c r="A28" i="2" s="1"/>
  <c r="G73" i="8"/>
  <c r="G72" i="8"/>
  <c r="E65" i="7"/>
  <c r="D40" i="56"/>
  <c r="A66" i="7"/>
  <c r="A67" i="7" s="1"/>
  <c r="A68" i="7" s="1"/>
  <c r="A69" i="7" s="1"/>
  <c r="A70" i="7" s="1"/>
  <c r="A50" i="22"/>
  <c r="A51" i="22" s="1"/>
  <c r="H13" i="8" s="1"/>
  <c r="F86" i="12"/>
  <c r="A91" i="12"/>
  <c r="A92" i="12" s="1"/>
  <c r="H46" i="11"/>
  <c r="H47" i="11"/>
  <c r="H48" i="11"/>
  <c r="A52" i="17"/>
  <c r="A53" i="17" s="1"/>
  <c r="A54" i="17" s="1"/>
  <c r="A55" i="17" s="1"/>
  <c r="E14" i="17"/>
  <c r="D22" i="7"/>
  <c r="D25" i="7" s="1"/>
  <c r="E112" i="71" s="1"/>
  <c r="E113" i="71" s="1"/>
  <c r="E32" i="71"/>
  <c r="E34" i="71" s="1"/>
  <c r="E95" i="71" s="1"/>
  <c r="D48" i="71"/>
  <c r="E55" i="71"/>
  <c r="E48" i="71"/>
  <c r="D55" i="71"/>
  <c r="D55" i="7"/>
  <c r="D59" i="7"/>
  <c r="E83" i="71"/>
  <c r="E77" i="71"/>
  <c r="E82" i="71"/>
  <c r="D65" i="71"/>
  <c r="E84" i="71"/>
  <c r="E85" i="71"/>
  <c r="E81" i="71"/>
  <c r="E79" i="71"/>
  <c r="E80" i="71"/>
  <c r="E78" i="71"/>
  <c r="D101" i="71"/>
  <c r="D96" i="71"/>
  <c r="E64" i="71"/>
  <c r="D94" i="71"/>
  <c r="D95" i="71"/>
  <c r="D98" i="71"/>
  <c r="D97" i="71"/>
  <c r="D99" i="71"/>
  <c r="D100" i="71"/>
  <c r="D102" i="71"/>
  <c r="G59" i="12"/>
  <c r="J62" i="8" s="1"/>
  <c r="G44" i="12"/>
  <c r="K135" i="1" s="1"/>
  <c r="D81" i="71"/>
  <c r="D82" i="71"/>
  <c r="D83" i="71"/>
  <c r="D80" i="71"/>
  <c r="D64" i="71"/>
  <c r="D85" i="71"/>
  <c r="D77" i="71"/>
  <c r="D78" i="71"/>
  <c r="D79" i="71"/>
  <c r="D84" i="71"/>
  <c r="A56" i="71"/>
  <c r="A57" i="71" s="1"/>
  <c r="A64" i="71" s="1"/>
  <c r="F67" i="71"/>
  <c r="A41" i="56"/>
  <c r="A42" i="56" s="1"/>
  <c r="D42" i="56"/>
  <c r="A85" i="11"/>
  <c r="G86" i="44"/>
  <c r="A55" i="44"/>
  <c r="A44" i="26"/>
  <c r="A53" i="22"/>
  <c r="A45" i="1"/>
  <c r="E46" i="17"/>
  <c r="E17" i="21" l="1"/>
  <c r="E18" i="21" s="1"/>
  <c r="E101" i="71"/>
  <c r="G101" i="71" s="1"/>
  <c r="H101" i="71" s="1"/>
  <c r="E97" i="71"/>
  <c r="G97" i="71" s="1"/>
  <c r="H97" i="71" s="1"/>
  <c r="E99" i="71"/>
  <c r="G99" i="71" s="1"/>
  <c r="H99" i="71" s="1"/>
  <c r="E94" i="71"/>
  <c r="E96" i="71"/>
  <c r="G96" i="71" s="1"/>
  <c r="H96" i="71" s="1"/>
  <c r="E100" i="71"/>
  <c r="G100" i="71" s="1"/>
  <c r="H100" i="71" s="1"/>
  <c r="E102" i="71"/>
  <c r="G102" i="71" s="1"/>
  <c r="H102" i="71" s="1"/>
  <c r="E65" i="71"/>
  <c r="E98" i="71"/>
  <c r="G98" i="71" s="1"/>
  <c r="H98" i="71" s="1"/>
  <c r="E28" i="2"/>
  <c r="A29" i="2"/>
  <c r="A30" i="2" s="1"/>
  <c r="A31" i="2" s="1"/>
  <c r="A32" i="2" s="1"/>
  <c r="A33" i="2" s="1"/>
  <c r="I40" i="1"/>
  <c r="G28" i="26"/>
  <c r="C57" i="17"/>
  <c r="A56" i="17"/>
  <c r="A57" i="17" s="1"/>
  <c r="A58" i="17" s="1"/>
  <c r="D47" i="7"/>
  <c r="D48" i="7" s="1"/>
  <c r="D83" i="7"/>
  <c r="D84" i="7" s="1"/>
  <c r="G92" i="12"/>
  <c r="A71" i="7"/>
  <c r="A72" i="7" s="1"/>
  <c r="A73" i="7" s="1"/>
  <c r="A74" i="7" s="1"/>
  <c r="A75" i="7" s="1"/>
  <c r="A76" i="7" s="1"/>
  <c r="A77" i="7" s="1"/>
  <c r="A78" i="7" s="1"/>
  <c r="A79" i="7" s="1"/>
  <c r="A80" i="7" s="1"/>
  <c r="A81" i="7" s="1"/>
  <c r="A82" i="7" s="1"/>
  <c r="A83" i="7" s="1"/>
  <c r="A84" i="7" s="1"/>
  <c r="A85" i="7" s="1"/>
  <c r="A86" i="7" s="1"/>
  <c r="E71" i="7"/>
  <c r="H41" i="44"/>
  <c r="H44" i="44" s="1"/>
  <c r="H86" i="44" s="1"/>
  <c r="A45" i="26"/>
  <c r="A46" i="26" s="1"/>
  <c r="A47" i="26" s="1"/>
  <c r="A48" i="26" s="1"/>
  <c r="A49" i="26" s="1"/>
  <c r="A50" i="26" s="1"/>
  <c r="C72" i="26"/>
  <c r="A54" i="22"/>
  <c r="A55" i="22" s="1"/>
  <c r="I16" i="1" s="1"/>
  <c r="G51" i="22"/>
  <c r="A93" i="12"/>
  <c r="A94" i="12" s="1"/>
  <c r="A94" i="11"/>
  <c r="H61" i="11"/>
  <c r="H60" i="11"/>
  <c r="H62" i="11"/>
  <c r="A95" i="11"/>
  <c r="A96" i="11" s="1"/>
  <c r="A97" i="11" s="1"/>
  <c r="A98" i="11" s="1"/>
  <c r="A99" i="11" s="1"/>
  <c r="A100" i="11" s="1"/>
  <c r="A101" i="11" s="1"/>
  <c r="A102" i="11" s="1"/>
  <c r="A103" i="11" s="1"/>
  <c r="A104" i="11" s="1"/>
  <c r="A105" i="11" s="1"/>
  <c r="A106" i="11" s="1"/>
  <c r="A107" i="11" s="1"/>
  <c r="A117" i="11" s="1"/>
  <c r="D176" i="71"/>
  <c r="D158" i="71"/>
  <c r="D159" i="71"/>
  <c r="D177" i="71"/>
  <c r="D172" i="71"/>
  <c r="D154" i="71"/>
  <c r="D174" i="71"/>
  <c r="D156" i="71"/>
  <c r="D153" i="71"/>
  <c r="D171" i="71"/>
  <c r="D157" i="71"/>
  <c r="D175" i="71"/>
  <c r="D155" i="71"/>
  <c r="D173" i="71"/>
  <c r="D120" i="71"/>
  <c r="E169" i="71" s="1"/>
  <c r="E138" i="71"/>
  <c r="G84" i="71"/>
  <c r="H84" i="71" s="1"/>
  <c r="G85" i="71"/>
  <c r="H85" i="71" s="1"/>
  <c r="G80" i="71"/>
  <c r="H80" i="71" s="1"/>
  <c r="G82" i="71"/>
  <c r="H82" i="71" s="1"/>
  <c r="G79" i="71"/>
  <c r="H79" i="71" s="1"/>
  <c r="G83" i="71"/>
  <c r="H83" i="71" s="1"/>
  <c r="G81" i="71"/>
  <c r="H81" i="71" s="1"/>
  <c r="E114" i="71"/>
  <c r="E115" i="71" s="1"/>
  <c r="A65" i="71"/>
  <c r="D105" i="71"/>
  <c r="E88" i="71"/>
  <c r="F78" i="71"/>
  <c r="D170" i="71" s="1"/>
  <c r="D67" i="71"/>
  <c r="F95" i="71"/>
  <c r="E67" i="71"/>
  <c r="D88" i="71"/>
  <c r="F94" i="71"/>
  <c r="E66" i="71"/>
  <c r="F77" i="71"/>
  <c r="G77" i="71" s="1"/>
  <c r="D66" i="71"/>
  <c r="D127" i="71"/>
  <c r="D124" i="71"/>
  <c r="D123" i="71"/>
  <c r="D126" i="71"/>
  <c r="D128" i="71"/>
  <c r="D121" i="71"/>
  <c r="D125" i="71"/>
  <c r="D122" i="71"/>
  <c r="E47" i="17"/>
  <c r="A56" i="44"/>
  <c r="A57" i="44" s="1"/>
  <c r="G59" i="44" s="1"/>
  <c r="A46" i="1"/>
  <c r="A47" i="1" s="1"/>
  <c r="A48" i="1" s="1"/>
  <c r="N17" i="21" l="1"/>
  <c r="A118" i="11"/>
  <c r="A119" i="11" s="1"/>
  <c r="A120" i="11" s="1"/>
  <c r="A121" i="11" s="1"/>
  <c r="A122" i="11" s="1"/>
  <c r="A123" i="11" s="1"/>
  <c r="A124" i="11" s="1"/>
  <c r="A125" i="11" s="1"/>
  <c r="A126" i="11" s="1"/>
  <c r="A127" i="11" s="1"/>
  <c r="A128" i="11" s="1"/>
  <c r="A129" i="11" s="1"/>
  <c r="F69" i="11" s="1"/>
  <c r="B174" i="4"/>
  <c r="D63" i="7"/>
  <c r="D64" i="7" s="1"/>
  <c r="E105" i="71"/>
  <c r="G94" i="71"/>
  <c r="H94" i="71" s="1"/>
  <c r="A87" i="7"/>
  <c r="A88" i="7" s="1"/>
  <c r="A89" i="7" s="1"/>
  <c r="E88" i="7"/>
  <c r="E89" i="7"/>
  <c r="A34" i="2"/>
  <c r="A35" i="2" s="1"/>
  <c r="A36" i="2" s="1"/>
  <c r="C58" i="17"/>
  <c r="I53" i="1"/>
  <c r="G55" i="22"/>
  <c r="A98" i="12"/>
  <c r="G94" i="12"/>
  <c r="A137" i="11"/>
  <c r="E137" i="71"/>
  <c r="N18" i="21"/>
  <c r="E19" i="21"/>
  <c r="E153" i="71"/>
  <c r="F153" i="71" s="1"/>
  <c r="G153" i="71" s="1"/>
  <c r="E171" i="71"/>
  <c r="F171" i="71" s="1"/>
  <c r="G171" i="71" s="1"/>
  <c r="E152" i="71"/>
  <c r="E170" i="71"/>
  <c r="F170" i="71" s="1"/>
  <c r="E157" i="71"/>
  <c r="F157" i="71" s="1"/>
  <c r="G157" i="71" s="1"/>
  <c r="E175" i="71"/>
  <c r="F175" i="71" s="1"/>
  <c r="G175" i="71" s="1"/>
  <c r="E155" i="71"/>
  <c r="F155" i="71" s="1"/>
  <c r="G155" i="71" s="1"/>
  <c r="E173" i="71"/>
  <c r="F173" i="71" s="1"/>
  <c r="G173" i="71" s="1"/>
  <c r="A66" i="71"/>
  <c r="D151" i="71"/>
  <c r="D152" i="71"/>
  <c r="E156" i="71"/>
  <c r="F156" i="71" s="1"/>
  <c r="E174" i="71"/>
  <c r="F174" i="71" s="1"/>
  <c r="G174" i="71" s="1"/>
  <c r="E159" i="71"/>
  <c r="F159" i="71" s="1"/>
  <c r="G159" i="71" s="1"/>
  <c r="E177" i="71"/>
  <c r="F177" i="71" s="1"/>
  <c r="G177" i="71" s="1"/>
  <c r="E154" i="71"/>
  <c r="F154" i="71" s="1"/>
  <c r="E172" i="71"/>
  <c r="F172" i="71" s="1"/>
  <c r="G172" i="71" s="1"/>
  <c r="E158" i="71"/>
  <c r="E176" i="71"/>
  <c r="F176" i="71" s="1"/>
  <c r="G176" i="71" s="1"/>
  <c r="E128" i="71"/>
  <c r="E126" i="71"/>
  <c r="E124" i="71"/>
  <c r="E122" i="71"/>
  <c r="E120" i="71"/>
  <c r="E127" i="71"/>
  <c r="E125" i="71"/>
  <c r="E123" i="71"/>
  <c r="E121" i="71"/>
  <c r="D169" i="71"/>
  <c r="G95" i="71"/>
  <c r="H77" i="71"/>
  <c r="G78" i="71"/>
  <c r="G88" i="71" s="1"/>
  <c r="E79" i="7"/>
  <c r="E68" i="71"/>
  <c r="E69" i="71" s="1"/>
  <c r="D68" i="71"/>
  <c r="D69" i="71" s="1"/>
  <c r="F88" i="71"/>
  <c r="F105" i="71"/>
  <c r="E151" i="71"/>
  <c r="D131" i="71"/>
  <c r="I44" i="1"/>
  <c r="A58" i="44"/>
  <c r="A59" i="44" s="1"/>
  <c r="G65" i="44"/>
  <c r="A49" i="1"/>
  <c r="A50" i="1" s="1"/>
  <c r="A51" i="1" s="1"/>
  <c r="A52" i="1" s="1"/>
  <c r="C55" i="17" s="1"/>
  <c r="E48" i="17"/>
  <c r="A138" i="11" l="1"/>
  <c r="A139" i="11" s="1"/>
  <c r="A140" i="11" s="1"/>
  <c r="A141" i="11" s="1"/>
  <c r="A142" i="11" s="1"/>
  <c r="A143" i="11" s="1"/>
  <c r="A144" i="11" s="1"/>
  <c r="A145" i="11" s="1"/>
  <c r="A146" i="11" s="1"/>
  <c r="A147" i="11" s="1"/>
  <c r="A148" i="11" s="1"/>
  <c r="A149" i="11" s="1"/>
  <c r="A157" i="11" s="1"/>
  <c r="H69" i="11"/>
  <c r="D69" i="7"/>
  <c r="G105" i="71"/>
  <c r="D65" i="7"/>
  <c r="A90" i="7"/>
  <c r="A91" i="7" s="1"/>
  <c r="I147" i="1" s="1"/>
  <c r="G89" i="44"/>
  <c r="E35" i="2"/>
  <c r="E36" i="2"/>
  <c r="A37" i="2"/>
  <c r="A38" i="2" s="1"/>
  <c r="A39" i="2" s="1"/>
  <c r="J100" i="46"/>
  <c r="J101" i="46"/>
  <c r="J99" i="46"/>
  <c r="A99" i="12"/>
  <c r="A100" i="12" s="1"/>
  <c r="A101" i="12" s="1"/>
  <c r="A53" i="1"/>
  <c r="A54" i="1" s="1"/>
  <c r="I52" i="1"/>
  <c r="E139" i="71"/>
  <c r="E143" i="71" s="1"/>
  <c r="N19" i="21"/>
  <c r="E20" i="21"/>
  <c r="E131" i="71"/>
  <c r="F158" i="71"/>
  <c r="G158" i="71" s="1"/>
  <c r="G154" i="71"/>
  <c r="G156" i="71"/>
  <c r="F151" i="71"/>
  <c r="G170" i="71"/>
  <c r="F169" i="71"/>
  <c r="F180" i="71" s="1"/>
  <c r="D180" i="71"/>
  <c r="F152" i="71"/>
  <c r="G152" i="71" s="1"/>
  <c r="E180" i="71"/>
  <c r="A67" i="71"/>
  <c r="H78" i="71"/>
  <c r="H88" i="71" s="1"/>
  <c r="H95" i="71"/>
  <c r="H105" i="71" s="1"/>
  <c r="E162" i="71"/>
  <c r="E91" i="7"/>
  <c r="E80" i="7"/>
  <c r="E86" i="7"/>
  <c r="E49" i="17"/>
  <c r="E84" i="7"/>
  <c r="G78" i="44"/>
  <c r="A64" i="44"/>
  <c r="A158" i="11" l="1"/>
  <c r="A159" i="11" s="1"/>
  <c r="A160" i="11" s="1"/>
  <c r="A161" i="11" s="1"/>
  <c r="A162" i="11" s="1"/>
  <c r="A163" i="11" s="1"/>
  <c r="A164" i="11" s="1"/>
  <c r="A165" i="11" s="1"/>
  <c r="A166" i="11" s="1"/>
  <c r="A167" i="11" s="1"/>
  <c r="A168" i="11" s="1"/>
  <c r="A169" i="11" s="1"/>
  <c r="A176" i="11" s="1"/>
  <c r="A177" i="11" s="1"/>
  <c r="A178" i="11" s="1"/>
  <c r="A179" i="11" s="1"/>
  <c r="A180" i="11" s="1"/>
  <c r="A181" i="11" s="1"/>
  <c r="A182" i="11" s="1"/>
  <c r="A183" i="11" s="1"/>
  <c r="A184" i="11" s="1"/>
  <c r="A185" i="11" s="1"/>
  <c r="A186" i="11" s="1"/>
  <c r="A187" i="11" s="1"/>
  <c r="A188" i="11" s="1"/>
  <c r="A195" i="11" s="1"/>
  <c r="A196" i="11" s="1"/>
  <c r="A197" i="11" s="1"/>
  <c r="A198" i="11" s="1"/>
  <c r="A199" i="11" s="1"/>
  <c r="A200" i="11" s="1"/>
  <c r="A201" i="11" s="1"/>
  <c r="A202" i="11" s="1"/>
  <c r="A203" i="11" s="1"/>
  <c r="A204" i="11" s="1"/>
  <c r="A205" i="11" s="1"/>
  <c r="A206" i="11" s="1"/>
  <c r="A207" i="11" s="1"/>
  <c r="A214" i="11" s="1"/>
  <c r="A215" i="11" s="1"/>
  <c r="A216" i="11" s="1"/>
  <c r="A217" i="11" s="1"/>
  <c r="A218" i="11" s="1"/>
  <c r="A219" i="11" s="1"/>
  <c r="A220" i="11" s="1"/>
  <c r="A221" i="11" s="1"/>
  <c r="A222" i="11" s="1"/>
  <c r="A223" i="11" s="1"/>
  <c r="A224" i="11" s="1"/>
  <c r="A225" i="11" s="1"/>
  <c r="A226" i="11" s="1"/>
  <c r="A233" i="11" s="1"/>
  <c r="A234" i="11" s="1"/>
  <c r="A235" i="11" s="1"/>
  <c r="A236" i="11" s="1"/>
  <c r="A237" i="11" s="1"/>
  <c r="A238" i="11" s="1"/>
  <c r="A239" i="11" s="1"/>
  <c r="A240" i="11" s="1"/>
  <c r="A241" i="11" s="1"/>
  <c r="A242" i="11" s="1"/>
  <c r="A243" i="11" s="1"/>
  <c r="A244" i="11" s="1"/>
  <c r="A245" i="11" s="1"/>
  <c r="A252" i="11" s="1"/>
  <c r="A253" i="11" s="1"/>
  <c r="A254" i="11" s="1"/>
  <c r="A255" i="11" s="1"/>
  <c r="A256" i="11" s="1"/>
  <c r="A257" i="11" s="1"/>
  <c r="A258" i="11" s="1"/>
  <c r="A259" i="11" s="1"/>
  <c r="A260" i="11" s="1"/>
  <c r="A261" i="11" s="1"/>
  <c r="A262" i="11" s="1"/>
  <c r="A263" i="11" s="1"/>
  <c r="A264" i="11" s="1"/>
  <c r="A271" i="11" s="1"/>
  <c r="A272" i="11" s="1"/>
  <c r="A273" i="11" s="1"/>
  <c r="A274" i="11" s="1"/>
  <c r="A275" i="11" s="1"/>
  <c r="A276" i="11" s="1"/>
  <c r="A277" i="11" s="1"/>
  <c r="A278" i="11" s="1"/>
  <c r="A279" i="11" s="1"/>
  <c r="A280" i="11" s="1"/>
  <c r="A281" i="11" s="1"/>
  <c r="A282" i="11" s="1"/>
  <c r="A283" i="11" s="1"/>
  <c r="A290" i="11" s="1"/>
  <c r="A291" i="11" s="1"/>
  <c r="A292" i="11" s="1"/>
  <c r="A293" i="11" s="1"/>
  <c r="A294" i="11" s="1"/>
  <c r="A295" i="11" s="1"/>
  <c r="A296" i="11" s="1"/>
  <c r="A297" i="11" s="1"/>
  <c r="A298" i="11" s="1"/>
  <c r="A299" i="11" s="1"/>
  <c r="A300" i="11" s="1"/>
  <c r="A301" i="11" s="1"/>
  <c r="A302" i="11" s="1"/>
  <c r="A307" i="11" s="1"/>
  <c r="A308" i="11" s="1"/>
  <c r="G69" i="11"/>
  <c r="G169" i="71"/>
  <c r="G180" i="71" s="1"/>
  <c r="A40" i="2"/>
  <c r="A41" i="2" s="1"/>
  <c r="A42" i="2" s="1"/>
  <c r="I54" i="1"/>
  <c r="G101" i="12"/>
  <c r="A55" i="1"/>
  <c r="A56" i="1" s="1"/>
  <c r="A58" i="1" s="1"/>
  <c r="E142" i="71"/>
  <c r="E144" i="71" s="1"/>
  <c r="N20" i="21"/>
  <c r="E21" i="21"/>
  <c r="F137" i="71"/>
  <c r="A68" i="71"/>
  <c r="G151" i="71"/>
  <c r="F162" i="71"/>
  <c r="D162" i="71"/>
  <c r="A65" i="44"/>
  <c r="A66" i="44" s="1"/>
  <c r="G25" i="12" l="1"/>
  <c r="A309" i="11"/>
  <c r="A312" i="11" s="1"/>
  <c r="A313" i="11" s="1"/>
  <c r="G66" i="44"/>
  <c r="I58" i="1"/>
  <c r="E41" i="2"/>
  <c r="E42" i="2"/>
  <c r="A43" i="2"/>
  <c r="A44" i="2" s="1"/>
  <c r="A45" i="2" s="1"/>
  <c r="J105" i="46"/>
  <c r="I56" i="1"/>
  <c r="E145" i="71"/>
  <c r="D19" i="31" s="1"/>
  <c r="N21" i="21"/>
  <c r="E22" i="21"/>
  <c r="A69" i="71"/>
  <c r="A77" i="71" s="1"/>
  <c r="F69" i="71"/>
  <c r="G162" i="71"/>
  <c r="E51" i="17"/>
  <c r="A78" i="44"/>
  <c r="A79" i="44" s="1"/>
  <c r="A80" i="44" s="1"/>
  <c r="A81" i="44" s="1"/>
  <c r="A82" i="44" s="1"/>
  <c r="G79" i="44"/>
  <c r="I129" i="1"/>
  <c r="A63" i="1"/>
  <c r="G26" i="12" l="1"/>
  <c r="A314" i="11"/>
  <c r="A317" i="11" s="1"/>
  <c r="A318" i="11" s="1"/>
  <c r="A46" i="2"/>
  <c r="A47" i="2" s="1"/>
  <c r="A48" i="2" s="1"/>
  <c r="E19" i="31"/>
  <c r="N22" i="21"/>
  <c r="E23" i="21"/>
  <c r="A78" i="71"/>
  <c r="A79" i="71" s="1"/>
  <c r="A80" i="71" s="1"/>
  <c r="A81" i="71" s="1"/>
  <c r="A82" i="71" s="1"/>
  <c r="A83" i="71" s="1"/>
  <c r="A84" i="71" s="1"/>
  <c r="A85" i="71" s="1"/>
  <c r="A86" i="71" s="1"/>
  <c r="A87" i="71" s="1"/>
  <c r="I88" i="71" s="1"/>
  <c r="A86" i="44"/>
  <c r="G87" i="44"/>
  <c r="A64" i="1"/>
  <c r="G27" i="12" l="1"/>
  <c r="A319" i="11"/>
  <c r="A320" i="11" s="1"/>
  <c r="A323" i="11" s="1"/>
  <c r="A324" i="11" s="1"/>
  <c r="A325" i="11" s="1"/>
  <c r="A326" i="11" s="1"/>
  <c r="A327" i="11" s="1"/>
  <c r="A330" i="11" s="1"/>
  <c r="A331" i="11" s="1"/>
  <c r="A332" i="11" s="1"/>
  <c r="A335" i="11" s="1"/>
  <c r="A336" i="11" s="1"/>
  <c r="A337" i="11" s="1"/>
  <c r="A340" i="11" s="1"/>
  <c r="A341" i="11" s="1"/>
  <c r="A342" i="11" s="1"/>
  <c r="A345" i="11" s="1"/>
  <c r="A346" i="11" s="1"/>
  <c r="A347" i="11" s="1"/>
  <c r="A350" i="11" s="1"/>
  <c r="A351" i="11" s="1"/>
  <c r="A352" i="11" s="1"/>
  <c r="A355" i="11" s="1"/>
  <c r="A356" i="11" s="1"/>
  <c r="A357" i="11" s="1"/>
  <c r="A360" i="11" s="1"/>
  <c r="A361" i="11" s="1"/>
  <c r="A362" i="11" s="1"/>
  <c r="A365" i="11" s="1"/>
  <c r="A366" i="11" s="1"/>
  <c r="A367" i="11" s="1"/>
  <c r="E47" i="2"/>
  <c r="E48" i="2"/>
  <c r="A49" i="2"/>
  <c r="A50" i="2" s="1"/>
  <c r="A51" i="2" s="1"/>
  <c r="J106" i="46"/>
  <c r="A87" i="44"/>
  <c r="A88" i="44" s="1"/>
  <c r="A89" i="44" s="1"/>
  <c r="A90" i="44" s="1"/>
  <c r="A91" i="44" s="1"/>
  <c r="A92" i="44" s="1"/>
  <c r="I156" i="1" s="1"/>
  <c r="N23" i="21"/>
  <c r="N25" i="21" s="1"/>
  <c r="J18" i="8" s="1"/>
  <c r="E25" i="21"/>
  <c r="A88" i="71"/>
  <c r="A94" i="71" s="1"/>
  <c r="B192" i="71"/>
  <c r="A65" i="1"/>
  <c r="G90" i="44" l="1"/>
  <c r="A52" i="2"/>
  <c r="A53" i="2" s="1"/>
  <c r="A54" i="2" s="1"/>
  <c r="B100" i="44"/>
  <c r="A95" i="71"/>
  <c r="A96" i="71" s="1"/>
  <c r="A97" i="71" s="1"/>
  <c r="A98" i="71" s="1"/>
  <c r="A99" i="71" s="1"/>
  <c r="A100" i="71" s="1"/>
  <c r="A101" i="71" s="1"/>
  <c r="A102" i="71" s="1"/>
  <c r="A103" i="71" s="1"/>
  <c r="A104" i="71" s="1"/>
  <c r="A105" i="71" s="1"/>
  <c r="A111" i="71" s="1"/>
  <c r="G92" i="44"/>
  <c r="A68" i="1"/>
  <c r="I83" i="1"/>
  <c r="E54" i="2" l="1"/>
  <c r="E53" i="2"/>
  <c r="A55" i="2"/>
  <c r="A56" i="2" s="1"/>
  <c r="A57" i="2" s="1"/>
  <c r="J139" i="46"/>
  <c r="J108" i="46"/>
  <c r="J140" i="46"/>
  <c r="J138" i="46"/>
  <c r="I105" i="71"/>
  <c r="A112" i="71"/>
  <c r="A113" i="71" s="1"/>
  <c r="A69" i="1"/>
  <c r="A70" i="1" s="1"/>
  <c r="A58" i="2" l="1"/>
  <c r="A59" i="2" s="1"/>
  <c r="A60" i="2" s="1"/>
  <c r="F113" i="71"/>
  <c r="A114" i="71"/>
  <c r="A115" i="71" s="1"/>
  <c r="A120" i="71" s="1"/>
  <c r="F138" i="71"/>
  <c r="A73" i="1"/>
  <c r="I75" i="1" s="1"/>
  <c r="I84" i="1"/>
  <c r="E59" i="2" l="1"/>
  <c r="E60" i="2"/>
  <c r="A61" i="2"/>
  <c r="J143" i="46"/>
  <c r="J109" i="46"/>
  <c r="F115" i="71"/>
  <c r="A121" i="71"/>
  <c r="A122" i="71" s="1"/>
  <c r="A123" i="71" s="1"/>
  <c r="A124" i="71" s="1"/>
  <c r="A125" i="71" s="1"/>
  <c r="A126" i="71" s="1"/>
  <c r="A127" i="71" s="1"/>
  <c r="A128" i="71" s="1"/>
  <c r="A129" i="71" s="1"/>
  <c r="A130" i="71" s="1"/>
  <c r="A131" i="71" s="1"/>
  <c r="A137" i="71" s="1"/>
  <c r="A75" i="1"/>
  <c r="I80" i="1" s="1"/>
  <c r="A138" i="71" l="1"/>
  <c r="A139" i="71" s="1"/>
  <c r="F131" i="71"/>
  <c r="B193" i="71"/>
  <c r="A78" i="1"/>
  <c r="I78" i="1"/>
  <c r="I79" i="1"/>
  <c r="F139" i="71" l="1"/>
  <c r="A140" i="71"/>
  <c r="A141" i="71" s="1"/>
  <c r="A142" i="71" s="1"/>
  <c r="A143" i="71" s="1"/>
  <c r="A144" i="71" s="1"/>
  <c r="A145" i="71" s="1"/>
  <c r="A79" i="1"/>
  <c r="I88" i="1"/>
  <c r="A151" i="71" l="1"/>
  <c r="A152" i="71" s="1"/>
  <c r="A153" i="71" s="1"/>
  <c r="A154" i="71" s="1"/>
  <c r="A155" i="71" s="1"/>
  <c r="A156" i="71" s="1"/>
  <c r="A157" i="71" s="1"/>
  <c r="A158" i="71" s="1"/>
  <c r="A159" i="71" s="1"/>
  <c r="A160" i="71" s="1"/>
  <c r="A161" i="71" s="1"/>
  <c r="A162" i="71" s="1"/>
  <c r="A169" i="71" s="1"/>
  <c r="A170" i="71" s="1"/>
  <c r="A171" i="71" s="1"/>
  <c r="A172" i="71" s="1"/>
  <c r="A173" i="71" s="1"/>
  <c r="A174" i="71" s="1"/>
  <c r="A175" i="71" s="1"/>
  <c r="A176" i="71" s="1"/>
  <c r="A177" i="71" s="1"/>
  <c r="A178" i="71" s="1"/>
  <c r="A179" i="71" s="1"/>
  <c r="A180" i="71" s="1"/>
  <c r="F142" i="71"/>
  <c r="F145" i="71"/>
  <c r="F144" i="71"/>
  <c r="F143" i="71"/>
  <c r="A80" i="1"/>
  <c r="I89" i="1"/>
  <c r="G93" i="12" l="1"/>
  <c r="I15" i="12"/>
  <c r="A83" i="1"/>
  <c r="A84" i="1" s="1"/>
  <c r="A85" i="1" s="1"/>
  <c r="G100" i="12" s="1"/>
  <c r="I81" i="1"/>
  <c r="I90" i="1" l="1"/>
  <c r="E65" i="2"/>
  <c r="E66" i="2"/>
  <c r="A88" i="1"/>
  <c r="E21" i="7" s="1"/>
  <c r="A89" i="1"/>
  <c r="J121" i="46" l="1"/>
  <c r="A90" i="1"/>
  <c r="I93" i="1" s="1"/>
  <c r="E71" i="2" l="1"/>
  <c r="I91" i="1"/>
  <c r="A91" i="1"/>
  <c r="F25" i="71" l="1"/>
  <c r="E72" i="2"/>
  <c r="J122" i="46"/>
  <c r="A93" i="1"/>
  <c r="I95" i="1"/>
  <c r="F32" i="71" l="1"/>
  <c r="E22" i="7"/>
  <c r="I116" i="1"/>
  <c r="E77" i="2"/>
  <c r="A95" i="1"/>
  <c r="E78" i="2" l="1"/>
  <c r="J132" i="46"/>
  <c r="A100" i="1"/>
  <c r="I131" i="1"/>
  <c r="A101" i="1" l="1"/>
  <c r="A102" i="1" s="1"/>
  <c r="F33" i="71" l="1"/>
  <c r="I16" i="12"/>
  <c r="H43" i="8"/>
  <c r="E23" i="7"/>
  <c r="G56" i="44"/>
  <c r="I117" i="1"/>
  <c r="E84" i="2"/>
  <c r="E83" i="2"/>
  <c r="J133" i="46"/>
  <c r="I102" i="1"/>
  <c r="A105" i="1"/>
  <c r="E89" i="2" l="1"/>
  <c r="A106" i="1"/>
  <c r="A107" i="1" s="1"/>
  <c r="H44" i="8" l="1"/>
  <c r="I118" i="1"/>
  <c r="E90" i="2"/>
  <c r="J134" i="46"/>
  <c r="A110" i="1"/>
  <c r="A112" i="1" s="1"/>
  <c r="H45" i="8" s="1"/>
  <c r="I132" i="1" l="1"/>
  <c r="A124" i="1"/>
  <c r="A125" i="1" s="1"/>
  <c r="H49" i="8" s="1"/>
  <c r="I110" i="1"/>
  <c r="H48" i="8" l="1"/>
  <c r="E96" i="2"/>
  <c r="E95" i="2"/>
  <c r="J136" i="46"/>
  <c r="A126" i="1"/>
  <c r="H51" i="8" s="1"/>
  <c r="E101" i="2" l="1"/>
  <c r="A127" i="1"/>
  <c r="H52" i="8" s="1"/>
  <c r="E102" i="2" l="1"/>
  <c r="J141" i="46"/>
  <c r="A128" i="1"/>
  <c r="H53" i="8" s="1"/>
  <c r="A129" i="1" l="1"/>
  <c r="H54" i="8" s="1"/>
  <c r="E108" i="2" l="1"/>
  <c r="E107" i="2"/>
  <c r="J145" i="46"/>
  <c r="A130" i="1"/>
  <c r="H55" i="8" s="1"/>
  <c r="A131" i="1" l="1"/>
  <c r="A132" i="1" s="1"/>
  <c r="A133" i="1" s="1"/>
  <c r="H58" i="8" s="1"/>
  <c r="E113" i="2" l="1"/>
  <c r="E114" i="2"/>
  <c r="J161" i="46"/>
  <c r="A134" i="1"/>
  <c r="A135" i="1" l="1"/>
  <c r="H59" i="8"/>
  <c r="A136" i="1"/>
  <c r="I136" i="1"/>
  <c r="A138" i="1"/>
  <c r="A139" i="1" s="1"/>
  <c r="G88" i="44" s="1"/>
  <c r="I138" i="1" l="1"/>
  <c r="E70" i="7"/>
  <c r="I139" i="1"/>
  <c r="E120" i="2"/>
  <c r="E119" i="2"/>
  <c r="J162" i="46"/>
  <c r="A141" i="1"/>
  <c r="I146" i="1" s="1"/>
  <c r="I141" i="1"/>
  <c r="A146" i="1" l="1"/>
  <c r="A147" i="1" s="1"/>
  <c r="A148" i="1" s="1"/>
  <c r="A149" i="1" s="1"/>
  <c r="A150" i="1" s="1"/>
  <c r="A152" i="1" s="1"/>
  <c r="J163" i="46"/>
  <c r="E125" i="2" l="1"/>
  <c r="E126" i="2"/>
  <c r="A155" i="1"/>
  <c r="I155" i="1"/>
  <c r="I152" i="1"/>
  <c r="A156" i="1" l="1"/>
  <c r="A157" i="1" s="1"/>
  <c r="G4" i="31" s="1"/>
  <c r="I157" i="1" l="1"/>
  <c r="K53" i="1" l="1"/>
  <c r="K54" i="1" s="1"/>
  <c r="F58" i="17"/>
  <c r="F115" i="46"/>
  <c r="I115" i="46" s="1"/>
  <c r="F129" i="46"/>
  <c r="I129" i="46" s="1"/>
  <c r="F130" i="46"/>
  <c r="I130" i="46" s="1"/>
  <c r="F128" i="46"/>
  <c r="I128" i="46" s="1"/>
  <c r="F114" i="46"/>
  <c r="I114" i="46" s="1"/>
  <c r="F97" i="46"/>
  <c r="I97" i="46" s="1"/>
  <c r="H97" i="46" l="1"/>
  <c r="G97" i="46" s="1"/>
  <c r="H114" i="46"/>
  <c r="G114" i="46" s="1"/>
  <c r="H129" i="46"/>
  <c r="G129" i="46" s="1"/>
  <c r="I148" i="46"/>
  <c r="H128" i="46"/>
  <c r="G128" i="46" s="1"/>
  <c r="H130" i="46"/>
  <c r="G130" i="46" s="1"/>
  <c r="H115" i="46"/>
  <c r="G115" i="46" s="1"/>
  <c r="C197" i="46" l="1"/>
  <c r="H147" i="46" s="1"/>
  <c r="G147" i="46" s="1"/>
  <c r="G148" i="46" s="1"/>
  <c r="H148" i="46" l="1"/>
  <c r="F160" i="46" l="1"/>
  <c r="I160" i="46" s="1"/>
  <c r="F159" i="46"/>
  <c r="I159" i="46" s="1"/>
  <c r="F158" i="46"/>
  <c r="I158" i="46" s="1"/>
  <c r="F164" i="46"/>
  <c r="I164" i="46" s="1"/>
  <c r="F157" i="46"/>
  <c r="I157" i="46" s="1"/>
  <c r="I167" i="46" l="1"/>
  <c r="I170" i="46" s="1"/>
  <c r="H160" i="46"/>
  <c r="G160" i="46" s="1"/>
  <c r="H157" i="46"/>
  <c r="G157" i="46" s="1"/>
  <c r="H164" i="46"/>
  <c r="G164" i="46" s="1"/>
  <c r="H158" i="46"/>
  <c r="G158" i="46"/>
  <c r="H159" i="46"/>
  <c r="G159" i="46" s="1"/>
  <c r="G167" i="46" l="1"/>
  <c r="H167" i="46"/>
  <c r="H170" i="46" s="1"/>
  <c r="G170" i="46" l="1"/>
  <c r="K124" i="1" s="1"/>
  <c r="G7" i="2"/>
  <c r="G15" i="2" s="1"/>
  <c r="H86" i="64" s="1"/>
  <c r="H87" i="64" s="1"/>
  <c r="F94" i="64" s="1"/>
  <c r="F95" i="64" s="1"/>
  <c r="K127" i="1" s="1"/>
  <c r="H73" i="44" l="1"/>
  <c r="G35" i="79"/>
  <c r="G36" i="79" s="1"/>
  <c r="I28" i="79"/>
  <c r="I29" i="79" s="1"/>
  <c r="I17" i="79" s="1"/>
  <c r="G44" i="79"/>
  <c r="G45" i="79" s="1"/>
  <c r="I44" i="79"/>
  <c r="I45" i="79" s="1"/>
  <c r="I19" i="79" s="1"/>
  <c r="I35" i="79"/>
  <c r="I36" i="79" s="1"/>
  <c r="I18" i="79" s="1"/>
  <c r="G28" i="79"/>
  <c r="G29" i="79" s="1"/>
  <c r="H284" i="15"/>
  <c r="H285" i="15" s="1"/>
  <c r="H138" i="15"/>
  <c r="H139" i="15" s="1"/>
  <c r="H172" i="15"/>
  <c r="H173" i="15" s="1"/>
  <c r="G25" i="2"/>
  <c r="F50" i="22"/>
  <c r="F51" i="22" s="1"/>
  <c r="J13" i="8" s="1"/>
  <c r="F62" i="4"/>
  <c r="F63" i="4" s="1"/>
  <c r="K10" i="1" s="1"/>
  <c r="D28" i="54"/>
  <c r="D29" i="54" s="1"/>
  <c r="D38" i="54" s="1"/>
  <c r="F26" i="26"/>
  <c r="F27" i="26" s="1"/>
  <c r="F54" i="22"/>
  <c r="F55" i="22" s="1"/>
  <c r="K16" i="1" s="1"/>
  <c r="F59" i="21"/>
  <c r="F60" i="21" s="1"/>
  <c r="K23" i="1" s="1"/>
  <c r="K24" i="1" s="1"/>
  <c r="K55" i="1"/>
  <c r="K56" i="1" s="1"/>
  <c r="F24" i="22"/>
  <c r="F52" i="21"/>
  <c r="F53" i="21" s="1"/>
  <c r="J20" i="8" s="1"/>
  <c r="J21" i="8" s="1"/>
  <c r="E28" i="54"/>
  <c r="E29" i="54" s="1"/>
  <c r="E38" i="54" s="1"/>
  <c r="K11" i="1" s="1"/>
  <c r="F57" i="4"/>
  <c r="F58" i="4" s="1"/>
  <c r="J7" i="8" s="1"/>
  <c r="G23" i="2"/>
  <c r="J52" i="8"/>
  <c r="J48" i="8"/>
  <c r="I20" i="79" l="1"/>
  <c r="K9" i="79" s="1"/>
  <c r="K31" i="1" s="1"/>
  <c r="G19" i="79"/>
  <c r="K19" i="79" s="1"/>
  <c r="K45" i="79"/>
  <c r="K29" i="79"/>
  <c r="G17" i="79"/>
  <c r="K36" i="79"/>
  <c r="G18" i="79"/>
  <c r="K18" i="79" s="1"/>
  <c r="H74" i="44"/>
  <c r="H81" i="44" s="1"/>
  <c r="H82" i="44" s="1"/>
  <c r="H87" i="44" s="1"/>
  <c r="H91" i="44" s="1"/>
  <c r="G28" i="2"/>
  <c r="F27" i="22"/>
  <c r="J12" i="8" s="1"/>
  <c r="F26" i="22"/>
  <c r="K15" i="1" s="1"/>
  <c r="D41" i="54"/>
  <c r="J8" i="8" s="1"/>
  <c r="K17" i="79" l="1"/>
  <c r="K20" i="79" s="1"/>
  <c r="K10" i="79" s="1"/>
  <c r="J26" i="8" s="1"/>
  <c r="G20" i="79"/>
  <c r="G299" i="15"/>
  <c r="G300" i="15" s="1"/>
  <c r="G172" i="15"/>
  <c r="G173" i="15" s="1"/>
  <c r="D173" i="15" s="1"/>
  <c r="D11" i="15" s="1"/>
  <c r="G284" i="15"/>
  <c r="G285" i="15" s="1"/>
  <c r="D285" i="15" s="1"/>
  <c r="D12" i="15" s="1"/>
  <c r="G138" i="15"/>
  <c r="G139" i="15" s="1"/>
  <c r="D139" i="15" s="1"/>
  <c r="D10" i="15" s="1"/>
  <c r="K40" i="1"/>
  <c r="K41" i="1" s="1"/>
  <c r="K58" i="1" s="1"/>
  <c r="K129" i="1" s="1"/>
  <c r="J54" i="8" s="1"/>
  <c r="F28" i="26"/>
  <c r="F29" i="26" s="1"/>
  <c r="F30" i="26" s="1"/>
  <c r="K125" i="1" s="1"/>
  <c r="D13" i="15" l="1"/>
  <c r="D14" i="15" s="1"/>
  <c r="D24" i="15" s="1"/>
  <c r="J23" i="8" s="1"/>
  <c r="E300" i="15"/>
  <c r="D300" i="15" s="1"/>
  <c r="D72" i="7"/>
  <c r="K17" i="1"/>
  <c r="J14" i="8" s="1"/>
  <c r="J15" i="8" s="1"/>
  <c r="J49" i="8"/>
  <c r="K18" i="1" l="1"/>
  <c r="J29" i="8"/>
  <c r="J41" i="8" s="1"/>
  <c r="K26" i="1"/>
  <c r="K34" i="1" l="1"/>
  <c r="K110" i="1" s="1"/>
  <c r="K132" i="1" s="1"/>
  <c r="J38" i="8"/>
  <c r="J57" i="8" s="1"/>
  <c r="J34" i="8"/>
  <c r="J56" i="8" s="1"/>
  <c r="F90" i="12"/>
  <c r="F92" i="12" s="1"/>
  <c r="F94" i="12" s="1"/>
  <c r="F98" i="12" s="1"/>
  <c r="F101" i="12" s="1"/>
  <c r="K95" i="1" l="1"/>
  <c r="K131" i="1" s="1"/>
  <c r="K136" i="1" s="1"/>
  <c r="D70" i="7" s="1"/>
  <c r="D71" i="7" s="1"/>
  <c r="J60" i="8"/>
  <c r="J64" i="8" s="1"/>
  <c r="E68" i="8" s="1"/>
  <c r="E70" i="8" s="1"/>
  <c r="K139" i="1" l="1"/>
  <c r="H88" i="44" s="1"/>
  <c r="K138" i="1"/>
  <c r="E72" i="8"/>
  <c r="E73" i="8" s="1"/>
  <c r="E14" i="65" s="1"/>
  <c r="D73" i="7"/>
  <c r="E34" i="65" l="1"/>
  <c r="H34" i="65" s="1"/>
  <c r="E32" i="65"/>
  <c r="H32" i="65" s="1"/>
  <c r="E30" i="65"/>
  <c r="H30" i="65" s="1"/>
  <c r="E28" i="65"/>
  <c r="H28" i="65" s="1"/>
  <c r="E26" i="65"/>
  <c r="H26" i="65" s="1"/>
  <c r="E24" i="65"/>
  <c r="H24" i="65" s="1"/>
  <c r="J24" i="65" s="1"/>
  <c r="E35" i="65"/>
  <c r="H35" i="65" s="1"/>
  <c r="E33" i="65"/>
  <c r="H33" i="65" s="1"/>
  <c r="E31" i="65"/>
  <c r="H31" i="65" s="1"/>
  <c r="E29" i="65"/>
  <c r="H29" i="65" s="1"/>
  <c r="E27" i="65"/>
  <c r="H27" i="65" s="1"/>
  <c r="E25" i="65"/>
  <c r="H25" i="65" s="1"/>
  <c r="K141" i="1"/>
  <c r="C6" i="9" s="1"/>
  <c r="D79" i="7"/>
  <c r="K24" i="65" l="1"/>
  <c r="L24" i="65" s="1"/>
  <c r="J25" i="65" s="1"/>
  <c r="K146" i="1"/>
  <c r="D80" i="7"/>
  <c r="K25" i="65" l="1"/>
  <c r="L25" i="65" s="1"/>
  <c r="D86" i="7"/>
  <c r="J26" i="65" l="1"/>
  <c r="K26" i="65" s="1"/>
  <c r="L26" i="65" s="1"/>
  <c r="D88" i="7"/>
  <c r="D89" i="7"/>
  <c r="J27" i="65" l="1"/>
  <c r="K27" i="65" s="1"/>
  <c r="L27" i="65" s="1"/>
  <c r="J28" i="65" s="1"/>
  <c r="D91" i="7"/>
  <c r="K147" i="1" s="1"/>
  <c r="H89" i="44"/>
  <c r="H90" i="44" s="1"/>
  <c r="H92" i="44" s="1"/>
  <c r="K156" i="1" s="1"/>
  <c r="K28" i="65" l="1"/>
  <c r="L28" i="65" s="1"/>
  <c r="C7" i="9"/>
  <c r="C10" i="9" s="1"/>
  <c r="K152" i="1"/>
  <c r="D4" i="53" s="1"/>
  <c r="D20" i="53" l="1"/>
  <c r="D26" i="53"/>
  <c r="D23" i="53"/>
  <c r="D18" i="53"/>
  <c r="D17" i="53"/>
  <c r="D13" i="53"/>
  <c r="D24" i="53"/>
  <c r="D21" i="53"/>
  <c r="D25" i="53"/>
  <c r="D15" i="53"/>
  <c r="D22" i="53"/>
  <c r="D19" i="53"/>
  <c r="D16" i="53"/>
  <c r="D12" i="53"/>
  <c r="J29" i="65"/>
  <c r="K29" i="65" s="1"/>
  <c r="L29" i="65" s="1"/>
  <c r="J30" i="65" s="1"/>
  <c r="K155" i="1"/>
  <c r="K157" i="1" s="1"/>
  <c r="B4" i="31" s="1"/>
  <c r="D18" i="31" s="1"/>
  <c r="I19" i="53" l="1"/>
  <c r="C52" i="53"/>
  <c r="D52" i="53" s="1"/>
  <c r="H52" i="53" s="1"/>
  <c r="C54" i="53"/>
  <c r="I21" i="53"/>
  <c r="C36" i="53"/>
  <c r="G36" i="53" s="1"/>
  <c r="I36" i="53" s="1"/>
  <c r="I54" i="53" s="1"/>
  <c r="I22" i="53"/>
  <c r="C37" i="53"/>
  <c r="G37" i="53" s="1"/>
  <c r="I37" i="53" s="1"/>
  <c r="I55" i="53" s="1"/>
  <c r="E55" i="53" s="1"/>
  <c r="C55" i="53"/>
  <c r="I23" i="53"/>
  <c r="C56" i="53"/>
  <c r="C38" i="53"/>
  <c r="G38" i="53" s="1"/>
  <c r="I38" i="53" s="1"/>
  <c r="I56" i="53" s="1"/>
  <c r="E56" i="53" s="1"/>
  <c r="H15" i="53"/>
  <c r="C48" i="53"/>
  <c r="D48" i="53" s="1"/>
  <c r="G48" i="53" s="1"/>
  <c r="C59" i="53"/>
  <c r="D59" i="53" s="1"/>
  <c r="G59" i="53" s="1"/>
  <c r="H26" i="53"/>
  <c r="I18" i="53"/>
  <c r="C51" i="53"/>
  <c r="D51" i="53" s="1"/>
  <c r="H51" i="53" s="1"/>
  <c r="C57" i="53"/>
  <c r="I24" i="53"/>
  <c r="C46" i="53"/>
  <c r="H12" i="53"/>
  <c r="D28" i="53"/>
  <c r="C47" i="53"/>
  <c r="H13" i="53"/>
  <c r="J14" i="53" s="1"/>
  <c r="C49" i="53"/>
  <c r="I16" i="53"/>
  <c r="I25" i="53"/>
  <c r="C58" i="53"/>
  <c r="I17" i="53"/>
  <c r="C50" i="53"/>
  <c r="I20" i="53"/>
  <c r="C53" i="53"/>
  <c r="D53" i="53" s="1"/>
  <c r="H53" i="53" s="1"/>
  <c r="K30" i="65"/>
  <c r="L30" i="65" s="1"/>
  <c r="J31" i="65" s="1"/>
  <c r="F18" i="31"/>
  <c r="F20" i="31" s="1"/>
  <c r="D20" i="31"/>
  <c r="E18" i="31"/>
  <c r="E20" i="31" s="1"/>
  <c r="D55" i="53" l="1"/>
  <c r="H55" i="53" s="1"/>
  <c r="D56" i="53"/>
  <c r="H56" i="53" s="1"/>
  <c r="K14" i="53"/>
  <c r="I14" i="53" s="1"/>
  <c r="I47" i="53" s="1"/>
  <c r="E47" i="53" s="1"/>
  <c r="H47" i="53" s="1"/>
  <c r="C61" i="53"/>
  <c r="D46" i="53"/>
  <c r="I57" i="53"/>
  <c r="E54" i="53"/>
  <c r="D54" i="53" s="1"/>
  <c r="H54" i="53" s="1"/>
  <c r="I50" i="53"/>
  <c r="E50" i="53" s="1"/>
  <c r="D50" i="53" s="1"/>
  <c r="H50" i="53" s="1"/>
  <c r="I58" i="53"/>
  <c r="E58" i="53" s="1"/>
  <c r="D58" i="53" s="1"/>
  <c r="H58" i="53" s="1"/>
  <c r="I49" i="53"/>
  <c r="E49" i="53" s="1"/>
  <c r="D49" i="53" s="1"/>
  <c r="H49" i="53" s="1"/>
  <c r="K31" i="65"/>
  <c r="L31" i="65" s="1"/>
  <c r="J32" i="65" s="1"/>
  <c r="E57" i="53" l="1"/>
  <c r="D57" i="53" s="1"/>
  <c r="H57" i="53" s="1"/>
  <c r="J57" i="53" s="1"/>
  <c r="K57" i="53"/>
  <c r="G46" i="53"/>
  <c r="D47" i="53"/>
  <c r="G47" i="53" s="1"/>
  <c r="K32" i="65"/>
  <c r="L32" i="65" s="1"/>
  <c r="E61" i="53" l="1"/>
  <c r="B8" i="31" s="1"/>
  <c r="D61" i="53"/>
  <c r="J33" i="65"/>
  <c r="K33" i="65" s="1"/>
  <c r="L33" i="65" s="1"/>
  <c r="J34" i="65" s="1"/>
  <c r="K34" i="65" l="1"/>
  <c r="L34" i="65" s="1"/>
  <c r="J35" i="65" l="1"/>
  <c r="K35" i="65" s="1"/>
  <c r="L35" i="65" s="1"/>
  <c r="J36" i="65" s="1"/>
  <c r="K36" i="65" l="1"/>
  <c r="L36" i="65" s="1"/>
  <c r="E24" i="31"/>
  <c r="E27" i="31" s="1"/>
  <c r="D24" i="31"/>
  <c r="D27" i="31" s="1"/>
  <c r="F24" i="31"/>
  <c r="F27" i="31" s="1"/>
  <c r="J37" i="65" l="1"/>
  <c r="K37" i="65" s="1"/>
  <c r="L37" i="65" s="1"/>
  <c r="J38" i="65" s="1"/>
  <c r="E20" i="32"/>
  <c r="E22" i="32" s="1"/>
  <c r="E40" i="32"/>
  <c r="E42" i="32" s="1"/>
  <c r="E14" i="32"/>
  <c r="E16" i="32" s="1"/>
  <c r="E34" i="32"/>
  <c r="E36" i="32" s="1"/>
  <c r="E28" i="32"/>
  <c r="E30" i="32" s="1"/>
  <c r="K38" i="65" l="1"/>
  <c r="L38" i="65" s="1"/>
  <c r="J39" i="65" s="1"/>
  <c r="K39" i="65" l="1"/>
  <c r="L39" i="65" s="1"/>
  <c r="J40" i="65" s="1"/>
  <c r="K40" i="65" l="1"/>
  <c r="L40" i="65" s="1"/>
  <c r="J41" i="65" l="1"/>
  <c r="K41" i="65" s="1"/>
  <c r="L41" i="65" s="1"/>
  <c r="J42" i="65" s="1"/>
  <c r="K42" i="65" l="1"/>
  <c r="L42" i="65" s="1"/>
  <c r="J43" i="65" l="1"/>
  <c r="K43" i="65" s="1"/>
  <c r="L43" i="65" s="1"/>
  <c r="J44" i="65" s="1"/>
  <c r="K44" i="65" l="1"/>
  <c r="L44" i="65" s="1"/>
  <c r="J45" i="65" l="1"/>
  <c r="K45" i="65" l="1"/>
  <c r="L45" i="65" s="1"/>
  <c r="J46" i="65" l="1"/>
  <c r="K46" i="65" l="1"/>
  <c r="L46" i="65" s="1"/>
  <c r="J47" i="65" l="1"/>
  <c r="K47" i="65" l="1"/>
  <c r="L47" i="65" s="1"/>
  <c r="F56" i="65" s="1"/>
  <c r="H56" i="65" l="1"/>
  <c r="I56" i="65" s="1"/>
  <c r="J56" i="65" l="1"/>
  <c r="F57" i="65" s="1"/>
  <c r="H57" i="65" s="1"/>
  <c r="I57" i="65" l="1"/>
  <c r="J57" i="65" l="1"/>
  <c r="F58" i="65" s="1"/>
  <c r="H58" i="65" s="1"/>
  <c r="I58" i="65" s="1"/>
  <c r="J58" i="65" s="1"/>
  <c r="F59" i="65" s="1"/>
  <c r="H59" i="65" s="1"/>
  <c r="I59" i="65" s="1"/>
  <c r="J59" i="65" s="1"/>
  <c r="F60" i="65" s="1"/>
  <c r="H60" i="65" s="1"/>
  <c r="I60" i="65" s="1"/>
  <c r="J60" i="65" s="1"/>
  <c r="F61" i="65" s="1"/>
  <c r="H61" i="65" s="1"/>
  <c r="I61" i="65" s="1"/>
  <c r="J61" i="65" s="1"/>
  <c r="F62" i="65" s="1"/>
  <c r="H62" i="65" s="1"/>
  <c r="I62" i="65" s="1"/>
  <c r="J62" i="65" s="1"/>
  <c r="F63" i="65" s="1"/>
  <c r="H63" i="65" s="1"/>
  <c r="I63" i="65" s="1"/>
  <c r="J63" i="65" s="1"/>
  <c r="F64" i="65" s="1"/>
  <c r="H64" i="65" s="1"/>
  <c r="I64" i="65" s="1"/>
  <c r="J64" i="65" s="1"/>
  <c r="F65" i="65" s="1"/>
  <c r="H65" i="65" l="1"/>
  <c r="I65" i="65" s="1"/>
  <c r="J65" i="65" s="1"/>
  <c r="F66" i="65" s="1"/>
  <c r="H66" i="65" s="1"/>
  <c r="I66" i="65" s="1"/>
  <c r="J66" i="65" s="1"/>
  <c r="F67" i="65" s="1"/>
  <c r="H67" i="65" s="1"/>
  <c r="I67" i="65" l="1"/>
  <c r="J67" i="65" s="1"/>
</calcChain>
</file>

<file path=xl/sharedStrings.xml><?xml version="1.0" encoding="utf-8"?>
<sst xmlns="http://schemas.openxmlformats.org/spreadsheetml/2006/main" count="6125" uniqueCount="2855">
  <si>
    <t>True-Up</t>
  </si>
  <si>
    <t>CWIP</t>
  </si>
  <si>
    <t>Balances</t>
  </si>
  <si>
    <t>In Service</t>
  </si>
  <si>
    <t>Total:</t>
  </si>
  <si>
    <t>Income Taxes</t>
  </si>
  <si>
    <t>Calculation of Components of Working Capital</t>
  </si>
  <si>
    <t xml:space="preserve">Prepayments is an allocated portion of Total Prepayments based </t>
  </si>
  <si>
    <t>Incentive</t>
  </si>
  <si>
    <t>ROE Adder</t>
  </si>
  <si>
    <t>13-Month Avg.</t>
  </si>
  <si>
    <t>Revenue Credits</t>
  </si>
  <si>
    <t>FERC</t>
  </si>
  <si>
    <t>Rate</t>
  </si>
  <si>
    <t>HV</t>
  </si>
  <si>
    <t>LV</t>
  </si>
  <si>
    <t>FICA</t>
  </si>
  <si>
    <t>Inputs are shaded yellow</t>
  </si>
  <si>
    <t>Forecast Period</t>
  </si>
  <si>
    <t>Monthly</t>
  </si>
  <si>
    <t>Retail</t>
  </si>
  <si>
    <t>Revenues</t>
  </si>
  <si>
    <t>in Revenue</t>
  </si>
  <si>
    <t>Interest</t>
  </si>
  <si>
    <t>Calculation of Components of Cost of Capital Rate</t>
  </si>
  <si>
    <t>Cost of Preferred Stock</t>
  </si>
  <si>
    <t>Debt</t>
  </si>
  <si>
    <t>Preferred Stock</t>
  </si>
  <si>
    <t>Equity</t>
  </si>
  <si>
    <t>True Up Adjustment</t>
  </si>
  <si>
    <t>Excess (-) or</t>
  </si>
  <si>
    <t>Shortfall (+)</t>
  </si>
  <si>
    <t>True Up Adjustment:</t>
  </si>
  <si>
    <t>SCE Records</t>
  </si>
  <si>
    <t>FF1 207.104g</t>
  </si>
  <si>
    <t>Apportionment</t>
  </si>
  <si>
    <t>Factor</t>
  </si>
  <si>
    <t>California</t>
  </si>
  <si>
    <t>New Mexico</t>
  </si>
  <si>
    <t>Arizona</t>
  </si>
  <si>
    <t>D.C.</t>
  </si>
  <si>
    <t>State</t>
  </si>
  <si>
    <t>Statutory</t>
  </si>
  <si>
    <t>1) Federal Income Tax rate</t>
  </si>
  <si>
    <t>Federal</t>
  </si>
  <si>
    <t>2) Composite State Income Tax Rate</t>
  </si>
  <si>
    <t>Fed Ins Cont Amt -- Current</t>
  </si>
  <si>
    <t>FICA/OASDI Emp Incntv.</t>
  </si>
  <si>
    <t>FICA/HIT Emp Incntv.</t>
  </si>
  <si>
    <t>Long-Term Debt Cost Percentage</t>
  </si>
  <si>
    <t>Preferred Stock Amount -- Account 204</t>
  </si>
  <si>
    <t>Cost of Preferred Stock -- Account 437</t>
  </si>
  <si>
    <t>Preferred Stock Cost Percentage</t>
  </si>
  <si>
    <t>Common Stock Equity Amount</t>
  </si>
  <si>
    <t>Less Preferred Stock Amount -- Account 204</t>
  </si>
  <si>
    <t>Total Capital</t>
  </si>
  <si>
    <t>Preferred Stock Amount</t>
  </si>
  <si>
    <t>Capital Percentages</t>
  </si>
  <si>
    <t>Common Stock Capital Percentage</t>
  </si>
  <si>
    <t>Weighted Cost of Long Term Debt</t>
  </si>
  <si>
    <t>Weighted Cost of Preferred Stock</t>
  </si>
  <si>
    <t>Weighted Cost of Common Stock</t>
  </si>
  <si>
    <t>Cost of Capital Rate</t>
  </si>
  <si>
    <t>Return on Capital: Rate Base times Cost of Capital Rate</t>
  </si>
  <si>
    <t>Network Upgrade Credits</t>
  </si>
  <si>
    <t>Network Upgrade Interest Expense</t>
  </si>
  <si>
    <t>Transmission Plant Allocation Factor</t>
  </si>
  <si>
    <t>Total General Plant</t>
  </si>
  <si>
    <t>Total Electric Miscellaneous Intangible Plant</t>
  </si>
  <si>
    <t>Electric Miscellaneous Intangible Plant</t>
  </si>
  <si>
    <t>Property Taxes</t>
  </si>
  <si>
    <t>Total Electric Payroll Tax Expense</t>
  </si>
  <si>
    <t>PRIOR YEAR TRANSMISSION REVENUE REQUIREMENT</t>
  </si>
  <si>
    <t>Prior Year</t>
  </si>
  <si>
    <t>Jan</t>
  </si>
  <si>
    <t>Feb</t>
  </si>
  <si>
    <t>Mar</t>
  </si>
  <si>
    <t>Apr</t>
  </si>
  <si>
    <t>Jun</t>
  </si>
  <si>
    <t>Jul</t>
  </si>
  <si>
    <t>Aug</t>
  </si>
  <si>
    <t>Sep</t>
  </si>
  <si>
    <t>Oct</t>
  </si>
  <si>
    <t>Nov</t>
  </si>
  <si>
    <t>Dec</t>
  </si>
  <si>
    <t>HV/LV</t>
  </si>
  <si>
    <t>---</t>
  </si>
  <si>
    <t>Revenue</t>
  </si>
  <si>
    <t>Prior Year Incentive Adder =</t>
  </si>
  <si>
    <t>Other Taxes</t>
  </si>
  <si>
    <t xml:space="preserve"> = LV Allocation Factor</t>
  </si>
  <si>
    <t xml:space="preserve"> = HV Allocation Factor</t>
  </si>
  <si>
    <t>SCE Retail Standby Rate Revenue</t>
  </si>
  <si>
    <t>TRR Values</t>
  </si>
  <si>
    <t>Average BOY/EOY Value:</t>
  </si>
  <si>
    <t>Beginning of year ("BOY") amount</t>
  </si>
  <si>
    <t>c) Income Taxes</t>
  </si>
  <si>
    <t>Return on Capital</t>
  </si>
  <si>
    <t xml:space="preserve">Enter positive </t>
  </si>
  <si>
    <t>Miscellaneous General Expense</t>
  </si>
  <si>
    <t>End of Year ("EOY") amount</t>
  </si>
  <si>
    <t>Working Capital</t>
  </si>
  <si>
    <t>Materials and Supplies</t>
  </si>
  <si>
    <t>Prepayments</t>
  </si>
  <si>
    <t>Transmission Wages and Salaries Allocation Factor</t>
  </si>
  <si>
    <t>Transmission Plant Allocation Factor:</t>
  </si>
  <si>
    <t>Prior Year TRR</t>
  </si>
  <si>
    <t>True-Up Adjustment</t>
  </si>
  <si>
    <t>Subtotal:</t>
  </si>
  <si>
    <t>Calculation of Accumulated Deferred Income Taxes</t>
  </si>
  <si>
    <t>Account</t>
  </si>
  <si>
    <t>Description</t>
  </si>
  <si>
    <t>O&amp;M Expense</t>
  </si>
  <si>
    <t>A&amp;G Salaries</t>
  </si>
  <si>
    <t>Office Supplies and Expenses</t>
  </si>
  <si>
    <t>A&amp;G Expenses Transferred</t>
  </si>
  <si>
    <t>Outside Services Employed</t>
  </si>
  <si>
    <t>Property Insurance</t>
  </si>
  <si>
    <t>Injuries and Damages</t>
  </si>
  <si>
    <t>Employee Pensions and Benefits</t>
  </si>
  <si>
    <t>Franchise Requirements</t>
  </si>
  <si>
    <t>Regulatory Commission Expenses</t>
  </si>
  <si>
    <t>Duplicate Charges</t>
  </si>
  <si>
    <t>General Advertising Expense</t>
  </si>
  <si>
    <t>Rents</t>
  </si>
  <si>
    <t>Maintenance of General Plant</t>
  </si>
  <si>
    <t>Acct.</t>
  </si>
  <si>
    <t>Excluded</t>
  </si>
  <si>
    <t>FF1 323.181b</t>
  </si>
  <si>
    <t>FF1 323.182b</t>
  </si>
  <si>
    <t>FF1 323.183b</t>
  </si>
  <si>
    <t>FF1 323.184b</t>
  </si>
  <si>
    <t>FF1 323.185b</t>
  </si>
  <si>
    <t>FF1 323.186b</t>
  </si>
  <si>
    <t>FF1 323.187b</t>
  </si>
  <si>
    <t>FF1 323.188b</t>
  </si>
  <si>
    <t>FF1 323.189b</t>
  </si>
  <si>
    <t>FF1 323.190b</t>
  </si>
  <si>
    <t>FF1 323.191b</t>
  </si>
  <si>
    <t>FF1 323.192b</t>
  </si>
  <si>
    <t>FF1 323.193b</t>
  </si>
  <si>
    <t>FF1 323.196b</t>
  </si>
  <si>
    <t>Total A&amp;G Expenses:</t>
  </si>
  <si>
    <t>Transmission Wages and Salaries Allocation Factor:</t>
  </si>
  <si>
    <t xml:space="preserve"> = Wholesale Base TRR</t>
  </si>
  <si>
    <t xml:space="preserve"> = Total Wholesale TRBAA</t>
  </si>
  <si>
    <t xml:space="preserve"> = HV Wholesale TRBAA</t>
  </si>
  <si>
    <t xml:space="preserve"> = LV Wholesale TRBAA</t>
  </si>
  <si>
    <t xml:space="preserve"> = Total Standby Transmission Revenues</t>
  </si>
  <si>
    <t>TOTAL</t>
  </si>
  <si>
    <t>Wholesale TRBAA:</t>
  </si>
  <si>
    <t>SCE's wholesale rates are as follows:</t>
  </si>
  <si>
    <t>1) Low Voltage Access Charge</t>
  </si>
  <si>
    <t>2) Low Voltage Wheeling Access Charge</t>
  </si>
  <si>
    <t>3) High Voltage Utility-Specific Rate</t>
  </si>
  <si>
    <t>4) HV Existing Contracts Access Charge</t>
  </si>
  <si>
    <t>5) LV Existing Contracts Access Charge</t>
  </si>
  <si>
    <t>Calculation of Low Voltage Access Charge:</t>
  </si>
  <si>
    <t>per kWh</t>
  </si>
  <si>
    <t>Calculation of Low Voltage Wheeling Access Charge:</t>
  </si>
  <si>
    <t>Calculation of High Voltage Utility Specific Rate:</t>
  </si>
  <si>
    <t>(used by ISO in billing of ISO TAC)</t>
  </si>
  <si>
    <t>SCE HV TRR =</t>
  </si>
  <si>
    <t>Calculation of High Voltage Existing Contracts Access Charge:</t>
  </si>
  <si>
    <t>MW</t>
  </si>
  <si>
    <t>Calculation of Low Voltage Existing Contracts Access Charge:</t>
  </si>
  <si>
    <t>Wholesale Base TRR:</t>
  </si>
  <si>
    <t>Determination of Incentive Adders Components of the TRR</t>
  </si>
  <si>
    <t>Negative amount</t>
  </si>
  <si>
    <t>Rate Base Item</t>
  </si>
  <si>
    <t>Method</t>
  </si>
  <si>
    <t>Calculation</t>
  </si>
  <si>
    <t>BOY/EOY Avg.</t>
  </si>
  <si>
    <t>EOY Value:</t>
  </si>
  <si>
    <t>Transmission Plant Held for Future Use</t>
  </si>
  <si>
    <t>2) Calculation of Prepayments</t>
  </si>
  <si>
    <t>Adjustment</t>
  </si>
  <si>
    <t>1) Calculation of Materials and Supplies</t>
  </si>
  <si>
    <t>FF1 111.57d</t>
  </si>
  <si>
    <t>FF1 111.57c</t>
  </si>
  <si>
    <t>Prepayments:</t>
  </si>
  <si>
    <t>Accumulated Depreciation Reserve</t>
  </si>
  <si>
    <t>Accumulated Deferred Income Taxes</t>
  </si>
  <si>
    <t>General Plant</t>
  </si>
  <si>
    <t>Accumulated Depreciation Reserve Balances</t>
  </si>
  <si>
    <t>Southern California Edison Company</t>
  </si>
  <si>
    <t>Formula Transmission Rate</t>
  </si>
  <si>
    <t>Notes</t>
  </si>
  <si>
    <t xml:space="preserve">FERC Form 1 Reference </t>
  </si>
  <si>
    <t>or Instruction</t>
  </si>
  <si>
    <t>Value</t>
  </si>
  <si>
    <t>Cash Working Capital</t>
  </si>
  <si>
    <t>Rate Base</t>
  </si>
  <si>
    <t>TRR Component</t>
  </si>
  <si>
    <t>Amount</t>
  </si>
  <si>
    <t>RATE BASE</t>
  </si>
  <si>
    <t>RETURN AND CAPITALIZATION CALCULATIONS</t>
  </si>
  <si>
    <t>INCOME TAXES</t>
  </si>
  <si>
    <t>Source</t>
  </si>
  <si>
    <t>December</t>
  </si>
  <si>
    <t>January</t>
  </si>
  <si>
    <t>February</t>
  </si>
  <si>
    <t>April</t>
  </si>
  <si>
    <t>May</t>
  </si>
  <si>
    <t xml:space="preserve">June </t>
  </si>
  <si>
    <t>July</t>
  </si>
  <si>
    <t>August</t>
  </si>
  <si>
    <t>September</t>
  </si>
  <si>
    <t xml:space="preserve">October </t>
  </si>
  <si>
    <t>November</t>
  </si>
  <si>
    <t>October</t>
  </si>
  <si>
    <t>Month</t>
  </si>
  <si>
    <t>Year</t>
  </si>
  <si>
    <t>Data</t>
  </si>
  <si>
    <t>March</t>
  </si>
  <si>
    <t>Total</t>
  </si>
  <si>
    <t>Totals:</t>
  </si>
  <si>
    <t>Forecast</t>
  </si>
  <si>
    <t>Period</t>
  </si>
  <si>
    <t>Transmission Wages and Salary Allocation Factor</t>
  </si>
  <si>
    <t>ADIT</t>
  </si>
  <si>
    <t>Calculation of Allocation Factors</t>
  </si>
  <si>
    <t xml:space="preserve">1) The Prior Year TRR component is the TRR associated with the Prior Year (most recent calendar year).  </t>
  </si>
  <si>
    <t>Cumulative</t>
  </si>
  <si>
    <t>Reference</t>
  </si>
  <si>
    <t>Bonds -- Account 221</t>
  </si>
  <si>
    <t>Less Reacquired Bonds -- Account 222</t>
  </si>
  <si>
    <t>Other Long Term Debt -- Account 224</t>
  </si>
  <si>
    <t>Long Term Debt Amount</t>
  </si>
  <si>
    <t>Amortization of Debt Discount and Expense -- Account 428</t>
  </si>
  <si>
    <t>Interest on Long-Term Debt -- Account 427</t>
  </si>
  <si>
    <t>Amortization of Loss on Reacquired Debt -- Account 428.1</t>
  </si>
  <si>
    <t>Enter negative</t>
  </si>
  <si>
    <t>Less Amort. of Gain on Reacquired Debt -- Account 429.1</t>
  </si>
  <si>
    <t>Total Proprietary Capital</t>
  </si>
  <si>
    <t>See Note 2</t>
  </si>
  <si>
    <t>See Note 1</t>
  </si>
  <si>
    <t>SCE Return on Equity</t>
  </si>
  <si>
    <t>Federal Income Tax Rate</t>
  </si>
  <si>
    <t>Used for Tax calculation</t>
  </si>
  <si>
    <t>Where:</t>
  </si>
  <si>
    <t>RB = Rate Base</t>
  </si>
  <si>
    <t>CTR = Composite Tax Rate</t>
  </si>
  <si>
    <t>CO = Credits and Other</t>
  </si>
  <si>
    <t>Annual Cost of Capital Components</t>
  </si>
  <si>
    <t>CWIP:</t>
  </si>
  <si>
    <t>Yes</t>
  </si>
  <si>
    <t>ROE adder:</t>
  </si>
  <si>
    <t>No</t>
  </si>
  <si>
    <t>Tehachapi</t>
  </si>
  <si>
    <t>Project</t>
  </si>
  <si>
    <t>1) Rancho Vista</t>
  </si>
  <si>
    <t>2) Tehachapi</t>
  </si>
  <si>
    <t>End-of-Year</t>
  </si>
  <si>
    <t>13-Month</t>
  </si>
  <si>
    <t>Average</t>
  </si>
  <si>
    <t>Notes:</t>
  </si>
  <si>
    <t>Franchise Fee Expense:</t>
  </si>
  <si>
    <t>From</t>
  </si>
  <si>
    <t>To</t>
  </si>
  <si>
    <t>FF Factor</t>
  </si>
  <si>
    <t>U Factor</t>
  </si>
  <si>
    <t>Note:</t>
  </si>
  <si>
    <t>Total Wages and Salaries</t>
  </si>
  <si>
    <t>Less Total A&amp;G Wages and Salaries</t>
  </si>
  <si>
    <t>Transmission W&amp;S Allocation Factor:</t>
  </si>
  <si>
    <t>CWIP Plant</t>
  </si>
  <si>
    <t>b) EOY calculation</t>
  </si>
  <si>
    <t>Total Prepayments</t>
  </si>
  <si>
    <t>Working Capital amounts</t>
  </si>
  <si>
    <t>Plant Balances For Incentive Projects Receiving either ROE Incentives ("Transmission Incentive Plant")</t>
  </si>
  <si>
    <t>or CWIP ("CWIP Plant")</t>
  </si>
  <si>
    <t>Input data is shaded yellow</t>
  </si>
  <si>
    <t>A) Summary of Incentive Project plant balances receiving ROE incentives</t>
  </si>
  <si>
    <t>("Transmission Incentive Plant") and/or CWIP ("CWIP Plant") and calculation</t>
  </si>
  <si>
    <t>Portion</t>
  </si>
  <si>
    <t>Depreciation Expense</t>
  </si>
  <si>
    <t>OTHER TAXES</t>
  </si>
  <si>
    <t>Payroll Taxes Expense</t>
  </si>
  <si>
    <t>Cost of Long Term Debt</t>
  </si>
  <si>
    <t>Long Term Debt Cost Percentage</t>
  </si>
  <si>
    <t>Long Term Debt Capital Percentage</t>
  </si>
  <si>
    <t>Preferred Stock Capital Percentage</t>
  </si>
  <si>
    <t>Composite Tax Rate</t>
  </si>
  <si>
    <t>State Income Tax Rate</t>
  </si>
  <si>
    <t>Calculation of Cost of Capital Rate</t>
  </si>
  <si>
    <t>Calculation of Credits and Other:</t>
  </si>
  <si>
    <t>Credits and Other</t>
  </si>
  <si>
    <t>Income Taxes:</t>
  </si>
  <si>
    <t>Component of Prior Year TRR:</t>
  </si>
  <si>
    <t>A&amp;G Expense</t>
  </si>
  <si>
    <t>Prior Year Incentive Adder</t>
  </si>
  <si>
    <t>TOTAL BASE TRANSMISSION REVENUE REQUIREMENT</t>
  </si>
  <si>
    <t>For Retail Purposes</t>
  </si>
  <si>
    <t>Calculation of Long Term Debt Amount</t>
  </si>
  <si>
    <t>Calculation of Cost of Long-Term Debt</t>
  </si>
  <si>
    <t>Calculation of Common Stock Equity Amount</t>
  </si>
  <si>
    <t>Less Amortization of Premium on Debt -- Account 429</t>
  </si>
  <si>
    <t>Forecast Plant Additions:</t>
  </si>
  <si>
    <t>AFCR:</t>
  </si>
  <si>
    <t>1) Calculation of Incremental Return on Equity Factor</t>
  </si>
  <si>
    <t>2) Determination of multiplicative factors for use in calculating Incentive Adders:</t>
  </si>
  <si>
    <t>3) Calculation of Prior Year Incentive Adder (EOY)</t>
  </si>
  <si>
    <t>Multiplicative</t>
  </si>
  <si>
    <t>Adder</t>
  </si>
  <si>
    <t>Working Capital Amounts</t>
  </si>
  <si>
    <t>Accumulated Depreciation Reserve Amounts</t>
  </si>
  <si>
    <t>True Up</t>
  </si>
  <si>
    <t>Calculation of Administrative and General Expense</t>
  </si>
  <si>
    <t>Income Tax Rate =</t>
  </si>
  <si>
    <t>Composite State</t>
  </si>
  <si>
    <t>See Note 3</t>
  </si>
  <si>
    <t>MWh</t>
  </si>
  <si>
    <t>FF1 354.28b</t>
  </si>
  <si>
    <t>FF1 354.27b</t>
  </si>
  <si>
    <t>Uncollectibles Expense</t>
  </si>
  <si>
    <t>Franchise Fees Expense</t>
  </si>
  <si>
    <t>Difference</t>
  </si>
  <si>
    <t>(1/(1-CTR))</t>
  </si>
  <si>
    <t>Composite Tax Rate ("CTR")</t>
  </si>
  <si>
    <t>for apportionment factors and state tax rates.</t>
  </si>
  <si>
    <t xml:space="preserve">Determination of amount of Abandoned Plant and Abandoned Plant Amortization Expense </t>
  </si>
  <si>
    <t>Abandoned Plant Amortization Expense</t>
  </si>
  <si>
    <t>Less Account  924:</t>
  </si>
  <si>
    <t>Property Insurance portion of A&amp;G:</t>
  </si>
  <si>
    <t>Administrative and General Expenses:</t>
  </si>
  <si>
    <t>The Incremental Return on Equity Factor is the incremental Prior Year TRR expressed per 100 basis points of</t>
  </si>
  <si>
    <t>Incremental</t>
  </si>
  <si>
    <t>of balances needed to determine the following:</t>
  </si>
  <si>
    <t>TIP Net Plant</t>
  </si>
  <si>
    <t>EOY</t>
  </si>
  <si>
    <t xml:space="preserve">Multiplicative factors are used to calculate the Incentive Adders on an Transmission Incentive Project specific basis.  </t>
  </si>
  <si>
    <t>Cells shaded yellow are input cells</t>
  </si>
  <si>
    <t>Wages and Salaries AF:</t>
  </si>
  <si>
    <t>General and Intangible Plant is an allocated portion of Total G&amp;I Plant based on the Trans. W&amp;S Allocation Factor</t>
  </si>
  <si>
    <t>General + Intangible Plant:</t>
  </si>
  <si>
    <t>Distribution</t>
  </si>
  <si>
    <t>Transmission</t>
  </si>
  <si>
    <t>G + I Depreciation Reserve</t>
  </si>
  <si>
    <t>General + Intangible Plant Depreciation Reserve</t>
  </si>
  <si>
    <t>Transmission Wages and Salaries AF:</t>
  </si>
  <si>
    <t>Upon Commission approval of recovery of abandoned plant costs for a specific project or projects, SCE will</t>
  </si>
  <si>
    <t>Abandoned Plant Amortization Expense:</t>
  </si>
  <si>
    <t>Abandoned Plant</t>
  </si>
  <si>
    <t>Abandoned Plant (EOY):</t>
  </si>
  <si>
    <t>Abandoned Plant (BOY/EOY Average):</t>
  </si>
  <si>
    <t>Initially Abandoned Plant Amortization Expense and Abandoned Plant are both zero.</t>
  </si>
  <si>
    <t>complete this worksheet in accordance with that Order.</t>
  </si>
  <si>
    <t>General Plant + Electric Miscellaneous Intangible Plant</t>
  </si>
  <si>
    <t>Incremental Forecast Period TRR</t>
  </si>
  <si>
    <t xml:space="preserve">Line </t>
  </si>
  <si>
    <t>1) Transmission Plant - ISO</t>
  </si>
  <si>
    <t>2) Distribution Plant - ISO</t>
  </si>
  <si>
    <t>Average value:</t>
  </si>
  <si>
    <t>Expense</t>
  </si>
  <si>
    <t>Forecast Gross Load:</t>
  </si>
  <si>
    <t>Sum of above</t>
  </si>
  <si>
    <t>per kW</t>
  </si>
  <si>
    <t>1) Transmission Depreciation Reserve - ISO</t>
  </si>
  <si>
    <t xml:space="preserve"> </t>
  </si>
  <si>
    <t>Line</t>
  </si>
  <si>
    <t>Income Tax Adjustment to the TRR:</t>
  </si>
  <si>
    <t>Wholesale South Georgia</t>
  </si>
  <si>
    <t>ISO Transmission Wages and Salaries</t>
  </si>
  <si>
    <t>Transmission Plant - ISO</t>
  </si>
  <si>
    <t>Distribution Plant - ISO</t>
  </si>
  <si>
    <t>SCE Retail Sales at ISO Grid level:</t>
  </si>
  <si>
    <t>Pump Load forecast:</t>
  </si>
  <si>
    <t>Line 1 + Line 2</t>
  </si>
  <si>
    <t>1) Tehachapi</t>
  </si>
  <si>
    <t>2) Devers-Colorado River</t>
  </si>
  <si>
    <t>3) Eldorado-Ivanpah</t>
  </si>
  <si>
    <t>1) Forecast Plant Additions * AFCR</t>
  </si>
  <si>
    <t>2) Forecast Period Incremental CWIP * AFCR for CWIP</t>
  </si>
  <si>
    <t>Devers to</t>
  </si>
  <si>
    <t>Colorado River</t>
  </si>
  <si>
    <t>Ivanpah</t>
  </si>
  <si>
    <t>Eldorado</t>
  </si>
  <si>
    <t>Col 2</t>
  </si>
  <si>
    <t>Col 3</t>
  </si>
  <si>
    <t>Col 4</t>
  </si>
  <si>
    <t>Col 5</t>
  </si>
  <si>
    <t>Col 6</t>
  </si>
  <si>
    <t>Col 7</t>
  </si>
  <si>
    <t>Yellow shaded cells are Input Data</t>
  </si>
  <si>
    <t>2) Calculation of IFP TRR</t>
  </si>
  <si>
    <t>AFCR * Forecast Plant Additions:</t>
  </si>
  <si>
    <t>AFCRCWIP:</t>
  </si>
  <si>
    <t>AFCRCWIP * FP Incremental CWIP:</t>
  </si>
  <si>
    <t>Forecast Period Incremental CWIP:</t>
  </si>
  <si>
    <t>Incremental Forecast Period TRR:</t>
  </si>
  <si>
    <t xml:space="preserve">Transmission Incentive Project plant balances and CWIP Plant may affect the following: </t>
  </si>
  <si>
    <t>Other</t>
  </si>
  <si>
    <t>Gains and Losses on Transmission Plant Held for Future Use -- Land</t>
  </si>
  <si>
    <t>Col 1</t>
  </si>
  <si>
    <t>Note 1</t>
  </si>
  <si>
    <t>Note 2</t>
  </si>
  <si>
    <t>Depreciation Expense for Distribution Plant - ISO</t>
  </si>
  <si>
    <t>Other Regulatory Assets/Liabilities</t>
  </si>
  <si>
    <t>where:</t>
  </si>
  <si>
    <t>CSCP = Common Stock Capital Percentage</t>
  </si>
  <si>
    <t>Above formula</t>
  </si>
  <si>
    <t>FF1 117.62c</t>
  </si>
  <si>
    <t>FF1 117.63c</t>
  </si>
  <si>
    <t>FF1 117.64c</t>
  </si>
  <si>
    <t>FF1 117.65c</t>
  </si>
  <si>
    <t>FF1 117.66c</t>
  </si>
  <si>
    <t>FF1 118.29c</t>
  </si>
  <si>
    <t>Calculation of Composite State Income Tax Rate for the Prior Year:</t>
  </si>
  <si>
    <t xml:space="preserve">The Final True Up Adjustment begins on the month after the last True Up Adjustment and extends through the termination date of </t>
  </si>
  <si>
    <t>this formula transmission rate.</t>
  </si>
  <si>
    <t>The Final True Up Adjustment shall be calculated as above, with interest to the termination date of the Formula Transmission Rate.</t>
  </si>
  <si>
    <t>Calculation of SCE Retail Transmission Rates</t>
  </si>
  <si>
    <t>Abandoned</t>
  </si>
  <si>
    <t>Plant</t>
  </si>
  <si>
    <t>Amort.</t>
  </si>
  <si>
    <t xml:space="preserve">Abandoned Plant Amortization Expense for each project represents the annual amortization of abandoned costs </t>
  </si>
  <si>
    <t>that the Order approves as an annual expense.</t>
  </si>
  <si>
    <t>Abandoned Plant for each project represents the amount of costs that the Order approves for inclusion in Rate Base.</t>
  </si>
  <si>
    <t xml:space="preserve">Amount for </t>
  </si>
  <si>
    <t>Instructions:</t>
  </si>
  <si>
    <t>1) Upon Commission approval of recovery of abandoned plant costs for a project:</t>
  </si>
  <si>
    <t>Abandoned Plant (BOY):</t>
  </si>
  <si>
    <t>BOY</t>
  </si>
  <si>
    <t>c) Sum project-specific amounts for each project and enter in lines 1, 2, and 3 for the Prior Year at issue.</t>
  </si>
  <si>
    <t>2) Add additional projects if necessary in same format.</t>
  </si>
  <si>
    <t>Abandoned Plant Amortization Expense amounts in Accordance with the Order.</t>
  </si>
  <si>
    <t>If table can not be filled out completely, fill out at least through the Prior Year at issue.</t>
  </si>
  <si>
    <t>Sum of projects below for PY.</t>
  </si>
  <si>
    <t>intended to be placed under the Operational Control of the ISO, plus an allocated amount of any General</t>
  </si>
  <si>
    <t>FF1 page 214</t>
  </si>
  <si>
    <t>End of Year Balance</t>
  </si>
  <si>
    <t>Beginning of Year Balance</t>
  </si>
  <si>
    <t>General Plant Held for Future Use</t>
  </si>
  <si>
    <t>Electric Plant Held for Future Use, with the allocation factor being the Transmission Wages and Salaries AF.</t>
  </si>
  <si>
    <t>1) For any Electric Plant Held for Future Use intended to be placed under the Operational Control of the ISO,</t>
  </si>
  <si>
    <t>Operational Control of the ISO.</t>
  </si>
  <si>
    <t>Plant intended to be placed under the Operational Control of the ISO:</t>
  </si>
  <si>
    <t>All other Electric Plant Held for Future Use not intended to be placed under the Operational Control of the ISO:</t>
  </si>
  <si>
    <t>of Plant</t>
  </si>
  <si>
    <t>Type</t>
  </si>
  <si>
    <t>Portion for Transmission PHFU:</t>
  </si>
  <si>
    <t>Transmission PHFU:</t>
  </si>
  <si>
    <t>Total Electric PHFU</t>
  </si>
  <si>
    <t>Average of BOY and EOY</t>
  </si>
  <si>
    <t>1) Input most recent available Apportionment Factors.</t>
  </si>
  <si>
    <t>Prior</t>
  </si>
  <si>
    <t>Tax Rate ("STR")</t>
  </si>
  <si>
    <t>Income Tax</t>
  </si>
  <si>
    <t>Rate ("CSITR")</t>
  </si>
  <si>
    <t>for the applicable Prior Year</t>
  </si>
  <si>
    <t>Calculation of Income Tax Rates</t>
  </si>
  <si>
    <t>Rate ("FITR")</t>
  </si>
  <si>
    <t>Factors ("AFs")</t>
  </si>
  <si>
    <t>The IFP TRR is equal to the sum of:</t>
  </si>
  <si>
    <t>approval received subsequent to an SCE Section 205 filing requesting such treatment.</t>
  </si>
  <si>
    <t xml:space="preserve">SCE shall include a non-zero amount of Other Regulatory Assets/Liabilities only with Commission </t>
  </si>
  <si>
    <t>Other Regulatory Assets/Liabilities (EOY):</t>
  </si>
  <si>
    <t>Description of Issue</t>
  </si>
  <si>
    <t>Resulting in Other Regulatory</t>
  </si>
  <si>
    <t>Asset/Liability</t>
  </si>
  <si>
    <t>Issue #1</t>
  </si>
  <si>
    <t>Issue #2</t>
  </si>
  <si>
    <t>Issue #3</t>
  </si>
  <si>
    <t>Other Reg</t>
  </si>
  <si>
    <t>Regulatory</t>
  </si>
  <si>
    <t>costs through this formula transmission rate:</t>
  </si>
  <si>
    <t>2) Add additional lines as necessary for additional issues.</t>
  </si>
  <si>
    <t>Total Substation</t>
  </si>
  <si>
    <t>Land</t>
  </si>
  <si>
    <t>Total Substation and Land</t>
  </si>
  <si>
    <t>Lines</t>
  </si>
  <si>
    <t>Total Lines</t>
  </si>
  <si>
    <t>Substation</t>
  </si>
  <si>
    <t>Land:</t>
  </si>
  <si>
    <t>Structures:</t>
  </si>
  <si>
    <t>Total Structures</t>
  </si>
  <si>
    <t>Transmission Plant Study</t>
  </si>
  <si>
    <t>ISO</t>
  </si>
  <si>
    <t>ISO %</t>
  </si>
  <si>
    <t>of Total</t>
  </si>
  <si>
    <t>B) Plant Classified as Distribution in  FERC Form 1:</t>
  </si>
  <si>
    <t>Total Transmission</t>
  </si>
  <si>
    <t>Data Source</t>
  </si>
  <si>
    <t>FF1 207.49g</t>
  </si>
  <si>
    <t>FF1 207.50g</t>
  </si>
  <si>
    <t>FF1 207.48g</t>
  </si>
  <si>
    <t>FF1 207.51g</t>
  </si>
  <si>
    <t>FF1 207.52g</t>
  </si>
  <si>
    <t>FF1 207.53g</t>
  </si>
  <si>
    <t>FF1 207.54g</t>
  </si>
  <si>
    <t>FF1 207.55g</t>
  </si>
  <si>
    <t>FF1 207.56g</t>
  </si>
  <si>
    <t>FF1 207.60g</t>
  </si>
  <si>
    <t>FF1 207.61g</t>
  </si>
  <si>
    <t>FF1 207.62g</t>
  </si>
  <si>
    <t>1) Total transmission does not include account 359.1 "Asset Retirement Costs for Transmission Plant"</t>
  </si>
  <si>
    <t>Input cells are shaded yellow</t>
  </si>
  <si>
    <t>less FF1 207.57g (Asset Retirement Costs for Transmission Plant).</t>
  </si>
  <si>
    <t>1) Perform annual Transmission Study pursuant to instructions in tariff.</t>
  </si>
  <si>
    <t>2) Only accounts 360-362 included as there is no ISO plant in any other Distribution accounts.</t>
  </si>
  <si>
    <t>Total on this line is also equal to FF1 207.58g (Total Transmission Plant)</t>
  </si>
  <si>
    <t>Structures</t>
  </si>
  <si>
    <t>Substations:</t>
  </si>
  <si>
    <t>Total Lines and Substations</t>
  </si>
  <si>
    <t>Derivation of High Voltage and Low Voltage Gross Plant Percentages</t>
  </si>
  <si>
    <t>LV Transmission Lines</t>
  </si>
  <si>
    <t>Total ISO</t>
  </si>
  <si>
    <t>Gross Plant</t>
  </si>
  <si>
    <t>HV Land</t>
  </si>
  <si>
    <t>LV Land</t>
  </si>
  <si>
    <t>Transformers</t>
  </si>
  <si>
    <t>Classification of Facility:</t>
  </si>
  <si>
    <t>LV Substations (Less Than 220kV)</t>
  </si>
  <si>
    <t>HV Substations (&gt;= 200 kV)</t>
  </si>
  <si>
    <t>Lines:</t>
  </si>
  <si>
    <t>Determination of HV and LV Gross Plant Percentages for ISO Transmission Plant in accordance with ISO Tariff Appendix F, Schedule 3, Section 12.</t>
  </si>
  <si>
    <t>Voltage</t>
  </si>
  <si>
    <t>High</t>
  </si>
  <si>
    <t>Low</t>
  </si>
  <si>
    <t>Gross Plant Percentages (Prior Year):</t>
  </si>
  <si>
    <t>Total Determined HV/LV:</t>
  </si>
  <si>
    <t>Straddling Transformers</t>
  </si>
  <si>
    <t>From above Line 12</t>
  </si>
  <si>
    <t>Sum of lines 18 and 19</t>
  </si>
  <si>
    <t>Percent of Total</t>
  </si>
  <si>
    <t>Total HV and LV Gross Plant for Prior Year</t>
  </si>
  <si>
    <t>Total HV and LV Gross Plant for REP</t>
  </si>
  <si>
    <t>A) Total ISO Plant from Prior Year</t>
  </si>
  <si>
    <t>B) Gross Plant Percentage for the Rate Effective Period:</t>
  </si>
  <si>
    <t>FERC Form 1</t>
  </si>
  <si>
    <t>Total Amount Excluded</t>
  </si>
  <si>
    <t>Shareholder</t>
  </si>
  <si>
    <t>Franchise</t>
  </si>
  <si>
    <t>Requirements</t>
  </si>
  <si>
    <t>PBOPs</t>
  </si>
  <si>
    <t>Authorized PBOPs expense amount:</t>
  </si>
  <si>
    <t>Prior Year FF1 PBOPs expense:</t>
  </si>
  <si>
    <t>Note 1: Itemization of exclusions</t>
  </si>
  <si>
    <t>PBOPs Expense Exclusion:</t>
  </si>
  <si>
    <t>Note 3: PBOPs Exclusion Calculation</t>
  </si>
  <si>
    <t>through the Franchise Fees Expense item.</t>
  </si>
  <si>
    <t>See instruction #4</t>
  </si>
  <si>
    <t>1) Summary of True Up Adjustment calculation:</t>
  </si>
  <si>
    <t>4) True Up Adjustment</t>
  </si>
  <si>
    <t>a) Enter CWIP mechanism final balance in first True Up Adjustment calculation in accordance with tariff protocols.</t>
  </si>
  <si>
    <t>IREF =</t>
  </si>
  <si>
    <t>Multiplicative factor for each project is the ratio of its ROE adder to 1%.</t>
  </si>
  <si>
    <t>IREF, the Multiplicative Factor, and the million $ of Prior Year Incentive Rate Base.</t>
  </si>
  <si>
    <t>2) Sum project-specific Incentive Adders to yield the total Prior Year Incentive Adder.</t>
  </si>
  <si>
    <t>Transmission Plant Held for Future Use shall be amounts of Electric Plant Held for Future Use (account 105)</t>
  </si>
  <si>
    <t>Gain or Loss on Transmission Plant Held for Future Use --- Land</t>
  </si>
  <si>
    <t>Calculation of Gain or Loss on Transmission Plant Held for Future Use -- Land</t>
  </si>
  <si>
    <t>2) Input STR for the Prior Year</t>
  </si>
  <si>
    <t>3) FF and U Factors</t>
  </si>
  <si>
    <t>1) Approved Franchise Fee Factor(s)</t>
  </si>
  <si>
    <t>FF1 263.2 (see note to left)</t>
  </si>
  <si>
    <t>FF1 263 (see note to left)</t>
  </si>
  <si>
    <t>Sum of Column 2 below</t>
  </si>
  <si>
    <t>a) Fill in Description for issue in above table.</t>
  </si>
  <si>
    <t>b) Enter costs in columns 1-3 in above table for the applicable Prior Year.</t>
  </si>
  <si>
    <t>Actual</t>
  </si>
  <si>
    <t>Including previous year True Up Adjustment.</t>
  </si>
  <si>
    <t>First Project:</t>
  </si>
  <si>
    <t>Fill in Name</t>
  </si>
  <si>
    <t>…</t>
  </si>
  <si>
    <t>2nd Project:</t>
  </si>
  <si>
    <t>(BOY value is EOY value from previous year)</t>
  </si>
  <si>
    <t>3) Add additional years past 2035 if necessary.</t>
  </si>
  <si>
    <t>2a</t>
  </si>
  <si>
    <t>2b</t>
  </si>
  <si>
    <t>2c</t>
  </si>
  <si>
    <t>2d</t>
  </si>
  <si>
    <t>2e</t>
  </si>
  <si>
    <t>2f</t>
  </si>
  <si>
    <t>2g</t>
  </si>
  <si>
    <t>2h</t>
  </si>
  <si>
    <t>BOY amount will be EOY value from previous year FERC Form 1, EOY amount will be in current year FF1.</t>
  </si>
  <si>
    <t>Sum of above lines</t>
  </si>
  <si>
    <t>Generation</t>
  </si>
  <si>
    <t>Public</t>
  </si>
  <si>
    <t>Purpose</t>
  </si>
  <si>
    <t>Retail Base</t>
  </si>
  <si>
    <t>"Total Sales to Ultimate Consumers" from FERC Form 1 Page 300, Line 10, Column b:</t>
  </si>
  <si>
    <t>See Note 6</t>
  </si>
  <si>
    <t>See Note 7</t>
  </si>
  <si>
    <t>= C2 - C3 + C 4</t>
  </si>
  <si>
    <t>Any other Base Transmission Revenue or refunds  is included in "Other".</t>
  </si>
  <si>
    <t>Sum of left</t>
  </si>
  <si>
    <t>1) If additional projects receive ROE adders, add to end of lists, and include in calculation</t>
  </si>
  <si>
    <t>of each Incentive Adder.</t>
  </si>
  <si>
    <t xml:space="preserve">Prior </t>
  </si>
  <si>
    <t>Rancho</t>
  </si>
  <si>
    <t>Vista</t>
  </si>
  <si>
    <t xml:space="preserve">Total TIP </t>
  </si>
  <si>
    <t xml:space="preserve">Net Plant </t>
  </si>
  <si>
    <t xml:space="preserve">Prior Year CWIP and Forecast Period Incremental CWIP by Project </t>
  </si>
  <si>
    <t>Col 8</t>
  </si>
  <si>
    <t>Total CWIP</t>
  </si>
  <si>
    <t>13 Month Averages:</t>
  </si>
  <si>
    <t>to include CWIP in Rate Base.</t>
  </si>
  <si>
    <t>Lugo-Pisgah/</t>
  </si>
  <si>
    <t>Red Bluff</t>
  </si>
  <si>
    <t>3) Devers-Colorado R</t>
  </si>
  <si>
    <t>columns</t>
  </si>
  <si>
    <t>or Other</t>
  </si>
  <si>
    <t>Exclusions</t>
  </si>
  <si>
    <t>2) The Incremental Forecast Period TRR is the component of Base TRR associated with forecast additions to in-service</t>
  </si>
  <si>
    <t>These components represent the following costs that SCE incurs:</t>
  </si>
  <si>
    <t>the municipality.</t>
  </si>
  <si>
    <t xml:space="preserve">1) Franchise Fees represent payments that SCE makes to municipal entities for the right to locate facilities within </t>
  </si>
  <si>
    <t>FF1 227.12c</t>
  </si>
  <si>
    <t>FF1 227.12b</t>
  </si>
  <si>
    <t xml:space="preserve">Materials and Supplies is the amount of  total Account 154 Materials and Supplies </t>
  </si>
  <si>
    <t>times the Transmission Wages and Salaries AF</t>
  </si>
  <si>
    <t>A</t>
  </si>
  <si>
    <t>B</t>
  </si>
  <si>
    <t>C</t>
  </si>
  <si>
    <t>D</t>
  </si>
  <si>
    <t>E</t>
  </si>
  <si>
    <t>F</t>
  </si>
  <si>
    <t>G</t>
  </si>
  <si>
    <t>H</t>
  </si>
  <si>
    <t>I</t>
  </si>
  <si>
    <t>J</t>
  </si>
  <si>
    <t>K</t>
  </si>
  <si>
    <t>L</t>
  </si>
  <si>
    <t>M</t>
  </si>
  <si>
    <t>N</t>
  </si>
  <si>
    <t>Traditional OOR</t>
  </si>
  <si>
    <t>GRSM</t>
  </si>
  <si>
    <t>Other Ratemaking</t>
  </si>
  <si>
    <t>FERC ACCT</t>
  </si>
  <si>
    <t>ACCT</t>
  </si>
  <si>
    <t>ACCT DESCRIPTION</t>
  </si>
  <si>
    <t>DOLLARS</t>
  </si>
  <si>
    <t>Category</t>
  </si>
  <si>
    <t>Non-ISO</t>
  </si>
  <si>
    <t>A/P</t>
  </si>
  <si>
    <t>Threshold [10]</t>
  </si>
  <si>
    <t>1a</t>
  </si>
  <si>
    <t>4191110</t>
  </si>
  <si>
    <t>1b</t>
  </si>
  <si>
    <t>4191115</t>
  </si>
  <si>
    <t>Residential Late Payment</t>
  </si>
  <si>
    <t>1c</t>
  </si>
  <si>
    <t>4191120</t>
  </si>
  <si>
    <t>Non-Residential Late Payment</t>
  </si>
  <si>
    <t>450 Total</t>
  </si>
  <si>
    <t>4a</t>
  </si>
  <si>
    <t>4182110</t>
  </si>
  <si>
    <t>Recover Unauthorized Use/Non-Energy</t>
  </si>
  <si>
    <t>4b</t>
  </si>
  <si>
    <t>4182115</t>
  </si>
  <si>
    <t>Miscellaneous Service Revenue - Ownership Cost</t>
  </si>
  <si>
    <t>4c</t>
  </si>
  <si>
    <t>4192110</t>
  </si>
  <si>
    <t>Miscellaneous Service Revenues</t>
  </si>
  <si>
    <t>4d</t>
  </si>
  <si>
    <t>4192115</t>
  </si>
  <si>
    <t>Returned Check Charges</t>
  </si>
  <si>
    <t>4e</t>
  </si>
  <si>
    <t>4192125</t>
  </si>
  <si>
    <t>Service Reconnection Charges</t>
  </si>
  <si>
    <t>4f</t>
  </si>
  <si>
    <t>4192130</t>
  </si>
  <si>
    <t>Service Establishment Charge</t>
  </si>
  <si>
    <t>4g</t>
  </si>
  <si>
    <t>4192140</t>
  </si>
  <si>
    <t>Field Collection Charges</t>
  </si>
  <si>
    <t>4h</t>
  </si>
  <si>
    <t>4192510</t>
  </si>
  <si>
    <t>Quickcheck Revenue</t>
  </si>
  <si>
    <t>P</t>
  </si>
  <si>
    <t>4i</t>
  </si>
  <si>
    <t>4192910</t>
  </si>
  <si>
    <t>PUC Reimbursement Fee-Elect</t>
  </si>
  <si>
    <t>451 Total</t>
  </si>
  <si>
    <t>7a</t>
  </si>
  <si>
    <t>7b</t>
  </si>
  <si>
    <t>7c</t>
  </si>
  <si>
    <t>4183110</t>
  </si>
  <si>
    <t>Sales of Water &amp; Water Power - San Joaquin</t>
  </si>
  <si>
    <t>4183115</t>
  </si>
  <si>
    <t>Sales of Water &amp; Water Power - Headwater</t>
  </si>
  <si>
    <t>453 Total</t>
  </si>
  <si>
    <t>10a</t>
  </si>
  <si>
    <t>10b</t>
  </si>
  <si>
    <t>10c</t>
  </si>
  <si>
    <t>10d</t>
  </si>
  <si>
    <t>4184110</t>
  </si>
  <si>
    <t>Joint Pole - Tariffed Conduit Rental</t>
  </si>
  <si>
    <t>10e</t>
  </si>
  <si>
    <t>4184112</t>
  </si>
  <si>
    <t>Joint Pole - Tariffed Pole Rental - Cable Cos.</t>
  </si>
  <si>
    <t>10f</t>
  </si>
  <si>
    <t>4184114</t>
  </si>
  <si>
    <t>Joint Pole - Tariffed Process &amp; Eng Fees - Cable</t>
  </si>
  <si>
    <t>10g</t>
  </si>
  <si>
    <t>4184116</t>
  </si>
  <si>
    <t>Joint Pole - Tariffed Process &amp; Eng Fees - Conduit</t>
  </si>
  <si>
    <t>10h</t>
  </si>
  <si>
    <t>4184118</t>
  </si>
  <si>
    <t>Joint Pole - Pl Attchmnt Audit - Undoc P&amp;E Fee</t>
  </si>
  <si>
    <t>10i</t>
  </si>
  <si>
    <t>4184510</t>
  </si>
  <si>
    <t>Joint Pole - Non-Tariffed Pole Rental</t>
  </si>
  <si>
    <t>10j</t>
  </si>
  <si>
    <t>4184512</t>
  </si>
  <si>
    <t>Joint Pole - Non-Tariff Process &amp; Engineering Fees</t>
  </si>
  <si>
    <t>10k</t>
  </si>
  <si>
    <t>4184514</t>
  </si>
  <si>
    <t>Joint Pole - Non-Tariff Requests for Information</t>
  </si>
  <si>
    <t>10l</t>
  </si>
  <si>
    <t>4184516</t>
  </si>
  <si>
    <t>Oil And Gas Royalties</t>
  </si>
  <si>
    <t>10m</t>
  </si>
  <si>
    <t>4184518</t>
  </si>
  <si>
    <t>10n</t>
  </si>
  <si>
    <t>4184810</t>
  </si>
  <si>
    <t>Facility Cost -EIX/Nonutility</t>
  </si>
  <si>
    <t>6, 12</t>
  </si>
  <si>
    <t>10o</t>
  </si>
  <si>
    <t>4184815</t>
  </si>
  <si>
    <t>Facility Cost- Utility</t>
  </si>
  <si>
    <t>10p</t>
  </si>
  <si>
    <t>4184820</t>
  </si>
  <si>
    <t>Rent Billed to Non-Utility Affiliates</t>
  </si>
  <si>
    <t>10q</t>
  </si>
  <si>
    <t>4184825</t>
  </si>
  <si>
    <t>Rent Billed to Utility Affiliates</t>
  </si>
  <si>
    <t>10r</t>
  </si>
  <si>
    <t>4194110</t>
  </si>
  <si>
    <t>Meter Leasing Revenue</t>
  </si>
  <si>
    <t>10s</t>
  </si>
  <si>
    <t>4194115</t>
  </si>
  <si>
    <t>Company Financed Added Facilities</t>
  </si>
  <si>
    <t>10t</t>
  </si>
  <si>
    <t>4194120</t>
  </si>
  <si>
    <t>Company Financed Interconnect Facilities</t>
  </si>
  <si>
    <t>10u</t>
  </si>
  <si>
    <t>4194130</t>
  </si>
  <si>
    <t>SCE Financed Added Faclty</t>
  </si>
  <si>
    <t>10v</t>
  </si>
  <si>
    <t>4194135</t>
  </si>
  <si>
    <t>Interconnect Facility Finance Charge</t>
  </si>
  <si>
    <t>10w</t>
  </si>
  <si>
    <t>4204515</t>
  </si>
  <si>
    <t>Operating Land &amp; Facilities Rent Revenue</t>
  </si>
  <si>
    <t>4867020</t>
  </si>
  <si>
    <t>Nonoperating Misc Land &amp; Facilities Rent</t>
  </si>
  <si>
    <t>454 Total</t>
  </si>
  <si>
    <t>12a</t>
  </si>
  <si>
    <t>12b</t>
  </si>
  <si>
    <t>12c</t>
  </si>
  <si>
    <t>12d</t>
  </si>
  <si>
    <t>4186114</t>
  </si>
  <si>
    <t>Energy Related Services</t>
  </si>
  <si>
    <t>4186118</t>
  </si>
  <si>
    <t>Distribution Miscellaneous Electric Revenues</t>
  </si>
  <si>
    <t>4186120</t>
  </si>
  <si>
    <t>Added Facilities - One Time Charge</t>
  </si>
  <si>
    <t>12e</t>
  </si>
  <si>
    <t>4186122</t>
  </si>
  <si>
    <t>Building Rental - Nev Power/Mohave Cr</t>
  </si>
  <si>
    <t>12f</t>
  </si>
  <si>
    <t>4186126</t>
  </si>
  <si>
    <t>Service Fee - Optimal Bill Prd</t>
  </si>
  <si>
    <t>12g</t>
  </si>
  <si>
    <t>4186128</t>
  </si>
  <si>
    <t>Miscellaneous Revenues</t>
  </si>
  <si>
    <t>12h</t>
  </si>
  <si>
    <t>4186130</t>
  </si>
  <si>
    <t>Tule Power Plant - Revenue</t>
  </si>
  <si>
    <t>12i</t>
  </si>
  <si>
    <t>4186150</t>
  </si>
  <si>
    <t>Utility Subs Labor Markup</t>
  </si>
  <si>
    <t>12j</t>
  </si>
  <si>
    <t>4186155</t>
  </si>
  <si>
    <t>Non Utility Subs Labor Markup</t>
  </si>
  <si>
    <t>12k</t>
  </si>
  <si>
    <t>4186162</t>
  </si>
  <si>
    <t>Reliant Eng FSA Ann Pymnt-Mandalay</t>
  </si>
  <si>
    <t>12l</t>
  </si>
  <si>
    <t>4186164</t>
  </si>
  <si>
    <t>Reliant Eng FSA Ann Pymnt-Ormond Beach</t>
  </si>
  <si>
    <t>12m</t>
  </si>
  <si>
    <t>4186166</t>
  </si>
  <si>
    <t>Reliant Eng FSA Ann Pymnt-Etiwanda</t>
  </si>
  <si>
    <t>12n</t>
  </si>
  <si>
    <t>4186168</t>
  </si>
  <si>
    <t>Reliant Eng FSA Ann Pymnt-Ellwood</t>
  </si>
  <si>
    <t>12o</t>
  </si>
  <si>
    <t>4186170</t>
  </si>
  <si>
    <t>Reliant Eng FSA Ann Pymnt-Coolwater</t>
  </si>
  <si>
    <t>12p</t>
  </si>
  <si>
    <t>4186194</t>
  </si>
  <si>
    <t>Property License Fee revenue</t>
  </si>
  <si>
    <t>12q</t>
  </si>
  <si>
    <t>4186512</t>
  </si>
  <si>
    <t>Revenue From Recreation, Fish &amp; Wildlife</t>
  </si>
  <si>
    <t>12r</t>
  </si>
  <si>
    <t>4186514</t>
  </si>
  <si>
    <t>Mapping Services</t>
  </si>
  <si>
    <t>12s</t>
  </si>
  <si>
    <t>4186518</t>
  </si>
  <si>
    <t>Enhanced Pump Test Revenue</t>
  </si>
  <si>
    <t>12t</t>
  </si>
  <si>
    <t>4186520</t>
  </si>
  <si>
    <t>RTTC Revenue</t>
  </si>
  <si>
    <t>12u</t>
  </si>
  <si>
    <t>4186524</t>
  </si>
  <si>
    <t>Revenue From Scrap Paper - General Office</t>
  </si>
  <si>
    <t>12v</t>
  </si>
  <si>
    <t>4186528</t>
  </si>
  <si>
    <t>CTAC Revenues</t>
  </si>
  <si>
    <t>12w</t>
  </si>
  <si>
    <t>4186530</t>
  </si>
  <si>
    <t>AGTAC Revenues</t>
  </si>
  <si>
    <t>12x</t>
  </si>
  <si>
    <t>Other Inc/erd Party DC-ESM</t>
  </si>
  <si>
    <t>12y</t>
  </si>
  <si>
    <t>3rd Party-Div Tmg-Cr PPD training</t>
  </si>
  <si>
    <t>12z</t>
  </si>
  <si>
    <t>4186716</t>
  </si>
  <si>
    <t>ADT Vendor Service Revenue</t>
  </si>
  <si>
    <t>12aa</t>
  </si>
  <si>
    <t>4186718</t>
  </si>
  <si>
    <t>Read Water Meters - Irvine Ranch</t>
  </si>
  <si>
    <t>12bb</t>
  </si>
  <si>
    <t>4186720</t>
  </si>
  <si>
    <t>Read Water Meters - Rancho California</t>
  </si>
  <si>
    <t>12cc</t>
  </si>
  <si>
    <t>4186722</t>
  </si>
  <si>
    <t>Read Water Meters - Long Beach</t>
  </si>
  <si>
    <t>12dd</t>
  </si>
  <si>
    <t>4186730</t>
  </si>
  <si>
    <t>SSID Transformer Repair Services Revenue</t>
  </si>
  <si>
    <t>12ee</t>
  </si>
  <si>
    <t>4186815</t>
  </si>
  <si>
    <t>Employee Transfer/Affiliate Fee</t>
  </si>
  <si>
    <t>12ff</t>
  </si>
  <si>
    <t>4186910</t>
  </si>
  <si>
    <t>ITCC/CIAC Revenues</t>
  </si>
  <si>
    <t>12gg</t>
  </si>
  <si>
    <t>4186912</t>
  </si>
  <si>
    <t>12hh</t>
  </si>
  <si>
    <t>4186914</t>
  </si>
  <si>
    <t>12ii</t>
  </si>
  <si>
    <t>4186916</t>
  </si>
  <si>
    <t>Offset to Revenue from NDT Earnings/Realized</t>
  </si>
  <si>
    <t>12jj</t>
  </si>
  <si>
    <t>4186918</t>
  </si>
  <si>
    <t>Offset to Revenue from FAS 115 FMV</t>
  </si>
  <si>
    <t>12kk</t>
  </si>
  <si>
    <t>4186920</t>
  </si>
  <si>
    <t>12ll</t>
  </si>
  <si>
    <t>4186922</t>
  </si>
  <si>
    <t>Offset to Revenue from FAS 115-1 Gains &amp; Loss</t>
  </si>
  <si>
    <t>12mm</t>
  </si>
  <si>
    <t>4188712</t>
  </si>
  <si>
    <t>Power Supply Installations - IMS</t>
  </si>
  <si>
    <t>12nn</t>
  </si>
  <si>
    <t>4188714</t>
  </si>
  <si>
    <t>Consulting Fees - IMS</t>
  </si>
  <si>
    <t>12oo</t>
  </si>
  <si>
    <t>4188818</t>
  </si>
  <si>
    <t>FTR Auction Revenue</t>
  </si>
  <si>
    <t>12pp</t>
  </si>
  <si>
    <t>4196105</t>
  </si>
  <si>
    <t>DA Revenue</t>
  </si>
  <si>
    <t>12qq</t>
  </si>
  <si>
    <t>4196154</t>
  </si>
  <si>
    <t>Direct Access Monthly Customer Charges</t>
  </si>
  <si>
    <t>12rr</t>
  </si>
  <si>
    <t>4196158</t>
  </si>
  <si>
    <t>EDBL Customer Finance Added Facilities</t>
  </si>
  <si>
    <t>12ss</t>
  </si>
  <si>
    <t>4196162</t>
  </si>
  <si>
    <t>SCE Energy Manager Fee Based Services</t>
  </si>
  <si>
    <t>12tt</t>
  </si>
  <si>
    <t>4196166</t>
  </si>
  <si>
    <t>SCE Energy Manager Fee Based Services Adj</t>
  </si>
  <si>
    <t>12uu</t>
  </si>
  <si>
    <t>4196172</t>
  </si>
  <si>
    <t>Off Grid Photo Voltaic Revenues</t>
  </si>
  <si>
    <t>12vv</t>
  </si>
  <si>
    <t>4196174</t>
  </si>
  <si>
    <t>Scheduling/Dispatch Revenues</t>
  </si>
  <si>
    <t>12ww</t>
  </si>
  <si>
    <t>4196176</t>
  </si>
  <si>
    <t>Interconnect Facilities Charges-Customer Financed</t>
  </si>
  <si>
    <t>12xx</t>
  </si>
  <si>
    <t>4196178</t>
  </si>
  <si>
    <t>Interconnect Facilities Charges - SCE Financed</t>
  </si>
  <si>
    <t>12yy</t>
  </si>
  <si>
    <t>4196184</t>
  </si>
  <si>
    <t>DMS Service Fees</t>
  </si>
  <si>
    <t>12zz</t>
  </si>
  <si>
    <t>4196188</t>
  </si>
  <si>
    <t>CCA - Information Fees</t>
  </si>
  <si>
    <t>4206515</t>
  </si>
  <si>
    <t>456 Total</t>
  </si>
  <si>
    <t>15a</t>
  </si>
  <si>
    <t>4188112</t>
  </si>
  <si>
    <t>Trans of Elec of Others - Pasadena</t>
  </si>
  <si>
    <t>15b</t>
  </si>
  <si>
    <t>4188114</t>
  </si>
  <si>
    <t>FTS PPU/Non-ISO</t>
  </si>
  <si>
    <t>15c</t>
  </si>
  <si>
    <t>4188116</t>
  </si>
  <si>
    <t>FTS Non-PPU/Non-ISO</t>
  </si>
  <si>
    <t>15d</t>
  </si>
  <si>
    <t>4188812</t>
  </si>
  <si>
    <t>ISO-Wheeling Revenue - Low Voltage</t>
  </si>
  <si>
    <t>15e</t>
  </si>
  <si>
    <t>4188814</t>
  </si>
  <si>
    <t>ISO-Wheeling Revenue - High Voltage</t>
  </si>
  <si>
    <t>15f</t>
  </si>
  <si>
    <t>4188816</t>
  </si>
  <si>
    <t>ISO-Congestion Revenue</t>
  </si>
  <si>
    <t>15g</t>
  </si>
  <si>
    <t>4198110</t>
  </si>
  <si>
    <t>Transmission of Elec of Others</t>
  </si>
  <si>
    <t>15h</t>
  </si>
  <si>
    <t>4198112</t>
  </si>
  <si>
    <t>WDAT</t>
  </si>
  <si>
    <t>15i</t>
  </si>
  <si>
    <t>4198114</t>
  </si>
  <si>
    <t>Radial Line Rev-Base Cost - Reliant Coolwater</t>
  </si>
  <si>
    <t>15j</t>
  </si>
  <si>
    <t>4198115</t>
  </si>
  <si>
    <t>High Voltage Trans Access Rev (Existing Contracts)</t>
  </si>
  <si>
    <t>15k</t>
  </si>
  <si>
    <t>4198116</t>
  </si>
  <si>
    <t>Radial Line Rev-Base Cost - Reliant Ormond Beach</t>
  </si>
  <si>
    <t>15l</t>
  </si>
  <si>
    <t>4198118</t>
  </si>
  <si>
    <t>Radial Line Rev-O&amp;M - AES Huntington Beach</t>
  </si>
  <si>
    <t>15m</t>
  </si>
  <si>
    <t>4198120</t>
  </si>
  <si>
    <t>Radial Line Rev-O&amp;M - Reliant Mandalay</t>
  </si>
  <si>
    <t>15n</t>
  </si>
  <si>
    <t>4198122</t>
  </si>
  <si>
    <t>Radial Line Rev-O&amp;M - Reliant Coolwater</t>
  </si>
  <si>
    <t>15o</t>
  </si>
  <si>
    <t>4198124</t>
  </si>
  <si>
    <t>Radial Line Rev-O&amp;M - Ormond Beach</t>
  </si>
  <si>
    <t>15p</t>
  </si>
  <si>
    <t>4198126</t>
  </si>
  <si>
    <t>High Desert Tie-Line Rental Rev</t>
  </si>
  <si>
    <t>15q</t>
  </si>
  <si>
    <t>4198128</t>
  </si>
  <si>
    <t>Scheduling/Dispatch Revenues (CSS)</t>
  </si>
  <si>
    <t>15r</t>
  </si>
  <si>
    <t>4198130</t>
  </si>
  <si>
    <t>Inland Empire CRT Tie-Line EX</t>
  </si>
  <si>
    <t>15s</t>
  </si>
  <si>
    <t>4198910</t>
  </si>
  <si>
    <t>Reliability Service Revenue - Non-PTO's</t>
  </si>
  <si>
    <t>456.1 Total</t>
  </si>
  <si>
    <t>18a</t>
  </si>
  <si>
    <t>457.1 Total</t>
  </si>
  <si>
    <t>21a</t>
  </si>
  <si>
    <t>457.2 Total</t>
  </si>
  <si>
    <t>Edison Carrier Solutions (ECS)</t>
  </si>
  <si>
    <t>24a</t>
  </si>
  <si>
    <t>ECS - Pass Pole Attachments</t>
  </si>
  <si>
    <t>24b</t>
  </si>
  <si>
    <t>ECS - Distribution Facilities</t>
  </si>
  <si>
    <t>24c</t>
  </si>
  <si>
    <t>ECS - Dark Fiber</t>
  </si>
  <si>
    <t>24d</t>
  </si>
  <si>
    <t>ECS - SCE Net Fiber</t>
  </si>
  <si>
    <t>24e</t>
  </si>
  <si>
    <t>ECS - Transmission Right of Way</t>
  </si>
  <si>
    <t>24f</t>
  </si>
  <si>
    <t>ECS - Wholesale FCC</t>
  </si>
  <si>
    <t>24g</t>
  </si>
  <si>
    <t>24h</t>
  </si>
  <si>
    <t>ECS - EU FCC Rev</t>
  </si>
  <si>
    <t>24i</t>
  </si>
  <si>
    <t>ECS - Cell Site Rent and Use (Active)</t>
  </si>
  <si>
    <t>24j</t>
  </si>
  <si>
    <t>ECS - Cell Site Reimbursable (Active)</t>
  </si>
  <si>
    <t>24k</t>
  </si>
  <si>
    <t>ECS - Communication Sites</t>
  </si>
  <si>
    <t>24l</t>
  </si>
  <si>
    <t>ECS - Cell Site Rent and Use (Passive)</t>
  </si>
  <si>
    <t>24m</t>
  </si>
  <si>
    <t>ECS - Cell Site Reimbursable (Passive)</t>
  </si>
  <si>
    <t>24n</t>
  </si>
  <si>
    <t>ECS - Micro Cell</t>
  </si>
  <si>
    <t>24o</t>
  </si>
  <si>
    <t>ECS - End User Universal Service Fund Fee</t>
  </si>
  <si>
    <t>417 ECS Total</t>
  </si>
  <si>
    <t>417 Other</t>
  </si>
  <si>
    <t>Subsidiaries</t>
  </si>
  <si>
    <t>28a</t>
  </si>
  <si>
    <t>ESI (Gross Revenues - Active)</t>
  </si>
  <si>
    <t>2,9</t>
  </si>
  <si>
    <t>28b</t>
  </si>
  <si>
    <t>ESI (Gross Revenues - Passive)</t>
  </si>
  <si>
    <t>28c</t>
  </si>
  <si>
    <t>Mono Power Company</t>
  </si>
  <si>
    <t>28d</t>
  </si>
  <si>
    <t>SCE Capital Company</t>
  </si>
  <si>
    <t>418.1 Subsidiaries Total</t>
  </si>
  <si>
    <t>Totals</t>
  </si>
  <si>
    <t>Ratepayers' Share of Threshold Revenue</t>
  </si>
  <si>
    <t>= Line 32K</t>
  </si>
  <si>
    <t>see Note 11</t>
  </si>
  <si>
    <t xml:space="preserve">ISO Ratepayers' Share of Threshold Revenue </t>
  </si>
  <si>
    <t>Total Active Incremental Revenue</t>
  </si>
  <si>
    <t>= Sum Active categories in column L</t>
  </si>
  <si>
    <t>Ratepayers' Share of Active Incremental Revenue</t>
  </si>
  <si>
    <t>Total Passive Incremental Revenue</t>
  </si>
  <si>
    <t>= Sum Passive categories in column L</t>
  </si>
  <si>
    <t>Ratepayers' Share of Passive Incremental Revenue</t>
  </si>
  <si>
    <t>Total Ratepayers' Share of Incremental Revenue</t>
  </si>
  <si>
    <t>ISO Ratepayers' Share of Incremental Revenue (%)</t>
  </si>
  <si>
    <t xml:space="preserve">ISO Ratepayers' Share of Incremental Revenue </t>
  </si>
  <si>
    <t>1-</t>
  </si>
  <si>
    <t>2-</t>
  </si>
  <si>
    <t>3-</t>
  </si>
  <si>
    <t>Generation related.</t>
  </si>
  <si>
    <t>4-</t>
  </si>
  <si>
    <t>5-</t>
  </si>
  <si>
    <t>ISO transmission system related.</t>
  </si>
  <si>
    <t>6-</t>
  </si>
  <si>
    <t>Subject to balancing account treatment</t>
  </si>
  <si>
    <t>7-</t>
  </si>
  <si>
    <t>ISO Allocator =</t>
  </si>
  <si>
    <t>8-</t>
  </si>
  <si>
    <t xml:space="preserve">ISO portion of Traditional OOR relates to monthly revenues received from customers for facilities that are part of the ISO network.  </t>
  </si>
  <si>
    <t>9-</t>
  </si>
  <si>
    <t>Edison ESI is a subsidiary company.  Gross revenues are not reported in FF-1, only net earnings.  Net Earnings for ESI are reported on Acct 418.1, pg 225.5e.</t>
  </si>
  <si>
    <t>10-</t>
  </si>
  <si>
    <t>The first $16,671,389 million in gross revenues generated by GRSM activities are automatically classified as Threshold Revenue.</t>
  </si>
  <si>
    <t>11-</t>
  </si>
  <si>
    <t>12-</t>
  </si>
  <si>
    <t>13-</t>
  </si>
  <si>
    <t>14-</t>
  </si>
  <si>
    <t>Gains and Losses on Trans. Plant Held for Future Use -- Land</t>
  </si>
  <si>
    <t>Total Revenue Credits:</t>
  </si>
  <si>
    <t>Prior Year CWIP is the amount of Construction Work In Progress for projects that have received Commission approval</t>
  </si>
  <si>
    <t>Col 9</t>
  </si>
  <si>
    <t>Calculations:</t>
  </si>
  <si>
    <t>See Note 4</t>
  </si>
  <si>
    <t>See Note 5</t>
  </si>
  <si>
    <t>=C7 + C8</t>
  </si>
  <si>
    <t>Previous</t>
  </si>
  <si>
    <t>wo Interest</t>
  </si>
  <si>
    <t>TRR</t>
  </si>
  <si>
    <t>with Interest</t>
  </si>
  <si>
    <t>Beginning</t>
  </si>
  <si>
    <t>Ending</t>
  </si>
  <si>
    <t>Balance</t>
  </si>
  <si>
    <t>5) Final True Up Adjustment</t>
  </si>
  <si>
    <t>3) Enter monthly interest rates in accordance with interest rate specified in the regulations of FERC at</t>
  </si>
  <si>
    <t>d) Any Base Transmission Revenue not attributable to this formula.</t>
  </si>
  <si>
    <t>1) Depreciation Expense for Transmission Plant - ISO</t>
  </si>
  <si>
    <t>Col 10</t>
  </si>
  <si>
    <t>Account:</t>
  </si>
  <si>
    <t>1) Calculation of Depreciation Expense for Transmission Plant - ISO</t>
  </si>
  <si>
    <t>Col 11</t>
  </si>
  <si>
    <t>Monthly Depreciation Expense for Transmission Plant - ISO by FERC Account:</t>
  </si>
  <si>
    <t>Balances for Transmission Plant - ISO during the Prior Year, including December of previous year:</t>
  </si>
  <si>
    <t>Total Annual Depreciation Expense for Transmission Plant - ISO:</t>
  </si>
  <si>
    <t>(equals sum of monthly amounts)</t>
  </si>
  <si>
    <t>Total General Plant Depreciation Expense</t>
  </si>
  <si>
    <t>Total Intangible Plant Depreciation Expense</t>
  </si>
  <si>
    <t>FF1 336.10f</t>
  </si>
  <si>
    <t>FF1 336.1f</t>
  </si>
  <si>
    <t>Sum of Total General and Total Intangible Depreciation Expense</t>
  </si>
  <si>
    <t>General and Intangible Depreciation Expense</t>
  </si>
  <si>
    <t>3) General and Intangible Depreciation Expense</t>
  </si>
  <si>
    <t>2) Depreciation Expense for Distribution Plant - ISO</t>
  </si>
  <si>
    <t>Two Incentive Adders are calculated:</t>
  </si>
  <si>
    <t>a) The Prior Year Incentive Adder is a component of the Prior Year TRR.</t>
  </si>
  <si>
    <t xml:space="preserve"> = Sum of all</t>
  </si>
  <si>
    <t>Whirlwind</t>
  </si>
  <si>
    <t>Expansion</t>
  </si>
  <si>
    <t>Col 12</t>
  </si>
  <si>
    <t xml:space="preserve">Colorado </t>
  </si>
  <si>
    <t>River</t>
  </si>
  <si>
    <t>Kramer</t>
  </si>
  <si>
    <t>South of</t>
  </si>
  <si>
    <t>West of</t>
  </si>
  <si>
    <t>Devers</t>
  </si>
  <si>
    <t>1) Enter recorded amounts of CWIP during Prior Year on Lines 1-13, 15-27 (including December of year previous to Prior Year).</t>
  </si>
  <si>
    <t>1) Summary of CWIP Plant in Prior Year and Forecast Period</t>
  </si>
  <si>
    <t>1) Rate Base in Prior Year</t>
  </si>
  <si>
    <t>Net Plant</t>
  </si>
  <si>
    <t>b) Annual Fixed Charge Rate ("AFCR")</t>
  </si>
  <si>
    <t>Net Plant:</t>
  </si>
  <si>
    <t>1) Calculation of Annual Fixed Charge Rates:</t>
  </si>
  <si>
    <t>4) Lugo-Pisgah</t>
  </si>
  <si>
    <t>5) Red Bluff</t>
  </si>
  <si>
    <t>6) Whirlwind Substation Exp.</t>
  </si>
  <si>
    <t>7) Colorado River Sub. Exp.</t>
  </si>
  <si>
    <t>8) South of Kramer</t>
  </si>
  <si>
    <t>9) West of Devers</t>
  </si>
  <si>
    <t>4) Prior Year TIP Net Plant In Service</t>
  </si>
  <si>
    <t>Additions</t>
  </si>
  <si>
    <t>to Prior Year</t>
  </si>
  <si>
    <t>year previous</t>
  </si>
  <si>
    <t>←December of</t>
  </si>
  <si>
    <t>2) Calculation of Depreciation Expense for Distribution Plant - ISO</t>
  </si>
  <si>
    <t>Distribution Plant - ISO BOY</t>
  </si>
  <si>
    <t>Distribution Plant - ISO EOY</t>
  </si>
  <si>
    <t>Average BOY/EOY :</t>
  </si>
  <si>
    <t xml:space="preserve">Total is sum of Depreciation Expense for accounts </t>
  </si>
  <si>
    <t>360, 361, and 362</t>
  </si>
  <si>
    <t>3) Calculation of Depreciation Expense for General Plant and Intangible Plant</t>
  </si>
  <si>
    <t>Depreciation Expense:</t>
  </si>
  <si>
    <t>Depreciation Rates</t>
  </si>
  <si>
    <t>Less</t>
  </si>
  <si>
    <t>Removal</t>
  </si>
  <si>
    <t>Salvage</t>
  </si>
  <si>
    <t>Cost</t>
  </si>
  <si>
    <t>Fee Land</t>
  </si>
  <si>
    <t>Easements</t>
  </si>
  <si>
    <t>Structures and Improvements</t>
  </si>
  <si>
    <t>Station Equipment</t>
  </si>
  <si>
    <t>Poles and Fixtures</t>
  </si>
  <si>
    <t>Overhead Conductors and Devices</t>
  </si>
  <si>
    <t>Underground Conduit</t>
  </si>
  <si>
    <t>Underground Conductors and Devices</t>
  </si>
  <si>
    <t>Roads and Trails</t>
  </si>
  <si>
    <t>Land and Land Rights</t>
  </si>
  <si>
    <t>3) General Plant</t>
  </si>
  <si>
    <t>Office Furniture</t>
  </si>
  <si>
    <t>4) Intangible Plant</t>
  </si>
  <si>
    <t>Hydro Relicensing</t>
  </si>
  <si>
    <t>Radio Frequency</t>
  </si>
  <si>
    <t>Other Intangibles</t>
  </si>
  <si>
    <t>Cap Soft 5yr</t>
  </si>
  <si>
    <t>Cap Soft 7yr</t>
  </si>
  <si>
    <t>Cap Soft 10yr</t>
  </si>
  <si>
    <t>Cap Soft 15yr</t>
  </si>
  <si>
    <t>CLTD = Weighted Cost of Long Term Debt</t>
  </si>
  <si>
    <t>COS = Weighted Cost of Common and Preferred Stock</t>
  </si>
  <si>
    <t>AFCRCWIP =</t>
  </si>
  <si>
    <t>Composite Tax Rate:</t>
  </si>
  <si>
    <t>expressed as a percent.</t>
  </si>
  <si>
    <t>AFCR = (Prior Year TRR - CWIP-related costs) / Net Plant</t>
  </si>
  <si>
    <t>ISO Transmission Plant</t>
  </si>
  <si>
    <t>3) ISO Transmission Plant</t>
  </si>
  <si>
    <t>ISO Transmission Plant is the sum of "Transmission Plant - ISO" and "Distribution Plant - ISO"</t>
  </si>
  <si>
    <t xml:space="preserve">Transmission Depreciation Reserve - ISO </t>
  </si>
  <si>
    <t xml:space="preserve">Distribution Depreciation Reserve - ISO </t>
  </si>
  <si>
    <t>Transmission Plant - ISO:</t>
  </si>
  <si>
    <t>Distribution Plant - ISO:</t>
  </si>
  <si>
    <t>c) Compare costs in (a) to revenues in (b) on a monthly basis and determine "Cumulative Excess (-) or Shortfall (+) in Revenue with Interest".</t>
  </si>
  <si>
    <t>One-Time and</t>
  </si>
  <si>
    <t>wo Interest for</t>
  </si>
  <si>
    <t>for Current</t>
  </si>
  <si>
    <t>Current Month</t>
  </si>
  <si>
    <t>See Note 8</t>
  </si>
  <si>
    <t>See Note 9</t>
  </si>
  <si>
    <t>See Note 10</t>
  </si>
  <si>
    <t>=C3 + C4</t>
  </si>
  <si>
    <t>See Note 11</t>
  </si>
  <si>
    <t>=C5 + C6</t>
  </si>
  <si>
    <t>= - C4</t>
  </si>
  <si>
    <t>Received (+)/</t>
  </si>
  <si>
    <t>Amortization</t>
  </si>
  <si>
    <t>Returned (-)</t>
  </si>
  <si>
    <t>Total Amortization in Rate Effective Period (See Instruction #4):</t>
  </si>
  <si>
    <t>Shortfall or Excess Revenue in Prior Year:</t>
  </si>
  <si>
    <t>TRR AAF</t>
  </si>
  <si>
    <t>See Note 13</t>
  </si>
  <si>
    <t>Enter with the same sign as in previous Informational Update.  If there is no Previous Period True Up Adjustment, then enter $0 in these cells.</t>
  </si>
  <si>
    <t>SCE shall also include that difference in the True Up Adjustment, including interest, at the first opportunity, in accordance with tariff protocols.</t>
  </si>
  <si>
    <t>Actual Retail Base Transmission Revenues for any months not included in True Up Period.</t>
  </si>
  <si>
    <t>3) "Actual Retail Base Transmission Revenues" are SCE retail transmission revenues attributable to this formula transmission rate.</t>
  </si>
  <si>
    <t>4) The "Previous Period True Up Adjustment" are the values of the "True Up Adjustment Received/Returned" in the previous Informational Filing (Same sign).</t>
  </si>
  <si>
    <t>6) "Cumulative Excess (-) or Shortfall (+) in Revenue wo Interest for Current Month" is: 1) in month 1, the amount in Column 5;</t>
  </si>
  <si>
    <t>and 2) in subsequent months is the amount in Column 9 for previous month plus the current month amount in Column 5.</t>
  </si>
  <si>
    <t>7) Interest for Current Month is calculated on average of beginning and ending balances (Column 9 previous month and Column 7 current month).</t>
  </si>
  <si>
    <t>(First month average is 1/2 of ending balance).</t>
  </si>
  <si>
    <t>Transmission Dep. Reserve - ISO:</t>
  </si>
  <si>
    <t>Distribution Dep. Reserve - ISO:</t>
  </si>
  <si>
    <t>Determination of Net Plant:</t>
  </si>
  <si>
    <t>a) Annual Fixed Charge Rate for CWIP ("AFCRCWIP")</t>
  </si>
  <si>
    <t>Calculation of Incremental Forecast Period TRR ("IFPTRR")</t>
  </si>
  <si>
    <t>NETWORK UPGRADE CREDIT AND INTEREST EXPENSE</t>
  </si>
  <si>
    <t>Outstanding Network Upgrade Credits Recorded in FERC Acct 252</t>
  </si>
  <si>
    <t>Acct 252 Other</t>
  </si>
  <si>
    <t>Total Acct 252</t>
  </si>
  <si>
    <t>FF-1 total for Acct 252 - Customer Advances for Construction 
 (Must equal Line 3)</t>
  </si>
  <si>
    <t>FF-1 total for Acct 252 - Customer Advances for Construction 
(Must equal Line 7)</t>
  </si>
  <si>
    <t>FF1 113.56c</t>
  </si>
  <si>
    <t>Average Outstanding Network Upgrade Credits Beginning and End of Year</t>
  </si>
  <si>
    <t>Interest On Network Upgrade Credits Recorded in FERC Acct 242</t>
  </si>
  <si>
    <t>Acct 242 Other</t>
  </si>
  <si>
    <t>Total Acct 242</t>
  </si>
  <si>
    <t>FF-1 total for Acct 242 - Miscellaneous Current and Accrued Liabilities
(Must equal Line 12)</t>
  </si>
  <si>
    <t>FF1 113.48c</t>
  </si>
  <si>
    <t>Wtd. Cost of Long Term Debt:</t>
  </si>
  <si>
    <t>Wtd. Cost of Common + Pref. Stock:</t>
  </si>
  <si>
    <t>The AFCR is calculated by dividing the Prior Year TRR (without CWIP related costs)</t>
  </si>
  <si>
    <t>by Net Plant:</t>
  </si>
  <si>
    <t>Overview</t>
  </si>
  <si>
    <t>ROR</t>
  </si>
  <si>
    <t>Depreciation</t>
  </si>
  <si>
    <t>DepRates</t>
  </si>
  <si>
    <t>PlantInService</t>
  </si>
  <si>
    <t>PlantStudy</t>
  </si>
  <si>
    <t>PHFU</t>
  </si>
  <si>
    <t>AbandonedPlant</t>
  </si>
  <si>
    <t>IncentivePlant</t>
  </si>
  <si>
    <t>IncentiveAdder</t>
  </si>
  <si>
    <t>PlantAdditions</t>
  </si>
  <si>
    <t>IFPTRR</t>
  </si>
  <si>
    <t>TrueUpAdjust</t>
  </si>
  <si>
    <t>WorkCap</t>
  </si>
  <si>
    <t>AccDep</t>
  </si>
  <si>
    <t>OandM</t>
  </si>
  <si>
    <t>AandG</t>
  </si>
  <si>
    <t>pursuant to Commission acceptance of an SCE FPA Section 205 filing to revise the authorized PBOPs expense,</t>
  </si>
  <si>
    <t>(Sum of Col 1 to Col 4)</t>
  </si>
  <si>
    <t>Beginning of Year Balances are from December of the year previous to the Prior Year.</t>
  </si>
  <si>
    <t>1) Beginning of Year Balances: (Note 1)</t>
  </si>
  <si>
    <t>2) End of Year Balances: (Note 2)</t>
  </si>
  <si>
    <t>End of Year Balances are from December of the Prior Year.</t>
  </si>
  <si>
    <t>100% Abandoned Plant:</t>
  </si>
  <si>
    <t>A) Rancho Vista Incentives Received:</t>
  </si>
  <si>
    <t>B) Tehachapi Incentives Received:</t>
  </si>
  <si>
    <t>Cite:</t>
  </si>
  <si>
    <t>C) Devers to  Colorado River Incentives Received:</t>
  </si>
  <si>
    <t>D) Devers to  Palo Verde 2 Incentives Received:</t>
  </si>
  <si>
    <t>E) Eldorado Ivanpah Incentives Received:</t>
  </si>
  <si>
    <t>F) Lugo Pisgah Incentives Received:</t>
  </si>
  <si>
    <t>G) Red Bluff Incentives Received:</t>
  </si>
  <si>
    <t>H) Whirlwind Substation Expansion Incentives Received:</t>
  </si>
  <si>
    <t>I) Colorado River Substation Expansion Incentives Received:</t>
  </si>
  <si>
    <t>J) South of Kramer Incentives Received:</t>
  </si>
  <si>
    <t>K) West of Devers Incentives Received:</t>
  </si>
  <si>
    <t>L) Future Incentive Projects</t>
  </si>
  <si>
    <t>Commission decision.</t>
  </si>
  <si>
    <t>in accordance with the tariff protocols.  Accordingly, any amount different than the authorized PBOPs</t>
  </si>
  <si>
    <t>RevenueCredits</t>
  </si>
  <si>
    <t>NUCs</t>
  </si>
  <si>
    <t>RegAssets</t>
  </si>
  <si>
    <t>FFU</t>
  </si>
  <si>
    <t>Allocators</t>
  </si>
  <si>
    <t>TaxRates</t>
  </si>
  <si>
    <t>WholesaleTRRs</t>
  </si>
  <si>
    <t>Wholesale Rates</t>
  </si>
  <si>
    <t>HVLV</t>
  </si>
  <si>
    <t>GrossLoad</t>
  </si>
  <si>
    <t>RetailRates</t>
  </si>
  <si>
    <t>ROE incentive, for each million dollars of Incentive Net Plant.  It is calculated according to the following formula:</t>
  </si>
  <si>
    <t>1) Calculation of Transmission Wages and Salaries Allocation Factor</t>
  </si>
  <si>
    <t>2) Calculation of Transmission Plant Allocation Factor</t>
  </si>
  <si>
    <t xml:space="preserve">Transmission </t>
  </si>
  <si>
    <t>Plant - ISO</t>
  </si>
  <si>
    <t>Total Plant In Service</t>
  </si>
  <si>
    <t>HV and LV Gross Plant Percentages:</t>
  </si>
  <si>
    <t xml:space="preserve">Total Wages and Salaries wo A&amp;G </t>
  </si>
  <si>
    <t>Franchise Fee Factor:</t>
  </si>
  <si>
    <t>Reference:</t>
  </si>
  <si>
    <t>Table of Contents</t>
  </si>
  <si>
    <t>Worksheet Name</t>
  </si>
  <si>
    <t>BaseTRR</t>
  </si>
  <si>
    <t>Base TRR Components.</t>
  </si>
  <si>
    <t>Determination of Capital Structure</t>
  </si>
  <si>
    <t>Calculation of Depreciation Expense</t>
  </si>
  <si>
    <t>Presentation of Depreciation Rates</t>
  </si>
  <si>
    <t xml:space="preserve">Determination of Plant In Service balances </t>
  </si>
  <si>
    <t>Calculation of Abandoned Plant</t>
  </si>
  <si>
    <t>Summary of Incentive Plant balances in the Prior Year</t>
  </si>
  <si>
    <t>Calculation of the Incremental Forecast Period TRR</t>
  </si>
  <si>
    <t>Calculation of the True Up Adjustment</t>
  </si>
  <si>
    <t>Calculation of Accumulated Depreciation</t>
  </si>
  <si>
    <t>Calculation of Operations and Maintenance Expense</t>
  </si>
  <si>
    <t>Calculation of Revenue Credits</t>
  </si>
  <si>
    <t>Calculation of Regulatory Assets/Liabilities and Regulatory Debits</t>
  </si>
  <si>
    <t>Calculation of Composite Tax Rate</t>
  </si>
  <si>
    <t>Calculation of Franchise Fees Factor and Uncollectibles Expense Factor</t>
  </si>
  <si>
    <t>Calculation of components of SCE's Wholesale TRR</t>
  </si>
  <si>
    <t>Calculation of High and Low Voltage percentages of Gross Plant</t>
  </si>
  <si>
    <t>Presentation of forecast Gross Load for wholesale rate calculations</t>
  </si>
  <si>
    <t>Calculation of retail transmission rates</t>
  </si>
  <si>
    <t xml:space="preserve">Calculation of Materials and Supplies and Prepayments </t>
  </si>
  <si>
    <t>Gain negative, loss positive</t>
  </si>
  <si>
    <t>Partial Year</t>
  </si>
  <si>
    <t>Net Gain (Loss) From Purchase and Tender Offers</t>
  </si>
  <si>
    <t>Amortization of Net Gain (Loss)  From Purchases and Tender Offers</t>
  </si>
  <si>
    <t>Amortization Issuance Costs</t>
  </si>
  <si>
    <t>Retail Base TRR:</t>
  </si>
  <si>
    <t>1) Derivation of "Total Demand Rate" and "Total Energy Rate":</t>
  </si>
  <si>
    <t>Note 3</t>
  </si>
  <si>
    <t>CPUC Rate Group</t>
  </si>
  <si>
    <t>12-CP factors</t>
  </si>
  <si>
    <t>Total Allocated costs</t>
  </si>
  <si>
    <t>1d</t>
  </si>
  <si>
    <t>1e</t>
  </si>
  <si>
    <t>1f</t>
  </si>
  <si>
    <t>1g</t>
  </si>
  <si>
    <t>1h</t>
  </si>
  <si>
    <t>1i</t>
  </si>
  <si>
    <t>1j</t>
  </si>
  <si>
    <t>1k</t>
  </si>
  <si>
    <t>1l</t>
  </si>
  <si>
    <t>1m</t>
  </si>
  <si>
    <t>1n</t>
  </si>
  <si>
    <t>Note 4</t>
  </si>
  <si>
    <t>1o</t>
  </si>
  <si>
    <t>Note 5</t>
  </si>
  <si>
    <t>Note 6</t>
  </si>
  <si>
    <t>Note 7</t>
  </si>
  <si>
    <t>13a</t>
  </si>
  <si>
    <t>Note 8</t>
  </si>
  <si>
    <t>Note 9</t>
  </si>
  <si>
    <t>Note 10</t>
  </si>
  <si>
    <t>Note 11</t>
  </si>
  <si>
    <t>Energy Charge - $/kWh</t>
  </si>
  <si>
    <t>Rate Schedules in each CPUC Rate Group:</t>
  </si>
  <si>
    <t>Rate Schedules included in Each Rate Group in the Rate Effective Period</t>
  </si>
  <si>
    <t>Recorded 12-CP Load Data by Rate Group (MW)</t>
  </si>
  <si>
    <t>Line losses</t>
  </si>
  <si>
    <t>28e</t>
  </si>
  <si>
    <t>28f</t>
  </si>
  <si>
    <t>Calculation of Plant Held for Future Use</t>
  </si>
  <si>
    <t>Plant In Service</t>
  </si>
  <si>
    <t>13-Mo. Avg:</t>
  </si>
  <si>
    <t>Sum C2 - C4</t>
  </si>
  <si>
    <t>Average:</t>
  </si>
  <si>
    <t>G&amp;I Plant</t>
  </si>
  <si>
    <t>c) Any refunds attributable to SCE's previous CWIP TRR cases (Docket Nos. ER08-375, ER09-187, ER10-160, and ER11-1952), not previously returned to customers.</t>
  </si>
  <si>
    <t>Calculation of Network Upgrade Credits and Network Upgrade Interest Expense</t>
  </si>
  <si>
    <t>Forecast Additions to Net Plant</t>
  </si>
  <si>
    <t>Calculation of SCE's Wholesale transmission rates</t>
  </si>
  <si>
    <t>Towers and Fixtures</t>
  </si>
  <si>
    <t xml:space="preserve">1) Upon Commission approval of any incentives for additional projects, add additional projects and provide cite to the </t>
  </si>
  <si>
    <t>General + Elec. Misc. Intangible Plant</t>
  </si>
  <si>
    <t>Late Payment Charge- Comm. &amp; Ind.</t>
  </si>
  <si>
    <t>HV Transmission Lines</t>
  </si>
  <si>
    <t>Schedule</t>
  </si>
  <si>
    <t>TRANSMISSION PLANT HELD FOR FUTURE USE</t>
  </si>
  <si>
    <t>Partial Year TRR Attribution Allocation Factors:</t>
  </si>
  <si>
    <t>3) The True Up Adjustment is a component of the Base TRR that reflects the difference between projected and</t>
  </si>
  <si>
    <t>Initial Prior Year?:</t>
  </si>
  <si>
    <t>If Initial Prior Year, enter "Yes", else "No"</t>
  </si>
  <si>
    <t>Any gain or loss on non-land portions of Transmission Plant Held for Future Use is not included.</t>
  </si>
  <si>
    <t>list on lines 2a, 2b, etc.  Provide description in Column 1.  Note type of plant (land or other) in Column 2.</t>
  </si>
  <si>
    <t>Under "Source" (Column 5), state the line number on FERC Form 1 page 214 from which the amount is derived.</t>
  </si>
  <si>
    <t xml:space="preserve">3) Add additional lines 2 i, j, k, etc. as necessary to include additional projects intended to be placed under the </t>
  </si>
  <si>
    <t>See Note 2.</t>
  </si>
  <si>
    <t>General</t>
  </si>
  <si>
    <t>Intangible</t>
  </si>
  <si>
    <t>FF1 206.99.b and 204.5b</t>
  </si>
  <si>
    <t>b) EOY G&amp;I Plant</t>
  </si>
  <si>
    <t xml:space="preserve">a) BOY/EOY Average G&amp;I Plant </t>
  </si>
  <si>
    <t>FF1 page 214.47d</t>
  </si>
  <si>
    <t>1) Amount of Line 1 not intended to be placed under the Operational Control of the ISO.</t>
  </si>
  <si>
    <t xml:space="preserve">Accumulated Deferred Income Taxes </t>
  </si>
  <si>
    <t>Reason</t>
  </si>
  <si>
    <t>FF1 277.19k</t>
  </si>
  <si>
    <t>Account 282</t>
  </si>
  <si>
    <t>Account 283</t>
  </si>
  <si>
    <t>Account 190</t>
  </si>
  <si>
    <t>FF1 234.18c</t>
  </si>
  <si>
    <t>Effective State</t>
  </si>
  <si>
    <t>Tax Rate</t>
  </si>
  <si>
    <t>Ratio of SCE</t>
  </si>
  <si>
    <t>Sum C2 - C11</t>
  </si>
  <si>
    <t>Total Distribution</t>
  </si>
  <si>
    <t>FF1 113.56d</t>
  </si>
  <si>
    <t>1) Latest SCE approved sales forecast as of April 15 of each year.</t>
  </si>
  <si>
    <t>2) SCE pump load forecast as of April 15 of each year.</t>
  </si>
  <si>
    <t>1) Prior Year CWIP, Total and by Project</t>
  </si>
  <si>
    <t>Def Operating Land &amp; Facilities Rent Rev</t>
  </si>
  <si>
    <t>FF-1 Total for Account 456.1 - Revenues from Trans. Of Electricity of Others, p300.22b (Must Equal Line 16)</t>
  </si>
  <si>
    <t>FF-1 Total for Acct 450 - Forfeited Discounts, p300.16b (Must Equal Line 2)
(Must Equal Line X)</t>
  </si>
  <si>
    <t>FF-1 Total for Acct 451 - Misc. Service Revenues, p300.17b 
(Must Equal Line 5)</t>
  </si>
  <si>
    <t>FF-1 Total for Acct 453 - Sales of Water and Power, p300.18b
(Must Equal Line 8)</t>
  </si>
  <si>
    <t>FF-1 Total for Acct 454 - Rent from Elec. Property, p300.19b
(Must Equal Line 11)</t>
  </si>
  <si>
    <t>FF-1 Total for Acct 456 - Other electric Revenues, p300.21b
(Must Equal Line 13)</t>
  </si>
  <si>
    <t>FF-1 Total for Account 457.1 - Regional Control Service Revenues, p300.23b (Must Equal Line 19)</t>
  </si>
  <si>
    <t>FF-1 Total for Account 457.2- Miscellaneous Revenues, p300.24b 
(Must Equal Line 22)</t>
  </si>
  <si>
    <t>FF-1 Total for Account 418.1 -Equity in Earnings of Subsidiary Companies, p117.36c (Must Equal Line 29 + 30)</t>
  </si>
  <si>
    <t>FF-1 Total for Account 417 - Revenues From Nonutility Operations  p117.33c (Must Equal Line 25 + 26)</t>
  </si>
  <si>
    <t>Calculation of the Contribution of CWIP to the Base TRR</t>
  </si>
  <si>
    <t>Cost of Capital Rate:</t>
  </si>
  <si>
    <t>Return:</t>
  </si>
  <si>
    <t>ROE Adder %:</t>
  </si>
  <si>
    <t>ROE Adder Tehachapi:</t>
  </si>
  <si>
    <t>ROE Adder DCR:</t>
  </si>
  <si>
    <t>FF Factor:</t>
  </si>
  <si>
    <t>U Factor:</t>
  </si>
  <si>
    <t>2) Summary of Prior Year Incentive Rate Base amounts (EOY Values)</t>
  </si>
  <si>
    <t>d) ROE Incentives:</t>
  </si>
  <si>
    <t>2) Devers to Colorado River</t>
  </si>
  <si>
    <t>2) Contribution from the Incremental Forecast Period TRR</t>
  </si>
  <si>
    <t>b) Return:</t>
  </si>
  <si>
    <t>Tehachapi:</t>
  </si>
  <si>
    <t>Devers to Colorado River:</t>
  </si>
  <si>
    <t>Eldorado Ivanpah:</t>
  </si>
  <si>
    <t>Lugo-Pisgah:</t>
  </si>
  <si>
    <t>Red Bluff:</t>
  </si>
  <si>
    <t>Whirlwind Sub Expansion:</t>
  </si>
  <si>
    <t>Colorado River Sub Expansion:</t>
  </si>
  <si>
    <t>South of Kramer:</t>
  </si>
  <si>
    <t>West of Devers:</t>
  </si>
  <si>
    <t>PY Total Return, Taxes, Incentive:</t>
  </si>
  <si>
    <t>Total without FF&amp;U:</t>
  </si>
  <si>
    <t>Total Contribution of CWIP to Retail Base TRR:</t>
  </si>
  <si>
    <t>Transmission Revenues: (Note 12)</t>
  </si>
  <si>
    <t>13) Only include Base Transmission Revenue attributable to this formula transmission rate.</t>
  </si>
  <si>
    <t>14) Other Transmission Revenue includes the following:</t>
  </si>
  <si>
    <t>12) Only provide if formula was in effect during Prior Year.</t>
  </si>
  <si>
    <t>See Note 14</t>
  </si>
  <si>
    <t>Operations and Maintenance Expenses</t>
  </si>
  <si>
    <t>1) Determination of Adjusted Operations and Maintenance Expenses for each account (Note 1)</t>
  </si>
  <si>
    <t>= C3 + C4</t>
  </si>
  <si>
    <t>= C7 + C8</t>
  </si>
  <si>
    <t>= C10 + C11</t>
  </si>
  <si>
    <t>= C3 + C7</t>
  </si>
  <si>
    <t>= C4 + C8</t>
  </si>
  <si>
    <t>Account/Work Activity  Rev</t>
  </si>
  <si>
    <t>Total Recorded O&amp;M Expenses</t>
  </si>
  <si>
    <t>Adjustments</t>
  </si>
  <si>
    <t>Adjusted Recorded O&amp;M Expenses</t>
  </si>
  <si>
    <t>Labor</t>
  </si>
  <si>
    <t>Non-Labor</t>
  </si>
  <si>
    <t>Transmission Accounts</t>
  </si>
  <si>
    <t>560 - Operations Engineering</t>
  </si>
  <si>
    <t>560 - Sylmar/Palo Verde</t>
  </si>
  <si>
    <t>561.000 Load Dispatching</t>
  </si>
  <si>
    <t>561.100 Load Dispatch-Reliability</t>
  </si>
  <si>
    <t>561.200 Load Dispatch Monitor and Operate Trans. System</t>
  </si>
  <si>
    <t>561.400 Scheduling, System Control and Dispatch Services</t>
  </si>
  <si>
    <t>561.500 Reliability, Planning and Standards Development</t>
  </si>
  <si>
    <t>562 - MOGS Station Expense</t>
  </si>
  <si>
    <t>562 - Operating Transmission Stations</t>
  </si>
  <si>
    <t>562 - Routine Testing and Inspection</t>
  </si>
  <si>
    <t>562 - Sylmar/Palo Verde</t>
  </si>
  <si>
    <t>563 - Inspect and Patrol Line</t>
  </si>
  <si>
    <t>564 - Underground Line Expense</t>
  </si>
  <si>
    <t>565 - Wheeling Costs</t>
  </si>
  <si>
    <t>565 - WAPA Transmission for Remote Service</t>
  </si>
  <si>
    <t>565 - Transmission for Four Corners</t>
  </si>
  <si>
    <t>566 - ISO/RSBA/TSP Balancing Accounts</t>
  </si>
  <si>
    <t>566 - NERC/CIP Compliance</t>
  </si>
  <si>
    <t>566 - Transmission Regulatory Policy</t>
  </si>
  <si>
    <t>566 - FERC Regulation &amp; Contracts</t>
  </si>
  <si>
    <t>566 - Grid Contract Management</t>
  </si>
  <si>
    <t>566 - Sylmar/Palo Verde/Other General Functions</t>
  </si>
  <si>
    <t>567 - Line Rents</t>
  </si>
  <si>
    <t>567 - Morongo Lease</t>
  </si>
  <si>
    <t>567 - Eldorado</t>
  </si>
  <si>
    <t>567 - Sylmar/Palo Verde</t>
  </si>
  <si>
    <t>568 - Maintenance Supervision and Engineering</t>
  </si>
  <si>
    <t>568 - Sylmar/Palo Verde</t>
  </si>
  <si>
    <t>569 - Maintenance of Structures</t>
  </si>
  <si>
    <t>569 - Sylmar/Palo Verde</t>
  </si>
  <si>
    <t>570 - Maintenance of Power Transformers</t>
  </si>
  <si>
    <t>570 - Maintenance of Transmission Circuit Breakers</t>
  </si>
  <si>
    <t>570 - Maintenance of Transmission Voltage Equipment</t>
  </si>
  <si>
    <t>570 - Maintenance of Miscellaneous Transmission Equipment</t>
  </si>
  <si>
    <t>570 - Sylmar/Palo Verde</t>
  </si>
  <si>
    <t>571 - Poles and Structures</t>
  </si>
  <si>
    <t>571 - Insulators and Conductors</t>
  </si>
  <si>
    <t xml:space="preserve">571 - Transmission Line Rights of Way </t>
  </si>
  <si>
    <t>571 - Sylmar/Palo Verde</t>
  </si>
  <si>
    <t>572 - Maintenance of Underground Transmission Lines</t>
  </si>
  <si>
    <t>572 - Sylmar/Palo Verde</t>
  </si>
  <si>
    <t>573 - Provision for Property Damage Expense to Trans. Fac.</t>
  </si>
  <si>
    <t>Total Transmission O&amp;M</t>
  </si>
  <si>
    <t>Distribution Accounts</t>
  </si>
  <si>
    <t>582 - Operation and Relay Protection of Distribution Substations</t>
  </si>
  <si>
    <t>582 - Testing and Inspecting Distribution Substation Equipment</t>
  </si>
  <si>
    <t>590 - Maintenance Supervision and Engineering</t>
  </si>
  <si>
    <t>591 - Maintenance of Structures</t>
  </si>
  <si>
    <t>592 - Maintenance of Distribution Transformers</t>
  </si>
  <si>
    <t>592 - Maintenance of Distribution Circuit Breakers</t>
  </si>
  <si>
    <t>592 - Maintenance of Distribution Voltage Control Equipment</t>
  </si>
  <si>
    <t>592 - Maintenance of Miscellaneous Distribution Equipment</t>
  </si>
  <si>
    <t>Accounts with no ISO Distribution Costs</t>
  </si>
  <si>
    <t>Total Distribution O&amp;M</t>
  </si>
  <si>
    <t>Total Transmission and Distribution O&amp;M</t>
  </si>
  <si>
    <t>Total Transmission O&amp;M Expenses in FERC Form 1:</t>
  </si>
  <si>
    <t>FF1 321.112b</t>
  </si>
  <si>
    <t>Total Distribution O&amp;M Expenses in FERC Form 1:</t>
  </si>
  <si>
    <t>FF1322.156b</t>
  </si>
  <si>
    <t>From C9 above</t>
  </si>
  <si>
    <t>From C10 above</t>
  </si>
  <si>
    <t>From C11 above</t>
  </si>
  <si>
    <t>ISO O&amp;M Expenses</t>
  </si>
  <si>
    <t>Total Transmission - ISO O&amp;M</t>
  </si>
  <si>
    <t>Total Distribution - ISO O&amp;M</t>
  </si>
  <si>
    <t>1) "Adjusted Operations and Maintenance Expenses for each account" are the total amounts of O&amp;M costs booked to each Transmission or Distribution account, less adjustments as noted.</t>
  </si>
  <si>
    <t>2) Reasons for excluded amounts:</t>
  </si>
  <si>
    <t>A: Exclude entire amount, all attributable to CAISO costs recovered in Energy Resource Recovery Account.</t>
  </si>
  <si>
    <t>B: Exclude amount related to MOGS Station Expense.</t>
  </si>
  <si>
    <t>C: Exclude amount attributable to CAISO costs recovered in Energy Resource Recovery Account.</t>
  </si>
  <si>
    <t>D: Exclude amount recovered through to Reliability Services Balancing Account, the Transmission Access Charge Balancing Account Adjustment,</t>
  </si>
  <si>
    <t>3) Input most recent available ratios based on</t>
  </si>
  <si>
    <t xml:space="preserve">      taxable income from state return filings.</t>
  </si>
  <si>
    <t>Remaining Electric Payroll Tax Expense to Allocate</t>
  </si>
  <si>
    <t>BOY:</t>
  </si>
  <si>
    <t>EOY:</t>
  </si>
  <si>
    <t>BOY/EOY Average:</t>
  </si>
  <si>
    <t xml:space="preserve">Depreciation </t>
  </si>
  <si>
    <t>Reserve</t>
  </si>
  <si>
    <t>a) Average BOY/EOY General and Intangible Depreciation Reserve</t>
  </si>
  <si>
    <t>Total G+I Dep. Reserve on Average BOY/EOY basis:</t>
  </si>
  <si>
    <t>G + I Plant Dep. Reserve (BOY/EOY Average):</t>
  </si>
  <si>
    <t>Total G+I Dep. Reserve on Average EOY basis:</t>
  </si>
  <si>
    <t>G + I Plant Dep. Reserve (EOY):</t>
  </si>
  <si>
    <t>Calculation of Wholesale Difference to the Base TRR</t>
  </si>
  <si>
    <t xml:space="preserve">The Wholesale Difference to the Base TRR represents the amount by which the Wholesale Base TRR differs as </t>
  </si>
  <si>
    <t>If the annual amortization affects Income Taxes, there is an additional annual Income Tax Effect.  The table</t>
  </si>
  <si>
    <t>summarizes these impacts for each item:</t>
  </si>
  <si>
    <t xml:space="preserve">Expense </t>
  </si>
  <si>
    <t>(Amortization)</t>
  </si>
  <si>
    <t>Tax Impact</t>
  </si>
  <si>
    <t>a) Depreciation</t>
  </si>
  <si>
    <t>b) Taxes Deferred -Make Up Adjustment (South Georgia)</t>
  </si>
  <si>
    <t>d) Taxes Deferred - Acct. 282 ACRS/MACRS</t>
  </si>
  <si>
    <t>e) Uncollectibles Expense</t>
  </si>
  <si>
    <t>1) Calculation of Wholesale Rate Base Difference and Wholesale Rate Base Adjustment</t>
  </si>
  <si>
    <t>a) Quantification of the Initial 2010 Wholesale Rate Base Difference and annual change</t>
  </si>
  <si>
    <t>The difference between Retail and Wholesale Rate Base is attributable to the following four items, with</t>
  </si>
  <si>
    <t>with the Initial Prior Year 2010 Rate Base differences and annual changes as follows:</t>
  </si>
  <si>
    <t>2010 Rate Base</t>
  </si>
  <si>
    <t>Annual</t>
  </si>
  <si>
    <t>(Wholesale</t>
  </si>
  <si>
    <t>Change</t>
  </si>
  <si>
    <t>less Retail)</t>
  </si>
  <si>
    <t>1) Accumulated Depreciation</t>
  </si>
  <si>
    <t>Fixed values</t>
  </si>
  <si>
    <t>2) Taxes Deferred - Make Up Adjustment</t>
  </si>
  <si>
    <t>4) Taxes Deferred - Acct. 282 ACRS/MACRS</t>
  </si>
  <si>
    <t>b) Quantification of the Wholesale Rate Base Adjustment</t>
  </si>
  <si>
    <t>the Wholesale Rate Base Difference for the Prior Year.</t>
  </si>
  <si>
    <t>Notes/Instructions</t>
  </si>
  <si>
    <t>Fixed Charge Rate</t>
  </si>
  <si>
    <t>Wholesale Rate Base Difference for Prior Year</t>
  </si>
  <si>
    <t>Wholesale Rate Base Adjustment</t>
  </si>
  <si>
    <t>a) Calculation of the Wholesale South Georgia Income Tax Adjustment to the TRR</t>
  </si>
  <si>
    <t>South Georgia Amortization</t>
  </si>
  <si>
    <t>Total Expense Difference:</t>
  </si>
  <si>
    <t>3) Calculation of the Wholesale Difference to the Base TRR</t>
  </si>
  <si>
    <t>Expense Difference</t>
  </si>
  <si>
    <t>Wholesale Difference to the Base TRR:</t>
  </si>
  <si>
    <t>Notes/Instructions:</t>
  </si>
  <si>
    <t>1) Fixed Charge Rate of capital and income tax costs associated with $1 of Rate Base</t>
  </si>
  <si>
    <t>is defined elsewhere in this formula as "AFCRCWIP".</t>
  </si>
  <si>
    <t>WholesaleDifference</t>
  </si>
  <si>
    <t>Calculation of the Wholesale Difference to the Base TRR</t>
  </si>
  <si>
    <t>Franchise Fee Exclusion</t>
  </si>
  <si>
    <t>Wholesale Difference to the Base TRR</t>
  </si>
  <si>
    <t xml:space="preserve">Base TRR (Retail) </t>
  </si>
  <si>
    <t>Amount to apply the Transmission W&amp;S AF:</t>
  </si>
  <si>
    <t>Transmission W&amp;S AF Portion of A&amp;G:</t>
  </si>
  <si>
    <t>Department</t>
  </si>
  <si>
    <t>A&amp;G</t>
  </si>
  <si>
    <t>Trans. And Dist. Business Unit</t>
  </si>
  <si>
    <t>Total Amount</t>
  </si>
  <si>
    <t>2) Determination of ISO Operations and Maintenance Expenses for each account (Note 5).</t>
  </si>
  <si>
    <t>Joint Pole - Aud - Unauth Penalty</t>
  </si>
  <si>
    <t>Microwave Agreement</t>
  </si>
  <si>
    <t>Miscellaneous Adjustments</t>
  </si>
  <si>
    <t>-</t>
  </si>
  <si>
    <t>Tax Gross Up Factor</t>
  </si>
  <si>
    <t>It represents the effect on expenses (Wholesale less Retail) of amortizing the associated balances each year.</t>
  </si>
  <si>
    <t>CALCULATION OF SCE WHOLESALE HIGH AND LOW VOLTAGE TRRS</t>
  </si>
  <si>
    <t>Gross Load =</t>
  </si>
  <si>
    <t>LV TRR =</t>
  </si>
  <si>
    <t>Low Voltage Access Charge =</t>
  </si>
  <si>
    <t>Low Voltage Wheeling Access Charge =</t>
  </si>
  <si>
    <t>High Voltage Utility-Specific Rate =</t>
  </si>
  <si>
    <t>HV Wholesale TRR =</t>
  </si>
  <si>
    <t>Sum of Monthly Peak Demands:</t>
  </si>
  <si>
    <t>HV Existing Contracts Access Charge:</t>
  </si>
  <si>
    <t>LV Wholesale TRR =</t>
  </si>
  <si>
    <t>LV Existing Contracts Access Charge:</t>
  </si>
  <si>
    <t>a) CWIP Balances:</t>
  </si>
  <si>
    <t>CWIP Amount:</t>
  </si>
  <si>
    <t>Cost of Capital:</t>
  </si>
  <si>
    <t>Equity ROR w Preferred Stock ("ER"):</t>
  </si>
  <si>
    <t>Tehachapi CWIP Amount:</t>
  </si>
  <si>
    <t>ROE  Adder $:</t>
  </si>
  <si>
    <t>ROE Adder $ = (CWIP/$1,000,000) * IREF * (ROE Adder/1%)</t>
  </si>
  <si>
    <t>PYTRR</t>
  </si>
  <si>
    <t>1) Contribution to the Prior Year TRR</t>
  </si>
  <si>
    <t>Cost of</t>
  </si>
  <si>
    <t>Income</t>
  </si>
  <si>
    <t>Capital</t>
  </si>
  <si>
    <t>Taxes</t>
  </si>
  <si>
    <t>a) Total of all CWIP projects</t>
  </si>
  <si>
    <t>b) Individual Project Contribution</t>
  </si>
  <si>
    <t>b) Individual CWIP Project Contribution to the Retail Base TRR</t>
  </si>
  <si>
    <t>FF&amp;U</t>
  </si>
  <si>
    <t>Direct CWIP Related Costs:</t>
  </si>
  <si>
    <t>Calculation of SCE Wholesale Rates (See Note 1)</t>
  </si>
  <si>
    <t>1) SCE's wholesale rates are subject to revision upon acceptance by the Commission of a revised TRBAA</t>
  </si>
  <si>
    <t xml:space="preserve">1) TRBAA is "Transmission Revenue Balancing Account Adjustment".  The TRBAA is determined pursuant to SCE's </t>
  </si>
  <si>
    <t>amount, or upon the date the Commission orders.</t>
  </si>
  <si>
    <t>Determination of Prior Year TRR without CWIP related costs:</t>
  </si>
  <si>
    <t>a) Determination of CWIP-Related Costs</t>
  </si>
  <si>
    <t>1) Direct (without ROE adder) CWIP costs</t>
  </si>
  <si>
    <t>2) CWIP ROE Adder costs:</t>
  </si>
  <si>
    <t>DCR CWIP Amount:</t>
  </si>
  <si>
    <t>Tehachapi ROE  Adder $:</t>
  </si>
  <si>
    <t>Tehachapi ROE Adder %:</t>
  </si>
  <si>
    <t>DCR ROE Adder %:</t>
  </si>
  <si>
    <t>DCR ROE  Adder $:</t>
  </si>
  <si>
    <t>IREF:</t>
  </si>
  <si>
    <t>b) Determination of AFCR:</t>
  </si>
  <si>
    <t>CWIPTRR</t>
  </si>
  <si>
    <t>Calculation of Contribution of CWIP to TRRs</t>
  </si>
  <si>
    <t>Overview of SCE Retail Base TRR</t>
  </si>
  <si>
    <t>3) The True Up Adjustment for the initial Base TRR is $0.</t>
  </si>
  <si>
    <t xml:space="preserve">1) Depreciation Expense for each account for each month is equal to the previous month balance of Transmission Plant - ISO for that </t>
  </si>
  <si>
    <t>2) Enter total amounts of plant from FERC Form 1 in Column 1, "Total Plant".</t>
  </si>
  <si>
    <t xml:space="preserve">1) Determine Prior Year Incentive Adder for each Incentive Project by multiplying the </t>
  </si>
  <si>
    <t>Forecast Plant Additions for In-Service ISO Transmission Plant</t>
  </si>
  <si>
    <t xml:space="preserve">Forecast Plant Additions represents the total increase in ISO Transmission Net Plant, not including CWIP, </t>
  </si>
  <si>
    <t>AFCRCWIP represents the return and income tax costs associated with $1 of CWIP,</t>
  </si>
  <si>
    <t>CWIP Plant - Prior Year:</t>
  </si>
  <si>
    <t>Prior Year TRR wo CWIP Related Costs:</t>
  </si>
  <si>
    <t>Percent</t>
  </si>
  <si>
    <t>Percentage</t>
  </si>
  <si>
    <t xml:space="preserve">the formula shall be weighted by the number of days each such rate was in effect.  For example, a 35% rate </t>
  </si>
  <si>
    <t xml:space="preserve"> ((.3500 x 120) + (.4000 x 245))/365 = .3836.</t>
  </si>
  <si>
    <t xml:space="preserve">in effect for 120 days superseded by a 40% rate in effect for the remainder of the year will be calculated as: </t>
  </si>
  <si>
    <t>1) In the event that statutory marginal tax rates change during the Prior Year, the effective tax rate used in</t>
  </si>
  <si>
    <t>Summary of Split of T&amp;D Plant into ISO and Non-ISO</t>
  </si>
  <si>
    <t>Total without FF&amp;U</t>
  </si>
  <si>
    <t>IFPTRR without FF&amp;U:</t>
  </si>
  <si>
    <t>Franchise Fees Expense:</t>
  </si>
  <si>
    <t>Uncollectibles Expense:</t>
  </si>
  <si>
    <t>Uncollectibles Expense -- Prior Year TRR</t>
  </si>
  <si>
    <t>Uncollectibles Expense -- IFPTRR</t>
  </si>
  <si>
    <t>FF&amp;U:</t>
  </si>
  <si>
    <t>CWIP component of IFPTRR without FF&amp;U:</t>
  </si>
  <si>
    <t>CWIP component of IFPTRR including FF&amp;U:</t>
  </si>
  <si>
    <t xml:space="preserve">Note 4: </t>
  </si>
  <si>
    <t>Franchise Fees Expenses component of the Prior Year TRR are based on Franchise Fee Factors.</t>
  </si>
  <si>
    <t>State Taxable</t>
  </si>
  <si>
    <t>Income to SCE</t>
  </si>
  <si>
    <t>Taxable Income</t>
  </si>
  <si>
    <t>FF</t>
  </si>
  <si>
    <t>= Sum C1 to C4</t>
  </si>
  <si>
    <t>FF&amp;U Expenses:</t>
  </si>
  <si>
    <t>CWIP Related Costs wo FF&amp;U:</t>
  </si>
  <si>
    <t>CWIP Related Costs with FF&amp;U:</t>
  </si>
  <si>
    <t>Applies to kWh charges</t>
  </si>
  <si>
    <t>12-CP MW</t>
  </si>
  <si>
    <t>Loss Adjusted Average 12-CP</t>
  </si>
  <si>
    <t>Allocation Factors for Backup Rates:</t>
  </si>
  <si>
    <t>siting, or informational purposes in column 1.</t>
  </si>
  <si>
    <t>4) Calculation of True-Up Incentive Adder</t>
  </si>
  <si>
    <t xml:space="preserve">1) Determine True Up Incentive Adder for each Incentive Project by multiplying the </t>
  </si>
  <si>
    <t>True-Up Incentive Adder =</t>
  </si>
  <si>
    <t>True Up Incentive Adder</t>
  </si>
  <si>
    <t xml:space="preserve">(HV Allocation Factor and </t>
  </si>
  <si>
    <t>571 - Transmission Work Order Related Expense</t>
  </si>
  <si>
    <t>Unamortized Issuance Costs</t>
  </si>
  <si>
    <t>Minus Net Gain (Loss) From Purchase and Tender Offers</t>
  </si>
  <si>
    <t>Less Unappropriated Undist. Sub. Earnings -- Acct. 216.1</t>
  </si>
  <si>
    <t>Less Accumulated Other Comprehensive Loss -- Account 219</t>
  </si>
  <si>
    <t>Calculation of Preferred Stock Amount</t>
  </si>
  <si>
    <t>Calculation of Cost of Preferred Stock</t>
  </si>
  <si>
    <t>June</t>
  </si>
  <si>
    <t>Col 13</t>
  </si>
  <si>
    <t>Col 14</t>
  </si>
  <si>
    <t>Sales Forecast - GWh</t>
  </si>
  <si>
    <t>= C2 + C3</t>
  </si>
  <si>
    <t>IREF = CSCP * 0.01 * (1/(1 - CTR)) * $1,000,000</t>
  </si>
  <si>
    <t>CPUC Jurisdictional service related.</t>
  </si>
  <si>
    <t>CWIP component of IFPTRR wo FF&amp;U:</t>
  </si>
  <si>
    <t>c) Individual CWIP Project Contribution to the Wholesale Base TRR</t>
  </si>
  <si>
    <t>wo FF&amp;U</t>
  </si>
  <si>
    <t>with FF&amp;U</t>
  </si>
  <si>
    <t>6) Same as Note 5 except no Uncollectibles Expense in Column 3.</t>
  </si>
  <si>
    <t>Total Contribution of CWIP to Wholesale Base TRR:</t>
  </si>
  <si>
    <t>Franchise Fees Amount:</t>
  </si>
  <si>
    <t>Uncollectibles Amount:</t>
  </si>
  <si>
    <t>3) Total Contribution of CWIP to the Retail and Wholesale Base TRRs:</t>
  </si>
  <si>
    <t>A) Rate Base for True Up TRR</t>
  </si>
  <si>
    <t>Total without True Up Incentive Adder</t>
  </si>
  <si>
    <t>True Up TRR wo FF:</t>
  </si>
  <si>
    <t>True Up TRR:</t>
  </si>
  <si>
    <t>a) Attribute True Up TRR to months in the Prior Year (see Note #1) to determine "Monthly True Up TRR"</t>
  </si>
  <si>
    <t>b) Determine monthly retail transmission revenues attributable to this formula transmission rate received during Prior Year.</t>
  </si>
  <si>
    <t>2) Comparison of True Up TRR and Actual Retail Transmission Revenues received during the Prior Year,</t>
  </si>
  <si>
    <t>1) The true up period is the portion (all or part) of the Prior Year for which the Formula Transmission Rate was in effect.</t>
  </si>
  <si>
    <t>2) The Monthly True Up TRR is derived by multiplying the annual True Up TRR on Line 1 by 1/12, if formula was in effect.  In the event of</t>
  </si>
  <si>
    <t xml:space="preserve">b) In the event that a Commission Order revises SCE's True Up TRR for a previous Prior Year, </t>
  </si>
  <si>
    <t xml:space="preserve">8) If true up period is less than entire calendar year, then adjust calculation accordingly by including $0 Monthly True Up TRR and for </t>
  </si>
  <si>
    <t>TUTRR</t>
  </si>
  <si>
    <t>Calculation of the True Up TRR</t>
  </si>
  <si>
    <t>2) Prior Year Incentive Rate Base - End of Year</t>
  </si>
  <si>
    <t>3) Prior Year Incentive Rate Base - 13-Month Average</t>
  </si>
  <si>
    <t>3) Summary of Prior Year Incentive Rate Base amounts (13-Month Average values)</t>
  </si>
  <si>
    <t>a) CWIP Plant during the Prior Year is included in Rate Base (used in Prior Year TRR and True Up TRR).</t>
  </si>
  <si>
    <t xml:space="preserve">c) CWIP Plant receiving an ROE adder contributes to Prior Year Incentive Rate Base - EOY, </t>
  </si>
  <si>
    <t>or Prior Year Incentive Rate Base - 13 Month Average as appropriate.</t>
  </si>
  <si>
    <t>e) "TIP Net Plant In Service" in PY is used to calculate the Prior Year Incentive Rate Base (on 13-month average basis).</t>
  </si>
  <si>
    <t>d) "TIP Net Plant In Service" at EOY Prior Year is used to calculate the PY Incentive Rate Base (on EOY basis).</t>
  </si>
  <si>
    <t>b) The True Up Incentive Adder is a component of the True Up TRR.</t>
  </si>
  <si>
    <t>IREF, the Multiplicative Factor, and the million $ of True Up Incentive Net Plant.</t>
  </si>
  <si>
    <t>1) CWIP Contribution to the Prior Year TRR and True Up TRR</t>
  </si>
  <si>
    <t>e) Total of Return, Income Taxes, and ROE Incentives contribution to PYTRR and True Up TRR</t>
  </si>
  <si>
    <t>f) Contribution from each Project to the Prior Year TRR and True Up TRR</t>
  </si>
  <si>
    <t>2) Contribution to the True Up TRR</t>
  </si>
  <si>
    <t>CWIP Component of Wholesale Base TRR:</t>
  </si>
  <si>
    <t>Non-CWIP Component of Wholesale Base TRR:</t>
  </si>
  <si>
    <t>Calculation of Total High Voltage and Low Voltage components of Wholesale TRR</t>
  </si>
  <si>
    <t>c) Excess Deferred Taxes</t>
  </si>
  <si>
    <t>3) Excess Deferred Taxes</t>
  </si>
  <si>
    <t>Annual Amort. of "Excess Deferred Taxes":</t>
  </si>
  <si>
    <t>b) Calculation of "Excess Deferred Taxes" Grossed Up for Income Taxes</t>
  </si>
  <si>
    <t>Excess Deferred Taxes Grossed Up for Income Taxes:</t>
  </si>
  <si>
    <t>Non-ISO facilities related.</t>
  </si>
  <si>
    <t>2) Calculation of Wholesale Expense Difference</t>
  </si>
  <si>
    <t>5) Calculation of Total ROE for Plant-In Service in the True Up TRR</t>
  </si>
  <si>
    <t>a) Transmission Incentive Plant Net Plant In Service</t>
  </si>
  <si>
    <t>b) Calculation of ROE Adders on TIP Net Plant In Service</t>
  </si>
  <si>
    <t>After-Tax</t>
  </si>
  <si>
    <t>c) Equity Portion of Plant In Service Rate Base</t>
  </si>
  <si>
    <t>Total Rate Base:</t>
  </si>
  <si>
    <t>CWIP Portion of Rate Base:</t>
  </si>
  <si>
    <t>Plant In Service Rate Base:</t>
  </si>
  <si>
    <t>Equity percentage:</t>
  </si>
  <si>
    <t>Equity Portion of Plant In Service Rate Base:</t>
  </si>
  <si>
    <t>d) Total ROE for Plant In Service in the True Up TRR</t>
  </si>
  <si>
    <t>Plant In Service ROE Adder Percentage:</t>
  </si>
  <si>
    <t>Base ROE (Including 50 basis point</t>
  </si>
  <si>
    <t>CAISO Participation Adder):</t>
  </si>
  <si>
    <t>Total ROE for Plant In Service in True Up TRR:</t>
  </si>
  <si>
    <t>Column 2: The After Tax True Up Incentive Adder is derived by multiplying the amounts in</t>
  </si>
  <si>
    <t>1) Wholesale Depreciation Difference</t>
  </si>
  <si>
    <t>Negative amount is to be returned to customers by SCE (included in Base TRR as a negative amount).</t>
  </si>
  <si>
    <t>11) Interest for Current Month is calculated on average of beginning and end balances (wo interest) in Columns 3 and 5.</t>
  </si>
  <si>
    <t>Balances for Transmission Plant - ISO during the Prior Year, including December of previous year (See Note 1):</t>
  </si>
  <si>
    <t>Transmission Activity Used to Determine Monthly Transmission Plant - ISO Balances</t>
  </si>
  <si>
    <t>1) Total Transmission Activity by Account (See Note 3)</t>
  </si>
  <si>
    <t>4) Calculation of change in Non-Incentive ISO Plant:</t>
  </si>
  <si>
    <t>A) Change in ISO Plant Balance December to December (See Note 6)</t>
  </si>
  <si>
    <t>B) Change in Incentive ISO Plant (See Note 7)</t>
  </si>
  <si>
    <t>C) Change in Non-Incentive ISO Plant (See Note 8)</t>
  </si>
  <si>
    <t>3) General and Intangible Depreciation Reserve</t>
  </si>
  <si>
    <t>Transmission Activity Used to Determine Monthly Transmission Depreciation Reserve - ISO Balances</t>
  </si>
  <si>
    <t>4) Calculation of Other Transmission Activity</t>
  </si>
  <si>
    <t>Balances for Transmission Depreciation Reserve - ISO during the Prior Year, including December of previous year (See Note 1):</t>
  </si>
  <si>
    <t>2) Distribution Depreciation Reserve - ISO (See Note 2)</t>
  </si>
  <si>
    <t>3) Total Transmission Activity by Account represents accumulated depreciation changes for all Transmission plant.</t>
  </si>
  <si>
    <t>2) Depreciation Expense (See Note 4)</t>
  </si>
  <si>
    <t>3) Total Transmission Activity less Depreciation Expense (See Note 5)</t>
  </si>
  <si>
    <t>A) Change in Depreciation Reserve - ISO (See Note 6)</t>
  </si>
  <si>
    <t>B) Total Depreciation Expense (See Note 7)</t>
  </si>
  <si>
    <t>C) Other Activity (See Note 8)</t>
  </si>
  <si>
    <t>5) Other Transmission Activity (See Note 9)</t>
  </si>
  <si>
    <t>5) Total Transmission Activity for Incentive Projects</t>
  </si>
  <si>
    <t>Account 350-359</t>
  </si>
  <si>
    <t>Activity for</t>
  </si>
  <si>
    <t>360-362</t>
  </si>
  <si>
    <t>Projects</t>
  </si>
  <si>
    <t>Activity</t>
  </si>
  <si>
    <t xml:space="preserve">Source </t>
  </si>
  <si>
    <t>6) Calculation of Prior Year Net Plant in Service amounts for each Incentive Project</t>
  </si>
  <si>
    <t>a) Tehachapi</t>
  </si>
  <si>
    <t>Accumulated</t>
  </si>
  <si>
    <t>In-Service</t>
  </si>
  <si>
    <t>b) Rancho Vista</t>
  </si>
  <si>
    <t>c) Devers to Colorado River</t>
  </si>
  <si>
    <t>d) Eldorado Ivanpah</t>
  </si>
  <si>
    <t>e) Lugo Pisgah</t>
  </si>
  <si>
    <t>f) Red Bluff</t>
  </si>
  <si>
    <t>i) South of Kramer</t>
  </si>
  <si>
    <t>j) West of Devers</t>
  </si>
  <si>
    <t>6) Summary of Incentive Projects and incentives granted</t>
  </si>
  <si>
    <t>for each month</t>
  </si>
  <si>
    <t>C1: Sum of below projects</t>
  </si>
  <si>
    <t>1) Summary of Accumulated Deferred Income Taxes</t>
  </si>
  <si>
    <t>a) End of Year Accumulated Deferred Income Taxes</t>
  </si>
  <si>
    <t>Related</t>
  </si>
  <si>
    <t>b) Beginning of Year Accumulated Deferred Income Taxes</t>
  </si>
  <si>
    <t>Total Accumulated Deferred Income Taxes</t>
  </si>
  <si>
    <t>c) Average of Beginning and End of Year Accumulated Deferred Income Taxes</t>
  </si>
  <si>
    <t>Average BOY/EOY ADIT:</t>
  </si>
  <si>
    <t>2) Account 190 Detail</t>
  </si>
  <si>
    <t>END BAL</t>
  </si>
  <si>
    <t>Gas, Generation</t>
  </si>
  <si>
    <t>ACCT 190</t>
  </si>
  <si>
    <t>DESCRIPTION</t>
  </si>
  <si>
    <t>per G/L</t>
  </si>
  <si>
    <t>or Other Related</t>
  </si>
  <si>
    <t>ISO Only</t>
  </si>
  <si>
    <t>Plant Related</t>
  </si>
  <si>
    <t>Labor Related</t>
  </si>
  <si>
    <t>Electric:</t>
  </si>
  <si>
    <t>Continuation of Account 190 Detail</t>
  </si>
  <si>
    <t>Total Electric 190</t>
  </si>
  <si>
    <t>Account 190 Gas and Other Income:</t>
  </si>
  <si>
    <t>Total Account 190 Gas and Other Income</t>
  </si>
  <si>
    <t>Total Account 190</t>
  </si>
  <si>
    <t>FERC Form 1 Account 190</t>
  </si>
  <si>
    <t>3) Account 282 Detail</t>
  </si>
  <si>
    <t>ACCT 282</t>
  </si>
  <si>
    <t>FERC Form 1 Account 282</t>
  </si>
  <si>
    <t>FF1 275.5k</t>
  </si>
  <si>
    <t>4) Account 283 Detail</t>
  </si>
  <si>
    <t>ACCT 283</t>
  </si>
  <si>
    <t>Continuation of Account 283 Detail</t>
  </si>
  <si>
    <t>Electric (continued):</t>
  </si>
  <si>
    <t>Total Electric 283</t>
  </si>
  <si>
    <t>Total Account 283 Gas and Other</t>
  </si>
  <si>
    <t>Total Account 283</t>
  </si>
  <si>
    <t>g) Whirlwind Substation Expansion</t>
  </si>
  <si>
    <t>h) Colorado River Substation Expansion</t>
  </si>
  <si>
    <t>Office Equipment</t>
  </si>
  <si>
    <t>Duplicating Equipment</t>
  </si>
  <si>
    <t>Personal Computers</t>
  </si>
  <si>
    <t>Mainframe Computers</t>
  </si>
  <si>
    <t>PC Software</t>
  </si>
  <si>
    <t>DDSMS - CPU &amp; Processing</t>
  </si>
  <si>
    <t>DDSMS - Controllers, Receivers, Comm.</t>
  </si>
  <si>
    <t>DDSMS - Telemetering &amp; System</t>
  </si>
  <si>
    <t>DDSMS - Miscellaneous</t>
  </si>
  <si>
    <t>DDSMS - Map Board</t>
  </si>
  <si>
    <t>Stores Equipment</t>
  </si>
  <si>
    <t>Laboratory Equipment</t>
  </si>
  <si>
    <t>Misc Power Plant Equipment</t>
  </si>
  <si>
    <t>Telecom System Equipment</t>
  </si>
  <si>
    <t>Netcomm Radio Assembly</t>
  </si>
  <si>
    <t>Microwave Equip. &amp; Antenna Assembly</t>
  </si>
  <si>
    <t>Fiber Optic Communication Cables</t>
  </si>
  <si>
    <t>Telecom Infrastructure</t>
  </si>
  <si>
    <t>Transportation Equip.</t>
  </si>
  <si>
    <t>Garage &amp; Shop -- Equip.</t>
  </si>
  <si>
    <t>Tools &amp; Work Equip. -- Shop</t>
  </si>
  <si>
    <t>Power Oper Equip</t>
  </si>
  <si>
    <t>5) Monthly Interest Rates in accordance with interest rate specified in the regulations of FERC (See Instruction #3).</t>
  </si>
  <si>
    <t>FERC Form 1 Account 283</t>
  </si>
  <si>
    <t>CWIP in Rate Effective Period</t>
  </si>
  <si>
    <t>In Service Additions in Rate Effective Period:</t>
  </si>
  <si>
    <t>Low Voltage</t>
  </si>
  <si>
    <t>13-Month Averages:</t>
  </si>
  <si>
    <t>LV Allocation Factor)</t>
  </si>
  <si>
    <t>13-month avg.</t>
  </si>
  <si>
    <t>Face</t>
  </si>
  <si>
    <t>Issuance</t>
  </si>
  <si>
    <t>Issue</t>
  </si>
  <si>
    <t>Date</t>
  </si>
  <si>
    <t>Total Account 282</t>
  </si>
  <si>
    <t>Federal Income Taxes Payable</t>
  </si>
  <si>
    <t>Allocation Factors (Plant and Wages)</t>
  </si>
  <si>
    <t>Total Account 190 ADIT</t>
  </si>
  <si>
    <t>Total Account 282 ADIT</t>
  </si>
  <si>
    <t>(Sum of amounts in Columns 4 to 6)</t>
  </si>
  <si>
    <t>Total Account 283 ADIT</t>
  </si>
  <si>
    <t>570 - Substation Work Order Related Expense</t>
  </si>
  <si>
    <t>Other Regulatory Assets/Liabilities (BOY/EOY average):</t>
  </si>
  <si>
    <t>The Wholesale Rate Base Adjustment represents the impact on the Wholesale Base TRR relative to the Retail Base TRR of</t>
  </si>
  <si>
    <t>If an annual amortization amount affects Income Taxes, the expense difference must be grossed up for income taxes.</t>
  </si>
  <si>
    <t>Calculation of Forecast Gross Load</t>
  </si>
  <si>
    <t>CADI Vol Plan Assess</t>
  </si>
  <si>
    <t>FF1 263.1 (see note to left)</t>
  </si>
  <si>
    <t>Capitalized Overhead portion of Electric Payroll Tax Expense</t>
  </si>
  <si>
    <t>Base Transmission Revenue Requirement (Retail)</t>
  </si>
  <si>
    <t>Wholesale Base Transmission Revenue Requirement</t>
  </si>
  <si>
    <t>Calculation of Base Transmission Revenue Requirement</t>
  </si>
  <si>
    <t>Less Standby Transmission Revenues:</t>
  </si>
  <si>
    <t>Components of Wholesale</t>
  </si>
  <si>
    <t>Transmission Revenue Requirement:</t>
  </si>
  <si>
    <t>3) End-User Transmission Rates</t>
  </si>
  <si>
    <t>Calculation of 13-Month Average Capitalization Balances</t>
  </si>
  <si>
    <t>Item</t>
  </si>
  <si>
    <t>Bonds -- Account 221 (Note 1):</t>
  </si>
  <si>
    <t>Other Long Term Debt -- Account 224 (Note 3):</t>
  </si>
  <si>
    <t xml:space="preserve">1) Enter 13 months of balances for capital structure for Prior Year and December previous to Prior Year in Columns 2-14.  </t>
  </si>
  <si>
    <t>Interest Income Reclassification</t>
  </si>
  <si>
    <t>FF1 263.3i - See Note 1</t>
  </si>
  <si>
    <t>Remaining Amount is Gas, Generation, or Other Related.</t>
  </si>
  <si>
    <t>Remaining Amount of FIT Payable</t>
  </si>
  <si>
    <t>5) Normalization Adjustment for Unused Bonus Depreciation</t>
  </si>
  <si>
    <t>Note 1: Only include if Federal Income Tax Account 236 payable in FF1 page 263 charged to Acct 409.1 or 408.1 in Column (i) is a negative amount (i.e., debit balance).</t>
  </si>
  <si>
    <t>3) Capitalized Overhead portion of Electric Payroll Tax Expense</t>
  </si>
  <si>
    <t>= F + [S * (1 - F)]</t>
  </si>
  <si>
    <t>Franchise Fees and Uncollectibles Expense Factors</t>
  </si>
  <si>
    <t>2) Approved Uncollectibles Expense Factor(s)</t>
  </si>
  <si>
    <t>Transmission Owner Tariff and may be revised each January 1, upon commission acceptance of a revised TRBAA</t>
  </si>
  <si>
    <t>SCE's retail Base Transmission Revenue Requirement is the sum of the following components:</t>
  </si>
  <si>
    <t>Base TRR (retail)</t>
  </si>
  <si>
    <t>Does not include any project-specific ROE adders.</t>
  </si>
  <si>
    <t>Transmission Depreciation Reserve - ISO</t>
  </si>
  <si>
    <t>Distribution Depreciation Reserve - ISO</t>
  </si>
  <si>
    <t>Beginning and End of year amounts in Columns 2 and 14 are from FERC Form 1, as referenced in below notes.</t>
  </si>
  <si>
    <t>=Sum C2 to C4</t>
  </si>
  <si>
    <t>=Sum C2 to C11</t>
  </si>
  <si>
    <t>4) Gains and Losses on Transmission Plant Held for Future Use - Land is treated in accordance with Commission policy.</t>
  </si>
  <si>
    <t>3) Devers-Colorado River</t>
  </si>
  <si>
    <t>= C1 - C2</t>
  </si>
  <si>
    <t>= C1 - Previous</t>
  </si>
  <si>
    <t>Month C1</t>
  </si>
  <si>
    <t>Total PY Incentive Net Plant:</t>
  </si>
  <si>
    <t xml:space="preserve">End of Year </t>
  </si>
  <si>
    <t>13 Month Average</t>
  </si>
  <si>
    <t>2) Sum project-specific Incentive Adders to yield the total True Up Incentive Adder.</t>
  </si>
  <si>
    <t>Sum of above PY Incentive Adders</t>
  </si>
  <si>
    <t>for each individual project</t>
  </si>
  <si>
    <t xml:space="preserve">Depreciation Expense is the sum of: </t>
  </si>
  <si>
    <t>4) Depreciation Expense</t>
  </si>
  <si>
    <t>= C3 * C5</t>
  </si>
  <si>
    <t>= C4 * C5</t>
  </si>
  <si>
    <t>5) "ISO Operations and Maintenance Expenses" is the amount of costs in each Transmission or Distribution account related to ISO Transmission Facilities.</t>
  </si>
  <si>
    <t>Total ISO O&amp;M Expenses (in Column 6)</t>
  </si>
  <si>
    <t>a) Exclude amount of any Shareholder Adjustments, costs incurred on behalf of SCE shareholders, from relevant account in Column 1.</t>
  </si>
  <si>
    <t>Only projects that are in Rate Base in the year reported are included.</t>
  </si>
  <si>
    <t xml:space="preserve">Southern States Realty </t>
  </si>
  <si>
    <t>2, 15</t>
  </si>
  <si>
    <t>15-</t>
  </si>
  <si>
    <t>Costs</t>
  </si>
  <si>
    <t>Event</t>
  </si>
  <si>
    <t>Issue/Event</t>
  </si>
  <si>
    <t>IRC Section 168(i)(9) Normalization Adjustment</t>
  </si>
  <si>
    <t xml:space="preserve">1) </t>
  </si>
  <si>
    <t>FERC Form 1 Acct. 165 Recorded Amount:</t>
  </si>
  <si>
    <t>BOY Prepayments Amount:</t>
  </si>
  <si>
    <t>Supplies Balances</t>
  </si>
  <si>
    <t>Total Materials and</t>
  </si>
  <si>
    <t>Calculation of True Up TRR</t>
  </si>
  <si>
    <t>Calculation of True Up Adjustment Component of TRR</t>
  </si>
  <si>
    <t>Plant Allocation Factor</t>
  </si>
  <si>
    <t>for Column 5</t>
  </si>
  <si>
    <t>(In Column 5)</t>
  </si>
  <si>
    <t>Prior Period Adjustment:</t>
  </si>
  <si>
    <t>a</t>
  </si>
  <si>
    <t>b</t>
  </si>
  <si>
    <t>c</t>
  </si>
  <si>
    <t>d</t>
  </si>
  <si>
    <t>e</t>
  </si>
  <si>
    <t>f</t>
  </si>
  <si>
    <t>Adjustment:</t>
  </si>
  <si>
    <t>g</t>
  </si>
  <si>
    <t>Calculation of Incentive Adder component of the Prior Year TRR</t>
  </si>
  <si>
    <t>EOY HV</t>
  </si>
  <si>
    <t>(Note 1)</t>
  </si>
  <si>
    <t>1) "EOY HV Abandoned Plant" is amount of "EOY Abandoned Plant" that would have been High Voltage (&gt;= 200 kV).</t>
  </si>
  <si>
    <t>a) Fill in the name the project in order (First Project, Second Project, etc.).</t>
  </si>
  <si>
    <t>b) Fill in the table with annual End of Year ("EOY") Abandoned Plant, EOY HV Abandoned Plant, and</t>
  </si>
  <si>
    <t>Abandoned Plant (EOY)</t>
  </si>
  <si>
    <t>See Notes 1 and 2 below</t>
  </si>
  <si>
    <t>1) For High Voltage Column, sum of EOY HV Abandoned Plant for all Projects on Schedule 12 for EOY of Prior Year</t>
  </si>
  <si>
    <t>2) For Low Voltage Column, Sum of EOY Abandoned Plant less HV Abandoned Plant for all Projects on Schedule 12 for EOY of Prior Year.</t>
  </si>
  <si>
    <t>Instruction 1</t>
  </si>
  <si>
    <t>1) Use weighted average (by time) of the Return on Equity in effect during the Prior Year in determining the "Cost of Capital Rate" on Line 18</t>
  </si>
  <si>
    <t>and the "Equity Rate of Return Including Preferred Stock" on Line 22 in the event that the ROE is revised during the Prior Year.  In this event,</t>
  </si>
  <si>
    <t>the ROE used in Schedule 1 will differ from the ROE used in this Schedule 4, because the Schedule 1 ROE will be the most recent ROE,</t>
  </si>
  <si>
    <t>See Note 1 and Instruction 1</t>
  </si>
  <si>
    <t>See Note 2 and Instruction 2</t>
  </si>
  <si>
    <t>12aaa</t>
  </si>
  <si>
    <t>12bbb</t>
  </si>
  <si>
    <t>Other Regulatory Assets/Liabilities are a component of Rate Base representing costs that are created resulting from the ratemaking</t>
  </si>
  <si>
    <t xml:space="preserve">actions of regulatory agencies.  Pursuant to the Commission's Uniform System of Accounts, these items include amounts recorded </t>
  </si>
  <si>
    <t>in accounts 182.x and 254.  This Schedule shall not include any costs recovered through Schedule 12.</t>
  </si>
  <si>
    <t>Amortization and Regulatory Debits/Credits are amounts approved for recovery in this formula transmission rate representing the</t>
  </si>
  <si>
    <t>approved annual recovery of Other Regulatory Assets/Liabilities as an expense item in the Base TRR, consistent</t>
  </si>
  <si>
    <t xml:space="preserve">with a Commission Order.  </t>
  </si>
  <si>
    <t>Amortization and Regulatory Debits/Credits:</t>
  </si>
  <si>
    <t>Amortization or</t>
  </si>
  <si>
    <t>Debit/Credit</t>
  </si>
  <si>
    <t>1) Upon Commission approval of recovery of Other Regulatory Assets/Liabilities, Amortization and Regulatory Debits/Credits</t>
  </si>
  <si>
    <t>Amortization and Regulatory Debits/Credits</t>
  </si>
  <si>
    <t>Determination of Regulatory Assets/Liabilities and Associated Amortization and Regulatory Debits/Credits</t>
  </si>
  <si>
    <t>One Time True Up Adjustment amounts (see Instruction #5) attributable to a previous Prior Year are entered on Column 4, Line 11.</t>
  </si>
  <si>
    <t xml:space="preserve"> One Time Adjustments include:</t>
  </si>
  <si>
    <t>Account 283 Gas and Other:</t>
  </si>
  <si>
    <t>Revenue From Decommission Trust Fund</t>
  </si>
  <si>
    <t>Revenue From Decommissioning Trust FAS115</t>
  </si>
  <si>
    <t>Revenue From Decommissioning Trust FAS115-1</t>
  </si>
  <si>
    <t>Operating Miscellaneous Land &amp; Facilities</t>
  </si>
  <si>
    <t>ECS - Infrastructure Leasing</t>
  </si>
  <si>
    <t>EOY Prepayments Amount:</t>
  </si>
  <si>
    <t>Prior Year TRR wo FF&amp;U:</t>
  </si>
  <si>
    <t>and the American Reinvestment Recovery Act for the Tehachapi Wind Energy Storage Project.</t>
  </si>
  <si>
    <t>Uncollectibles Expense Factor:</t>
  </si>
  <si>
    <t>Allocated based on CPUC GRC allocator in effect during the Prior Year.  The weighted average (by time) shall be used if more than one allocator is in effect during the Prior Year.</t>
  </si>
  <si>
    <t xml:space="preserve">Allocated based on the CPUC Base Revenue Requirement Balancing Account (BRRBA) allocator in effect during the Prior Year.  The weighted average (by time) shall be used if more than one allocator is in effect during the Prior Year.  ISO portion of revenue is treated as traditional OOR. </t>
  </si>
  <si>
    <t>D = Book Depreciation of AFUDC Equity Book Basis</t>
  </si>
  <si>
    <t>Return on Common Equity</t>
  </si>
  <si>
    <t xml:space="preserve">Equity Rate of Return Including Common and Preferred Stock </t>
  </si>
  <si>
    <t>ER = Equity Rate of Return Including Common and Preferred Stock</t>
  </si>
  <si>
    <t>ER = Equity ROR inc. Com. and Pref. Stock</t>
  </si>
  <si>
    <t>2) ISO Incentive Plant Activity (See Note 4)</t>
  </si>
  <si>
    <t>3) Total Transmission Activity Not Including Incentive Plant Activity (See Note 5):</t>
  </si>
  <si>
    <t>5) Other ISO Transmission Activity without Incentive Plant Activity (See Note 9):</t>
  </si>
  <si>
    <t>Prior Year:</t>
  </si>
  <si>
    <t>Balances for Distribution Plant - ISO for December of Prior Year and year before Prior Year (See Note 2)</t>
  </si>
  <si>
    <t>4) General Plant + Electric Miscellaneous Intangible Plant ("G&amp;I Plant")</t>
  </si>
  <si>
    <t>BOY amount from previous PY</t>
  </si>
  <si>
    <t>End of year ("EOY") amount</t>
  </si>
  <si>
    <t>A) Plant Classified as Transmission in  FERC Form 1 for Prior Year:</t>
  </si>
  <si>
    <t>to a Section 205 or 206 filing.</t>
  </si>
  <si>
    <r>
      <rPr>
        <b/>
        <sz val="10"/>
        <rFont val="Arial"/>
        <family val="2"/>
      </rPr>
      <t>Notes:</t>
    </r>
    <r>
      <rPr>
        <sz val="10"/>
        <rFont val="Arial"/>
        <family val="2"/>
      </rPr>
      <t xml:space="preserve"> 1) Depreciation rates may only be revised as approved by the Commission pursuant</t>
    </r>
  </si>
  <si>
    <t>Resulting Percentage is:</t>
  </si>
  <si>
    <t>Percent ISO</t>
  </si>
  <si>
    <t>Percent ISO for this acccount is equal to the total ISO labor in accounts 562 and 570 (Column 7) divided by total labor in this same account (Column 3).</t>
  </si>
  <si>
    <t>Percent ISO for this acccount is equal to the total ISO labor in accounts listed below (Column 7) divided by total labor in these same accounts (Column 3).</t>
  </si>
  <si>
    <t>expense is excluded from account 926 (see note 3).  Docket or Decision approving authorized PBOPs amount:</t>
  </si>
  <si>
    <r>
      <t xml:space="preserve">as approved by Commission Order 86 FERC </t>
    </r>
    <r>
      <rPr>
        <sz val="10"/>
        <color theme="1"/>
        <rFont val="Calibri"/>
        <family val="2"/>
      </rPr>
      <t>¶</t>
    </r>
    <r>
      <rPr>
        <sz val="10"/>
        <color theme="1"/>
        <rFont val="Arial"/>
        <family val="2"/>
      </rPr>
      <t xml:space="preserve"> 63,014 in Docket No. ER97-2355.</t>
    </r>
  </si>
  <si>
    <t>2) Franchise Fees Factor is calculated from CPUC Decision by dividing adopted Franchise Fees</t>
  </si>
  <si>
    <t xml:space="preserve">by Total Operating Revenues less Franchise Fees.  Uncollectibles Factor is calculated by </t>
  </si>
  <si>
    <t>3) Calculate in module 3 the weighted average FF and U factors from the factors in modules 1 and 2 based</t>
  </si>
  <si>
    <t>Calculated according to Instruction 3</t>
  </si>
  <si>
    <t>Factors represent factors that, when applied to TRR without FF and U will correctly determine FF and U expense.</t>
  </si>
  <si>
    <t>1) Enter Franchise Fee and Uncollectibles Factors as approved by the California Public Utilities Commission ("CPUC")</t>
  </si>
  <si>
    <t>Total  Transmission Lines (L 2 + L 3):</t>
  </si>
  <si>
    <t>HV and LV Components of Total ISO Plant on Lines 2, 3, 7, 8, and 9 are</t>
  </si>
  <si>
    <t>from the Plant Study, performed pursuant to Section 9 of Appendix IX:</t>
  </si>
  <si>
    <t>Source:</t>
  </si>
  <si>
    <t>Allocator is equal to the jurisdictional split of the Threshold Revenue, which is jurisdictionalized as $5.425M to FERC ratepayers and $11.246M to CPUC ratepayers per the 2009 CPUC General Rate Case (D. 09-03-025).  The ISO ratepayers' share of ratepayer revenue is $5.425M/$16.671M = 32.54%.</t>
  </si>
  <si>
    <t>16-</t>
  </si>
  <si>
    <t>418.1 Other (See Note 16)</t>
  </si>
  <si>
    <t>Tot. ISO Ratepayers' Share NTP&amp;S Gross Rev.</t>
  </si>
  <si>
    <t>whereas the Schedule 4 Cost of Capital Rate and Equity Rate of Return including Com. + Pref. Stock will be based on the weighted-average ROE.</t>
  </si>
  <si>
    <t>in modules 1 and 2 above pursuant to Instruction 2.  If approved factors changed during Prior Year, enter both,</t>
  </si>
  <si>
    <t>for each state.  See Notes 1 and 3.</t>
  </si>
  <si>
    <t>b) New Mexico</t>
  </si>
  <si>
    <t>c) Arizona</t>
  </si>
  <si>
    <t>d) District of Columbia</t>
  </si>
  <si>
    <t>a) California:</t>
  </si>
  <si>
    <t>2) Federal Source Statute:</t>
  </si>
  <si>
    <t>3) State Source Statues (Enter Reference to each State Marginal Tax Rate Statute below):</t>
  </si>
  <si>
    <t>in Schedule 19 (OandM) related to Order 668 costs transferred.</t>
  </si>
  <si>
    <t xml:space="preserve">c) Exclude entire amount of account 927 "Franchise Requirements" in Column 2, as those costs are recovered </t>
  </si>
  <si>
    <t xml:space="preserve">d) Exclude any amount of Account 930.1 "General Advertising Expense" not related to advertising for safety, </t>
  </si>
  <si>
    <t>e) Exclude any amount of expense relating to secondary land use and audit expenses not directly benefitting utility customers.</t>
  </si>
  <si>
    <t>b) Include as an adjustment in Column 1 for Account 920 any amount excluded from Accounts 569.100, 569.200, and 569.300</t>
  </si>
  <si>
    <t>FF1 207.99.g and 205.5g</t>
  </si>
  <si>
    <t>Credit</t>
  </si>
  <si>
    <t xml:space="preserve">1) Amount in Column 2 from FF1 112.18d, amount in Column 14 from FF1 112.18c, amounts in columns 3-13 from SCE internal records. </t>
  </si>
  <si>
    <t xml:space="preserve">2) Amount in Column 2 from FF1 112.19d, amount in Column 14 from FF1 112.19c, amounts in columns 3-13 from SCE internal records. </t>
  </si>
  <si>
    <t xml:space="preserve">3) Amount in Column 2 from FF1 112.21d, amount in Column 14 from FF1 112.21c, amounts in columns 3-13 from SCE internal records. </t>
  </si>
  <si>
    <t>Southern States Realty is a subsidiary company.  Gross revenues are not reported in FF-1, only net earnings.  Net Earnings for Southern States Realty are reported on Acct 418.1, pg 225.17e.</t>
  </si>
  <si>
    <t>Mo/YR</t>
  </si>
  <si>
    <t>Beginning of Year ("BOY") amount</t>
  </si>
  <si>
    <t>a) 13-Month Average Calculation</t>
  </si>
  <si>
    <t>13-Month AverageValue:</t>
  </si>
  <si>
    <t>on the Transmission Wages and Salaries Allocation Factor.</t>
  </si>
  <si>
    <t>17-</t>
  </si>
  <si>
    <t>Note 1, f</t>
  </si>
  <si>
    <t xml:space="preserve">2) In the event that depreciation rates stated on Schedule 18 to be applied to Distribution Plant - ISO are revised mid-year, calculate Depreciation Expense for </t>
  </si>
  <si>
    <t>See Instructions 2b, 3, and Note 2</t>
  </si>
  <si>
    <t>Calculation of FITR for Prior Year:</t>
  </si>
  <si>
    <t>FITR</t>
  </si>
  <si>
    <t>Days</t>
  </si>
  <si>
    <t>Note</t>
  </si>
  <si>
    <t>Input FITR in effect for first part of year and number of days</t>
  </si>
  <si>
    <t>Input FITR in effect for second part of year and number of days</t>
  </si>
  <si>
    <t>FITR:</t>
  </si>
  <si>
    <t>(Col 2)</t>
  </si>
  <si>
    <t>(Col 1)</t>
  </si>
  <si>
    <t>Note 1, c Column 2, see also Note 2</t>
  </si>
  <si>
    <t>= ((Line a, C1)*(Line a, C2)+ (Line b, C1)*(Line b, C2))/365</t>
  </si>
  <si>
    <t>Sub-Total Local Taxes</t>
  </si>
  <si>
    <t>CA SUI Current</t>
  </si>
  <si>
    <t>Fed Unemp Tax Act- Current</t>
  </si>
  <si>
    <t>SF Pyrl Exp Tx - SCE</t>
  </si>
  <si>
    <t>(No "Credits and Other" or "AFUDC" Terms, since these are not related to CWIP)</t>
  </si>
  <si>
    <t>1) Nuclear Power Research Expenses.</t>
  </si>
  <si>
    <t>2) Write Off of Abandoned Project Expenses.</t>
  </si>
  <si>
    <t>f) Exclude from account 930.2:</t>
  </si>
  <si>
    <t>3) Any advertising expenses within the Consultants/Professional Services category.</t>
  </si>
  <si>
    <t>Note 1, c</t>
  </si>
  <si>
    <t xml:space="preserve">b) Forecast Period Incremental CWIP contributes to Incremental Forecast Period TRR </t>
  </si>
  <si>
    <r>
      <rPr>
        <b/>
        <sz val="10"/>
        <rFont val="Arial"/>
        <family val="2"/>
      </rPr>
      <t xml:space="preserve">Source: </t>
    </r>
    <r>
      <rPr>
        <sz val="10"/>
        <rFont val="Arial"/>
        <family val="2"/>
      </rPr>
      <t>6-PlantInService, Lines 1-13.</t>
    </r>
  </si>
  <si>
    <t>Depreciation Rates (Percent per year)  See "18-DepRates".</t>
  </si>
  <si>
    <t xml:space="preserve">Source:      From 4-TUTRR, </t>
  </si>
  <si>
    <t>The Prior Year TRR is calculated using End-of-Year Rate Base values, as set forth in the "1-BaseTRR" Worksheet.</t>
  </si>
  <si>
    <t>plant or CWIP, as set forth in the "2-IFPTRR" Worksheet.</t>
  </si>
  <si>
    <t>actual costs, as set forth in the "3-TrueUpAdjust" Worksheet.</t>
  </si>
  <si>
    <t>2) From 33-RetailRates.  See Line:</t>
  </si>
  <si>
    <t>amount.  See Note 1 on 29-WholesaleTRRs.</t>
  </si>
  <si>
    <t>For subsidiaries that are subject to GRSM, Column D contains gross revenues.  Input on Line 30D contains the associated expenses.</t>
  </si>
  <si>
    <t>566 - Training</t>
  </si>
  <si>
    <t>566 - Other</t>
  </si>
  <si>
    <t>Gen. and Int.</t>
  </si>
  <si>
    <t>=C4+C5</t>
  </si>
  <si>
    <t>FF1 219.28c and 200.21c for previous year</t>
  </si>
  <si>
    <t>FF1 219.28c and 200.21c</t>
  </si>
  <si>
    <t>(Years)</t>
  </si>
  <si>
    <t>List associated securities and event, Event Date, Amortization Amount, Amortization Period, and Annual Amortization:</t>
  </si>
  <si>
    <t>Total Annual Amortization (sum of "Issues/Events" listed above)</t>
  </si>
  <si>
    <t>Total Annual Amortization (sum of "Issues" listed above)</t>
  </si>
  <si>
    <t>List associated securities, Face Amount, Issuance Date, Issuance Costs, Amortization Period, and Annual Amortization:</t>
  </si>
  <si>
    <t>a) Outages</t>
  </si>
  <si>
    <t>ISO Outages</t>
  </si>
  <si>
    <t>Non-ISO Outages</t>
  </si>
  <si>
    <t>Total Outages</t>
  </si>
  <si>
    <t>Values</t>
  </si>
  <si>
    <t>Applied to Accounts</t>
  </si>
  <si>
    <t>b) Circuits</t>
  </si>
  <si>
    <t>ISO Circuits</t>
  </si>
  <si>
    <t>Non-ISO Circuits</t>
  </si>
  <si>
    <t>Total Circuits</t>
  </si>
  <si>
    <t>Outages Percent ISO</t>
  </si>
  <si>
    <t>Circuits Percent ISO</t>
  </si>
  <si>
    <t>c) Relay Routines</t>
  </si>
  <si>
    <t>ISO Relay Routines</t>
  </si>
  <si>
    <t>Total Relay Routines</t>
  </si>
  <si>
    <t>Relay Routines Percent ISO</t>
  </si>
  <si>
    <t>ISO Line Miles</t>
  </si>
  <si>
    <t>Non-ISO Line Miles</t>
  </si>
  <si>
    <t>Non-ISO Relay Routines</t>
  </si>
  <si>
    <t>Total Line Miles</t>
  </si>
  <si>
    <t>Line MIles Percent ISO</t>
  </si>
  <si>
    <t>d) Line Miles</t>
  </si>
  <si>
    <t>e) Underground Line Miles</t>
  </si>
  <si>
    <t>ISO Underground Line Miles</t>
  </si>
  <si>
    <t>Non-ISO Underground Line Miles</t>
  </si>
  <si>
    <t>Total Undergound Line Miles</t>
  </si>
  <si>
    <t>Underground Line MIles Percent ISO</t>
  </si>
  <si>
    <t>ISO Line Rent Costs</t>
  </si>
  <si>
    <t>Non-ISO Line Rent Costs</t>
  </si>
  <si>
    <t>Total Line Rent Costs</t>
  </si>
  <si>
    <t>Line Rent Costs Percent ISO</t>
  </si>
  <si>
    <t>ISO Morongo Acres</t>
  </si>
  <si>
    <t>Non-ISO Morongo Acres</t>
  </si>
  <si>
    <t>Total Morongo Acres</t>
  </si>
  <si>
    <t>Morongo Acres Percent ISO</t>
  </si>
  <si>
    <t>ISO Transformers</t>
  </si>
  <si>
    <t>Non-ISO Transformers</t>
  </si>
  <si>
    <t>Total Transformers</t>
  </si>
  <si>
    <t>Transformers Percent ISO</t>
  </si>
  <si>
    <t>ISO Circuit Breakers</t>
  </si>
  <si>
    <t>Non-ISO Breakers</t>
  </si>
  <si>
    <t>Total Circuit Breakers</t>
  </si>
  <si>
    <t>Circuit Breakers Percent ISO</t>
  </si>
  <si>
    <t>ISO Voltage Control Equipment</t>
  </si>
  <si>
    <t>Non-ISO Voltage Control Equipment</t>
  </si>
  <si>
    <t>Total Voltage Control Equipment</t>
  </si>
  <si>
    <t>Voltage Control Equipment Percent ISO</t>
  </si>
  <si>
    <t>ISO Substation Work Order Costs</t>
  </si>
  <si>
    <t>Non-ISO Substation Work Order Costs</t>
  </si>
  <si>
    <t>Total Substation Work Order Costs</t>
  </si>
  <si>
    <t>Substation Work Order Costs Percent ISO</t>
  </si>
  <si>
    <t>ISO Transmission Work Order Costs</t>
  </si>
  <si>
    <t>Non-ISO Transmission Work Order Costs</t>
  </si>
  <si>
    <t>Total Transmission Work Order Costs</t>
  </si>
  <si>
    <t>Transmission Work Order Costs Percent ISO</t>
  </si>
  <si>
    <t>ISO Transmission Fac. Property Damage</t>
  </si>
  <si>
    <t>Non-ISO Transmission Fac. Property Damage</t>
  </si>
  <si>
    <t>Total Transmission Facility Property Damage</t>
  </si>
  <si>
    <t>Trans. Fac. Property Damage Percent ISO</t>
  </si>
  <si>
    <t>ISO Distribution Transformers</t>
  </si>
  <si>
    <t>Non-ISO Distribution Transformers</t>
  </si>
  <si>
    <t>Total Distribution Transformers</t>
  </si>
  <si>
    <t>Distribution Transformers Percent ISO</t>
  </si>
  <si>
    <t>Non-ISO Distribution Circuit Breakers</t>
  </si>
  <si>
    <t>Total Distribution Circuit Breakers</t>
  </si>
  <si>
    <t>ISO Distribution Circuit Breakers</t>
  </si>
  <si>
    <t>Distribution Circuit Breakers Percent ISO</t>
  </si>
  <si>
    <t>ISO Distribution Voltage Control Equipment</t>
  </si>
  <si>
    <t>Total Distribution Voltage Control Equipment</t>
  </si>
  <si>
    <t>Distribution Voltage Control Equip. Pct. ISO</t>
  </si>
  <si>
    <t>Non-ISO Distribution Voltage Control Equip.</t>
  </si>
  <si>
    <t>Capitalization Rate (Note 4)</t>
  </si>
  <si>
    <t>4) Capitalization Rate approved in:</t>
  </si>
  <si>
    <t>For the following Prior Years:</t>
  </si>
  <si>
    <t>Certain "Percent ISO percentages are calculable based on other "Percent ISO" amounts, as follows:</t>
  </si>
  <si>
    <t>Note 6, a</t>
  </si>
  <si>
    <t>6) "Percent ISO" percentages are calculated in accordance with the method set forth in SCE's TO Tariff protocols.  See Column 9 for references to source of each  Percent ISO.</t>
  </si>
  <si>
    <t>100% per Protocols</t>
  </si>
  <si>
    <t>0% per Protocols</t>
  </si>
  <si>
    <t>Note 6, b</t>
  </si>
  <si>
    <t>Note 6, c</t>
  </si>
  <si>
    <t>Note 6, d</t>
  </si>
  <si>
    <t>a) Accounts 560 - Operations Engineering, 566 - Training, 566-Other, 569.100 Hardware, 569.200 Software, and 569.300 Comunication:</t>
  </si>
  <si>
    <t>Edison Material Supply (EMS)</t>
  </si>
  <si>
    <t>Per GRC Decision D.87-12-066, for ratemaking purposes EMS financials are consolidated with SCE's.  See FERC Form 1 page 123.3 under</t>
  </si>
  <si>
    <t>"Equity Investment Differences" .  Consequently, net income of EMS is not reported separately in FERC Form 1 and is not a part of FERC Account 418.1 totals.</t>
  </si>
  <si>
    <t>To ensure that ratepayers receive the net income from this subsidiary SCE includes EMS net income in the formula on line 28f.  This amount is reversed as part</t>
  </si>
  <si>
    <t>of line 30 to remain consistent with the totals reported in FERC Form 1.</t>
  </si>
  <si>
    <t xml:space="preserve">Percent ISO for these accounts is equal to total ISO labor in accounts 561, 562, 563, 564, 566 (except Training and Other), 570, 571, and 572 (Column 7) </t>
  </si>
  <si>
    <t>divided by total labor in this same account (Column 3).</t>
  </si>
  <si>
    <t xml:space="preserve">Percent ISO for these acccounts is equal to the total ISO labor in account 592, exclusive of Maintenance of Miscellaneous Distribution Equipment (Column 7) </t>
  </si>
  <si>
    <t>Order approving revised ROE:</t>
  </si>
  <si>
    <t>In the event that the Return on Common Equity is revised from the initial value, enter cite to Commission Order approving the revised ROE on following line.</t>
  </si>
  <si>
    <t>b) Account 569 - Maintenance of Structures</t>
  </si>
  <si>
    <t>d) Accounts 582, 590, 591, and 592 - Maintenance of Miscellaneous Distribution Equipment</t>
  </si>
  <si>
    <t>c) Account 570 - Maintenance of Miscellaneous Transmission Equipment and Account 568 -Maintenance Supervision and Engineering</t>
  </si>
  <si>
    <t>Orders Providing for Abandoned Plant Cost Recovery:</t>
  </si>
  <si>
    <t>Commission Order</t>
  </si>
  <si>
    <t>7) SCE shall make no adjustments to recorded labor amounts related to non-labor labor and/or Indirect labor in Schedule 19.</t>
  </si>
  <si>
    <t>5) SCE shall make no adjustments to recorded labor amounts related to non-labor labor and/or Indirect labor in Schedule 20.</t>
  </si>
  <si>
    <t>Amortization of Excess Deferred Tax Liability</t>
  </si>
  <si>
    <t>Investment Tax Credit Flowed Through</t>
  </si>
  <si>
    <t>South Georgia Income Tax Adjustment</t>
  </si>
  <si>
    <t>2) No change in "Credits and Other" terms will be made absent a filing at the Commission</t>
  </si>
  <si>
    <t>compared to the Retail Base TRR.  This difference is attributable to differences in the following six items,</t>
  </si>
  <si>
    <t>These six items may affect the Base TRR by affecting Rate Base, or affecting an annual expense (amortization).</t>
  </si>
  <si>
    <t>EPRI Expenses</t>
  </si>
  <si>
    <t>d) Total Expense Difference</t>
  </si>
  <si>
    <t>Partial Year True Up Allocation Factors calculated based on three years (2008-2010) of monthly SCE retail base transmission revenues.</t>
  </si>
  <si>
    <t xml:space="preserve">2) Beginning with the True Up Adjustment calculation for 2012 utilizing the True Up TRR for 2012, exclude from CWIP recovery the capital cost of </t>
  </si>
  <si>
    <t xml:space="preserve">Subject to sharing per the Gross Revenue Sharing Mechanism (GRSM), adopted in CPUC D.99-09-070.  On an annual basis, once SCE obtains $16,671,389.55 (Threshold Revenue) in NTP&amp;S Revenues, any additional revenues (Incremental Gross Revenues) that SCE receives are shared between shareholders and ratepayers.  For GRSM categories deemed Active, the Incremental Gross Revenues are shared 90/10 between shareholders and ratepayers.  For those categories deemed Passive, the Incremental Gross Revenues are shared 70/30 between shareholders and ratepayers.  </t>
  </si>
  <si>
    <t>13-Month Average Value Account 154:</t>
  </si>
  <si>
    <t>13-Month Average Value:</t>
  </si>
  <si>
    <t xml:space="preserve"> Long Term Debt Advances from Associated Companies (Note 2a):</t>
  </si>
  <si>
    <t>Long Term Debt Advances from Associated Companies -- Account 223</t>
  </si>
  <si>
    <t>Interest on Debt to Associated Companies -- Account 430</t>
  </si>
  <si>
    <t>FF1 117.67c</t>
  </si>
  <si>
    <t xml:space="preserve">2a) Amount in Column 2 from FF1 112.20d, amount in Column 14 from FF1 112.20c, amounts in columns 3-13 from SCE internal records. </t>
  </si>
  <si>
    <t xml:space="preserve">facilities that were purchased for the portion of Tehachapi Segment 8 near the Chino Airport, but due to the April 25, 2011 Notice of Presumed </t>
  </si>
  <si>
    <t xml:space="preserve">Hazard issued to SCE by the FAA are not used in the construction of Tehachapi or in any other CWIP incentive project.  Additionally, </t>
  </si>
  <si>
    <t xml:space="preserve">construction of any SCE transmission project. </t>
  </si>
  <si>
    <t>SCE will permanently exclude from Plant In Service, Rate Base, and transmission rates these capital costs if the facilities are not used in the</t>
  </si>
  <si>
    <t>75% of O&amp;M and A&amp;G in Prior Year TRR:</t>
  </si>
  <si>
    <t>Total all Substations (L7  + L8 + L9)</t>
  </si>
  <si>
    <t>ROE at end of Prior Year</t>
  </si>
  <si>
    <t>In Effect</t>
  </si>
  <si>
    <t xml:space="preserve">Days ROE </t>
  </si>
  <si>
    <t>Commission Decisions approving ROE:</t>
  </si>
  <si>
    <t>See Line e below</t>
  </si>
  <si>
    <t>Calculation of weighted average Cost of Capital Rate in Prior Year:</t>
  </si>
  <si>
    <t>h</t>
  </si>
  <si>
    <t>i</t>
  </si>
  <si>
    <t>j</t>
  </si>
  <si>
    <t>Calculation of Equity Rate of Return Including Common and Preferred Stock:</t>
  </si>
  <si>
    <t>See Instruction 1</t>
  </si>
  <si>
    <t>If ROE does not change during year, then attribute all days to Line a "ROE at end of Prior Year" and none to "ROE at start of PY"</t>
  </si>
  <si>
    <t>Acct</t>
  </si>
  <si>
    <t>Wtd. Avg. ROE in Prior Year</t>
  </si>
  <si>
    <t>Wtd. Cost of Long Term Debt</t>
  </si>
  <si>
    <t>Wtd.Cost of Preferred Stock</t>
  </si>
  <si>
    <t>Wtd.Cost of Common Stock</t>
  </si>
  <si>
    <t>3) Schedule 19 "Percent ISO" Allocation Factors (Input values are from SCE Records)</t>
  </si>
  <si>
    <t>ROE Adder $ = (Project CWIP Amount/$1,000,000) * IREF * (ROE Adder % / 1%)</t>
  </si>
  <si>
    <t>3) The load forecast used in Schedule 32 shall be for the calendar year in which the rates are to be in effect.</t>
  </si>
  <si>
    <t>the formula to calculate the correct value in that cell, which can be accomplished in Excel using the Goal Seek function.</t>
  </si>
  <si>
    <t xml:space="preserve">1) Any amount of "Provision for Doubtful Accounts" costs. </t>
  </si>
  <si>
    <t>2) Any amount of "Accounting Suspense" costs.</t>
  </si>
  <si>
    <t>g) Exclude the following costs included in any account 920-935:</t>
  </si>
  <si>
    <t>3) Any penalties of fines.</t>
  </si>
  <si>
    <t>4) Any amount of costs recovered 100% through California Public Utilities Commission ("CPUC") rates.</t>
  </si>
  <si>
    <t>h) Exclude the following amounts of employee incentive compensation from any account 920-935:</t>
  </si>
  <si>
    <t>1) Any Long Term Incentive Compensation ("LTI") costs.</t>
  </si>
  <si>
    <t>ROE start of Prior Year</t>
  </si>
  <si>
    <t>Beginning of Prior Year</t>
  </si>
  <si>
    <t>End of Prior Year</t>
  </si>
  <si>
    <t xml:space="preserve">1) Amounts on Line 13 from corresponding account Schedule 7, column 2.  </t>
  </si>
  <si>
    <t xml:space="preserve">The amounts for each month on the remaining lines are calculated by summing the following values: </t>
  </si>
  <si>
    <t>a) Other ISO Transmission Activity without Incentive Plant Activity on Lines 70-81 for the same month;</t>
  </si>
  <si>
    <t xml:space="preserve">c) The previous month balance of the Transmission Plant - ISO amounts on Lines 1-13.  </t>
  </si>
  <si>
    <t>b) ISO Incentive Plant Activity on Lines 41 to 52 for the same month; and</t>
  </si>
  <si>
    <t xml:space="preserve">For instance, the amount for May of the Prior Year (on Line 6) for Account 353 (Column 5) is the sum of the following values: </t>
  </si>
  <si>
    <t>a) the "Other ISO Transmission Activity without Incentive Plant Activity" for May of the Prior Year (on Line 74, Column 5);</t>
  </si>
  <si>
    <t>b) the "ISO Incentive Plant Activity" for May of the Prior Year (on Line 45, Column 5),</t>
  </si>
  <si>
    <t>c) and the "Transmission Plant - ISO" amount for April of the Prior Year (on Line 5, Column 5)."</t>
  </si>
  <si>
    <t>The amounts for each month on the remaining lines are calculated by summing the following values:</t>
  </si>
  <si>
    <t xml:space="preserve">b) Other Transmission Activity (on Lines 69 to 80) for the same month; and </t>
  </si>
  <si>
    <t>c) Balances for Transmission Depreciation Reserve (on Lines 1 to 13) for the previous month.</t>
  </si>
  <si>
    <t>For instance, the amount for May of the Prior Year (on Line 6) for Account 353 (Column 5) is the sum of the following values:</t>
  </si>
  <si>
    <t>a) Depreciaiton Expense for May of the Prior Year (on Line 44, Column 5);</t>
  </si>
  <si>
    <t xml:space="preserve">b) Other Transmission Activity for May of the Prior Year (on Line 73, Column 5); and </t>
  </si>
  <si>
    <t>c) The balances for Transmission Depreciation Reserve for April of the Prior Yeaer (on Line 5, column 5).</t>
  </si>
  <si>
    <t xml:space="preserve">Days in </t>
  </si>
  <si>
    <t>Prior Year FF Factor:</t>
  </si>
  <si>
    <t>Prior Year  U Factor:</t>
  </si>
  <si>
    <t>on the number of days each FF and U factor was in effect during the Prior Year at issue.</t>
  </si>
  <si>
    <t>during the Prior Year in "Days in Prior Year" Column.</t>
  </si>
  <si>
    <t>and note period of time for which each applies in "From" and "To" columns, and number of days each was in effect</t>
  </si>
  <si>
    <t>((L1 FF Factor * L1 Days) + (L2 FF Factor * L2 Days))/365</t>
  </si>
  <si>
    <t>((L3 U Factor * L3 Days) + (L4 U Factor * L4 Days))/365</t>
  </si>
  <si>
    <t>Calculation or Source</t>
  </si>
  <si>
    <t>Avg. of Sum of Cols. 1 and 2 below</t>
  </si>
  <si>
    <t>Sum of Column 3 below</t>
  </si>
  <si>
    <t xml:space="preserve">  Commission Order</t>
  </si>
  <si>
    <t xml:space="preserve"> Granting Approval of </t>
  </si>
  <si>
    <t xml:space="preserve">  Regulatory Liability</t>
  </si>
  <si>
    <t>The Base Transmission Revenues shown in Column 1 shall be reduced to reflect any retail customer refunds provided by SCE associated with the</t>
  </si>
  <si>
    <t>formula transmission rate that are made through a CPUC-authorized mechanism.</t>
  </si>
  <si>
    <t xml:space="preserve"> Attachment 2 to Appendix IX</t>
  </si>
  <si>
    <t>Formula Rate Spreadsheet</t>
  </si>
  <si>
    <t>f) Line Rents Costs</t>
  </si>
  <si>
    <t>g) Morongo Acres</t>
  </si>
  <si>
    <t>h) Transformers</t>
  </si>
  <si>
    <t>i) Circuit Breakers</t>
  </si>
  <si>
    <t>j) Voltage Control Equipment</t>
  </si>
  <si>
    <t>k) Substation Work Order Cost</t>
  </si>
  <si>
    <t>l) Transmission Work Order Cost</t>
  </si>
  <si>
    <t>m) Transmission Facility Property Damage</t>
  </si>
  <si>
    <t>n) Distribution Transformers</t>
  </si>
  <si>
    <t>o) Distribution Circuit Breakers</t>
  </si>
  <si>
    <t>p) Distribution Voltage Control Equipment</t>
  </si>
  <si>
    <t>Amounts on Line 1 must match corresponding account Schedule 7, Column 2 for previous year.</t>
  </si>
  <si>
    <t xml:space="preserve">1) Amounts on Line 13 based on current year Plant Study.  Amounts on Line 1 shall be based previous year Plant Study, and </t>
  </si>
  <si>
    <t>shall match amounts on Line 13 in previous year Annual Update.</t>
  </si>
  <si>
    <t xml:space="preserve">Cost Adjustment </t>
  </si>
  <si>
    <t xml:space="preserve">4) The Cost Adjustment component may be included as provided in the Tariff protocols. </t>
  </si>
  <si>
    <t>(Instructions 1&amp;2)</t>
  </si>
  <si>
    <t>Instruction 1: For any "Company Wide" ADIT line item balance (i.e., that include Catalina Gas or Water costs), indicate in Column 7</t>
  </si>
  <si>
    <t>with a leading "C:".</t>
  </si>
  <si>
    <t xml:space="preserve">Instruction 2: For any Company Wide ADIT balance items, include a portion of the total Column 2 balance in Column 3 </t>
  </si>
  <si>
    <t>"Gas, Generation, or Other Related" based on the following percentages.</t>
  </si>
  <si>
    <t xml:space="preserve">1) For Line items allocated based on the Wages and Salaries Allocation Factor: </t>
  </si>
  <si>
    <t>A:Total Electric Wages and Salaries</t>
  </si>
  <si>
    <t>B:Gas Wages and Salaries</t>
  </si>
  <si>
    <t>FF1 355.62b</t>
  </si>
  <si>
    <t>C:Water Wages and Salaries</t>
  </si>
  <si>
    <t>FF1 355.64b</t>
  </si>
  <si>
    <t>D:Total Electric, Gas, and Water Wages and Salaries</t>
  </si>
  <si>
    <t>A+B+C</t>
  </si>
  <si>
    <t>E:Labor Percentage "Gas, Generation, or Other"</t>
  </si>
  <si>
    <t>(B+C) / D</t>
  </si>
  <si>
    <t xml:space="preserve">2) For Line items allocated based on the Transmission Plant Allocation Factor or "ISO Only": </t>
  </si>
  <si>
    <t>F:Total Electric Plant In Service</t>
  </si>
  <si>
    <t>G:Total Gas Plant In Service</t>
  </si>
  <si>
    <t>FF1 201.8d</t>
  </si>
  <si>
    <t>H:Total Water Plant in Service</t>
  </si>
  <si>
    <t>FF1 201.8e</t>
  </si>
  <si>
    <t>I:Total Electric, Gas, and Water Plant In Service</t>
  </si>
  <si>
    <t>F+G+H</t>
  </si>
  <si>
    <t>J:Plant Percentage "Gas, Generation, or Other"</t>
  </si>
  <si>
    <t>(G+H) / I</t>
  </si>
  <si>
    <t>=C7-C9</t>
  </si>
  <si>
    <t>Corporate</t>
  </si>
  <si>
    <t>Overheads</t>
  </si>
  <si>
    <t>AFUDC</t>
  </si>
  <si>
    <t xml:space="preserve">Cost of </t>
  </si>
  <si>
    <t>ISO Corp OH Rate</t>
  </si>
  <si>
    <t>Cost of Removal Rate</t>
  </si>
  <si>
    <t>ISO AFUDC Rate</t>
  </si>
  <si>
    <t>C2*C3</t>
  </si>
  <si>
    <t>Accrual</t>
  </si>
  <si>
    <t>Plant Balance</t>
  </si>
  <si>
    <t>Sum of Depreciation Expense</t>
  </si>
  <si>
    <t>Composite Depreciation Rate</t>
  </si>
  <si>
    <t>4) ISO Corporate Overhead Loader</t>
  </si>
  <si>
    <t>7) Calculation of ISO Depreciation Rate</t>
  </si>
  <si>
    <t>5) ISO Cost of Removal Percent</t>
  </si>
  <si>
    <t>6) AFUDC Loader Rate</t>
  </si>
  <si>
    <t>2) Total Forecast Period CWIP Expenditures (see Note 1)</t>
  </si>
  <si>
    <t>Unloaded</t>
  </si>
  <si>
    <t xml:space="preserve">Total </t>
  </si>
  <si>
    <t>Prior Period</t>
  </si>
  <si>
    <t>Over Heads</t>
  </si>
  <si>
    <t>Expenditures</t>
  </si>
  <si>
    <t>CWIP Exp</t>
  </si>
  <si>
    <t>Plant Adds</t>
  </si>
  <si>
    <t>CWIP Closed</t>
  </si>
  <si>
    <t>Closed to PIS</t>
  </si>
  <si>
    <t>Period CWIP</t>
  </si>
  <si>
    <t>Incremental CWIP</t>
  </si>
  <si>
    <t>3) Forecast Period CWIP Expenditures by Project (see Note 1)</t>
  </si>
  <si>
    <t>3a) Project:</t>
  </si>
  <si>
    <t>= C1 + C2</t>
  </si>
  <si>
    <t>= Prior Month C7
+ C3 - C4 - C6</t>
  </si>
  <si>
    <t>= C7 - 
Dec Prior Year C7</t>
  </si>
  <si>
    <t>3b) Project:</t>
  </si>
  <si>
    <t>Devers to Colorado River</t>
  </si>
  <si>
    <t>3c) Project:</t>
  </si>
  <si>
    <t>Eldorado Ivanpah</t>
  </si>
  <si>
    <t>3d) Project:</t>
  </si>
  <si>
    <t>Lugo Pisgah</t>
  </si>
  <si>
    <t>3e) Project:</t>
  </si>
  <si>
    <t>3f) Project:</t>
  </si>
  <si>
    <t>Whirlwind Substation Expansion</t>
  </si>
  <si>
    <t>Unload</t>
  </si>
  <si>
    <t>3g) Project:</t>
  </si>
  <si>
    <t>Colorado River Substation Expansion</t>
  </si>
  <si>
    <t>3h) Project:</t>
  </si>
  <si>
    <t>South of Kramer</t>
  </si>
  <si>
    <t>3i) Project:</t>
  </si>
  <si>
    <t>West of Devers</t>
  </si>
  <si>
    <t>3j) Project:</t>
  </si>
  <si>
    <t>add additional projects below this line (See Instruction 3)</t>
  </si>
  <si>
    <t>3) If Commission approval is granted to include CWIP in Rate Base for additional projects, include additional tables for each of those additional projects.</t>
  </si>
  <si>
    <t>during the Rate Year, incremental to the year-end Prior Year amount.</t>
  </si>
  <si>
    <t>It is calculated on a 13-Month Average Basis during the Rate Year.</t>
  </si>
  <si>
    <t>1) Total Plant Additions Forecast (See Note 1)</t>
  </si>
  <si>
    <t>Loaded</t>
  </si>
  <si>
    <t>Eligible Plant</t>
  </si>
  <si>
    <t>2) Incentive Plant Forecast (See Note 1)</t>
  </si>
  <si>
    <t>N/A</t>
  </si>
  <si>
    <t>= Prior Month C7
+C1+C3</t>
  </si>
  <si>
    <t>= Prior Month C9
 + C8</t>
  </si>
  <si>
    <t>3) Non-Incentive Plant Forecast (See Note 1)</t>
  </si>
  <si>
    <t>= Prior Month C2
+C2+C5+C6</t>
  </si>
  <si>
    <t>December Prior Year plant balances and accrual rates are as shown on Schedule 17 Depreciation</t>
  </si>
  <si>
    <t>Check of above-described condition:</t>
  </si>
  <si>
    <t>Years</t>
  </si>
  <si>
    <t>Absolute Value of sum of a and b:</t>
  </si>
  <si>
    <t>20% of Two-Year Forecast PBOPs Expenses</t>
  </si>
  <si>
    <t xml:space="preserve">Is Filing Necessary? </t>
  </si>
  <si>
    <t>Amount of PBOPs Expenses that SCE must</t>
  </si>
  <si>
    <t>(C1)</t>
  </si>
  <si>
    <t>(C2)</t>
  </si>
  <si>
    <t>(C3)</t>
  </si>
  <si>
    <t>file for if filing is necessary:</t>
  </si>
  <si>
    <t xml:space="preserve">50% of </t>
  </si>
  <si>
    <t xml:space="preserve">Filing </t>
  </si>
  <si>
    <t xml:space="preserve">PBOPs </t>
  </si>
  <si>
    <t>Recovery</t>
  </si>
  <si>
    <t>Expenses</t>
  </si>
  <si>
    <t>Current Authorized PBOPs Expense Amount:</t>
  </si>
  <si>
    <t>Over (-) or</t>
  </si>
  <si>
    <t>Under (+)</t>
  </si>
  <si>
    <t xml:space="preserve">First Year currently-effective </t>
  </si>
  <si>
    <t xml:space="preserve">Sum of above </t>
  </si>
  <si>
    <t xml:space="preserve">b) The sum of SCE's PBOPs Expense amount to be recovered under its Formula Rate for the current year </t>
  </si>
  <si>
    <t>and the next year at the current Authorized PBOPs Expense Amount ("Projected Recovery").</t>
  </si>
  <si>
    <t>Projected Expense:</t>
  </si>
  <si>
    <t>Sum of first two years of Forecast PBOPs Expenses</t>
  </si>
  <si>
    <t>Projected Recovery:</t>
  </si>
  <si>
    <t>Projected Expense less Projected Recovery</t>
  </si>
  <si>
    <t>Five Year Forecast PBOPs Expenses:</t>
  </si>
  <si>
    <t>Rate Year and Immediately succeeding Rate Year:</t>
  </si>
  <si>
    <t>PBOPs Filing Determination</t>
  </si>
  <si>
    <t>Determination of PBOPs Filing Requirement and PBOPs Filing Amounts</t>
  </si>
  <si>
    <t>If amount on Line 3 is greater than amount on Line 4, then SCE must make filing.</t>
  </si>
  <si>
    <t>If (L3&gt;L4) then "Yes", else "No"</t>
  </si>
  <si>
    <t>Pursuant to Section 8.b of the formula rate protocols, SCE must make a filing to adjust the current Authorized PBOPs Expense Amount</t>
  </si>
  <si>
    <t>Note 2, Line i</t>
  </si>
  <si>
    <t>(d+e) * 0.2</t>
  </si>
  <si>
    <t>Unfunded Reserves</t>
  </si>
  <si>
    <t>Determination of Unfunded Reserves</t>
  </si>
  <si>
    <t>(Line 17, Col 3)</t>
  </si>
  <si>
    <t>Unfunded</t>
  </si>
  <si>
    <t>Reserves</t>
  </si>
  <si>
    <t>Provision for Injuries and Damages</t>
  </si>
  <si>
    <t>(Line 26)</t>
  </si>
  <si>
    <t>Provision for Vac/Sick Leave</t>
  </si>
  <si>
    <t>(Line 33)</t>
  </si>
  <si>
    <t>Provision for Supplemental Executive Retirement Plan</t>
  </si>
  <si>
    <t>(Line 42)</t>
  </si>
  <si>
    <t>(Line 14 + Line 15 + Line 16)</t>
  </si>
  <si>
    <t>Calculations</t>
  </si>
  <si>
    <t>BOY/EOY</t>
  </si>
  <si>
    <t>Injuries and Damages - Acct. 2251010</t>
  </si>
  <si>
    <t>Company Records - Input (Negative)</t>
  </si>
  <si>
    <t>Net Injuries and Damages</t>
  </si>
  <si>
    <t>(Line 22 + Line 23)</t>
  </si>
  <si>
    <t>(27-Allocators, Line 9)</t>
  </si>
  <si>
    <t>ISO Transmission Rate Base Applicable</t>
  </si>
  <si>
    <t>(Line 24 x Line 25)</t>
  </si>
  <si>
    <t>Vacation Leave</t>
  </si>
  <si>
    <t>Vacation and Personal Time Accruals - Acct. 2350080</t>
  </si>
  <si>
    <t xml:space="preserve">Net Vacation Leave </t>
  </si>
  <si>
    <t>(Line 29 + Line 30)</t>
  </si>
  <si>
    <t>(Line 31 x Line 32)</t>
  </si>
  <si>
    <t>Supplemental Executive Retirement Plan</t>
  </si>
  <si>
    <t>Times:</t>
  </si>
  <si>
    <t>Applicable Rate Base Percentage</t>
  </si>
  <si>
    <t>Sub-Total Supplemental Executive Retirement Plan</t>
  </si>
  <si>
    <t>(Line 36 x Line 37)</t>
  </si>
  <si>
    <t>Net Supplemental Executive Retirement Plan</t>
  </si>
  <si>
    <t>(Line 38 + Line 39)</t>
  </si>
  <si>
    <t>(Line 40 x Line 41)</t>
  </si>
  <si>
    <t>Unfunded Reserves (Average BOY/EOY):</t>
  </si>
  <si>
    <t>Unfunded Reserves (EOY):</t>
  </si>
  <si>
    <t>(Line 17, Col 2)</t>
  </si>
  <si>
    <t>f) EPRI and EEI Expenses</t>
  </si>
  <si>
    <t>c) Calculation of EPRI and EEI Expense Exclusion</t>
  </si>
  <si>
    <t>EEI Expenses</t>
  </si>
  <si>
    <t>EPRI and EEI Expense Exclusion</t>
  </si>
  <si>
    <t>Sum of EPRI and EEI Expenses</t>
  </si>
  <si>
    <t>5) EPRI and EEI Expense Exclusion</t>
  </si>
  <si>
    <t xml:space="preserve">50% of the total balance in Column 1, plus an amount equal to the "Labor Percentage Gas, Generation, or Other" shown on Line E of Instruction 1 times 50% of the total balance in Column 1. </t>
  </si>
  <si>
    <t>The remaining amount shall be included in Column 6 "Labor Related".</t>
  </si>
  <si>
    <t>Preferred Stock Amount -- Account 204 (Note 8):</t>
  </si>
  <si>
    <t xml:space="preserve">8) Amount in Column 2 from FF1 112.3d, amount in Column 14 from FF1 112.3c, amounts in columns 3-13 from SCE internal records. </t>
  </si>
  <si>
    <t>9) Amounts in columns 2-14 are from SCE internal records.</t>
  </si>
  <si>
    <t>10) Amounts in columns 2-14 are from SCE internal records.</t>
  </si>
  <si>
    <t>Net Gain (Loss) From Purchase and Tender Offers Note 10):</t>
  </si>
  <si>
    <t>Total Proprietary Capital (Note 11):</t>
  </si>
  <si>
    <t xml:space="preserve">11) Amount in Column 2 from FF1 112.16d, amount in Column 14 from FF1 112.16c, amounts in columns 3-13 from SCE internal records. </t>
  </si>
  <si>
    <t xml:space="preserve">12) Amount in Column 2 from FF1 112.12d (opposite sign), amount in Column 14 from FF1 112.12c (opposite sign), amounts in columns 3-13 from SCE internal records. </t>
  </si>
  <si>
    <t>13) Amount in Column 2 from FF1 112.15d (opposite sign), amount in Column 14 from FF1 112.15c (opposite sign), amounts in columns 3-13 from SCE internal records.</t>
  </si>
  <si>
    <t>Note 2, d-h</t>
  </si>
  <si>
    <t>Calculation for Columns 2 and 3</t>
  </si>
  <si>
    <t>C2 = L1 * 0.5, C3 = C1 + C2</t>
  </si>
  <si>
    <t>C2 NA, C3 =Avg of L7,L8,L9, C1</t>
  </si>
  <si>
    <t>Absolute Value (Sum of L1 and L2)</t>
  </si>
  <si>
    <t>Calculation of Unfunded Reserves</t>
  </si>
  <si>
    <t>excluded.  For one-time costs, pre-in-service and post-in-service interest is included.</t>
  </si>
  <si>
    <t xml:space="preserve">Interest relates to refund of facility and one-time payments by generator.  For facility costs, pre-in-service date interest is  </t>
  </si>
  <si>
    <t>Total days in year:</t>
  </si>
  <si>
    <t>((Line a ROE * Line a days) + (Line b ROE * Line b days)) / Total Days in Year</t>
  </si>
  <si>
    <t>SCE Records and Workpapers</t>
  </si>
  <si>
    <t>(-Line 22 x (1-BaseTRR, Line 58))</t>
  </si>
  <si>
    <t>(-Line 29 x (1-BaseTRR, Line 58))</t>
  </si>
  <si>
    <t>(-Line 38 x (1-BaseTRR, Line 58))</t>
  </si>
  <si>
    <t xml:space="preserve">5) </t>
  </si>
  <si>
    <t>Not Used</t>
  </si>
  <si>
    <t>NOT USED</t>
  </si>
  <si>
    <t xml:space="preserve">4) </t>
  </si>
  <si>
    <t>Remaining A&amp;G after exclusions &amp; NOIC Adjustment:</t>
  </si>
  <si>
    <t>NOIC</t>
  </si>
  <si>
    <t xml:space="preserve">Note 2: Non-Officer Incentive Compensation ("NOIC") Adjustment </t>
  </si>
  <si>
    <t>(NOIC includes Results Sharing, Management Incentive Program, and Non-Officer Executive Incentive Compensation).</t>
  </si>
  <si>
    <t xml:space="preserve">Adjust NOIC by excluding accrued NOIC Amount and replacing with the </t>
  </si>
  <si>
    <t>Accrued NOIC Amount:</t>
  </si>
  <si>
    <t>Actual A&amp;G NOIC payout:</t>
  </si>
  <si>
    <t>2) Fill out "Itemization of Exclusions" table for all input cells. NOIC amount in</t>
  </si>
  <si>
    <t xml:space="preserve">2) Beginning with Prior Year 2012, any amount of Officer Executive Incentive Compensation ("OEIC")  in excess of the amount </t>
  </si>
  <si>
    <t xml:space="preserve">    authorized by the CPUC in Decision D.12-11-051 or subsequent decision.</t>
  </si>
  <si>
    <t xml:space="preserve">3) Beginning with Prior Year 2012, any amount of Supplemental Executive Retirement Plan ("SERP") in excess of the amount </t>
  </si>
  <si>
    <t>4) Beginning with Prior Year 2012, any amount of NOIC in excess of the amount authorized by the CPUC in Decision D.12-11-051 or subsequent decision.</t>
  </si>
  <si>
    <t>5) Any Spot Bonus costs.</t>
  </si>
  <si>
    <t>6) Any Awards to Celebrate Excellence  ("ACE") costs.</t>
  </si>
  <si>
    <r>
      <t>3) NOIC adjustment in Column 3</t>
    </r>
    <r>
      <rPr>
        <b/>
        <sz val="10"/>
        <rFont val="Arial"/>
        <family val="2"/>
      </rPr>
      <t xml:space="preserve">, </t>
    </r>
    <r>
      <rPr>
        <sz val="10"/>
        <rFont val="Arial"/>
        <family val="2"/>
      </rPr>
      <t xml:space="preserve">Line 24 is made by determining the difference between the total accrued NOIC amount </t>
    </r>
  </si>
  <si>
    <t>included in the FERC Form 1 recorded cost amounts and the actual A&amp;G NOIC payout (see note 2).</t>
  </si>
  <si>
    <t>NOIC adjustment in column 3, Line 26 is made by entering the amount of accrued NOIC that is capitalized.</t>
  </si>
  <si>
    <t>Transmission NOIC (Note 3)</t>
  </si>
  <si>
    <t>Distribution NOIC (Note 3)</t>
  </si>
  <si>
    <t>Total TDBU NOIC</t>
  </si>
  <si>
    <t>Transmission NOIC (Note 4)</t>
  </si>
  <si>
    <t>Distribution NOIC (Note 4)</t>
  </si>
  <si>
    <t>the Transmission NOIC Percentage calculated below.  Distribution NOIC equals Total TDBU NOIC times the Distribution NOIC Percentage below.</t>
  </si>
  <si>
    <t>Total TDBU NOIC is on Line:</t>
  </si>
  <si>
    <t>Transmission NOIC Percentage:</t>
  </si>
  <si>
    <t>Distribution NOIC Percentage:</t>
  </si>
  <si>
    <t xml:space="preserve">4) NOIC attributable to ISO Transmission (Column 7) is calculated utilizing a percentage equal to the ratio of total ISO O&amp;M Labor Expenses in column 7 (exclusive of NOIC) to </t>
  </si>
  <si>
    <t>the total labor expenses in column 3 (exclusive of NOIC).  That allocator, which is identified below, is then applied to the value in Column 3 to arrive at the NOIC attributable to ISO Transmission in Column 7.</t>
  </si>
  <si>
    <t>Less A&amp;G NOIC</t>
  </si>
  <si>
    <t>NOIC wo A&amp;G NOIC</t>
  </si>
  <si>
    <t>Total non-A&amp;G W&amp;S with NOIC</t>
  </si>
  <si>
    <t>3) Total TDBU NOIC is allocated to Transmission and Distribution in proportion to labor in the respective functions.  Transmission NOIC ("Non-Officer Incentive Compensation") equals Total TDBU NOIC times</t>
  </si>
  <si>
    <t>Total NOIC (Non-Officer Incentive Compensation)</t>
  </si>
  <si>
    <t>dividing adopted Uncollectibles expense by Total Operating revenues less Uncollectibles Expense.  Resulting FF &amp; U</t>
  </si>
  <si>
    <t>3) Enter ISO portion of plant in Column 2, "Transmission Plant - ISO, or "Distribution Plant - ISO".</t>
  </si>
  <si>
    <t>Depreciation Rates (Percent per year)  See "18-DepRates" and Instruction 1.</t>
  </si>
  <si>
    <t>17a</t>
  </si>
  <si>
    <t>17b</t>
  </si>
  <si>
    <t>17c</t>
  </si>
  <si>
    <t>17d</t>
  </si>
  <si>
    <t>17e</t>
  </si>
  <si>
    <t>17f</t>
  </si>
  <si>
    <t>17g</t>
  </si>
  <si>
    <t>17h</t>
  </si>
  <si>
    <t>17i</t>
  </si>
  <si>
    <t>17j</t>
  </si>
  <si>
    <t>17k</t>
  </si>
  <si>
    <t>17l</t>
  </si>
  <si>
    <t>17m</t>
  </si>
  <si>
    <t>1) Depreciation rates on Lines 17a-17m input from Schedule 18.  However, in the event of a mid-year change in depreciation rates approved by the Commission,</t>
  </si>
  <si>
    <t xml:space="preserve">the rates stated on Schedule 18 will represent end of Prior Year rates.  To correctly calculate depreciation expense for Transmission Plant - ISO for the entire  </t>
  </si>
  <si>
    <t xml:space="preserve">Prior Year, input depreciation rates from Schedule 18 only for those months during which the new rates were in effect, and input previous </t>
  </si>
  <si>
    <t>effective rates in the months for which they were in effect.</t>
  </si>
  <si>
    <t xml:space="preserve">5) Enter any One Time Adjustments on Column 4, Line 11 (or other appropriate).  If SCE is owed enter as positive, if SCE is to return to customers enter as negative.  </t>
  </si>
  <si>
    <t>c) Reliability Services Revenue.</t>
  </si>
  <si>
    <t>b) Transmission Access Charge Balancing Account Adjustment.</t>
  </si>
  <si>
    <t xml:space="preserve">a) Transmission Revenue Balancing Account Adjustment revenue. </t>
  </si>
  <si>
    <t>1) Not Used</t>
  </si>
  <si>
    <t>2) Not Used</t>
  </si>
  <si>
    <t xml:space="preserve">6) </t>
  </si>
  <si>
    <t xml:space="preserve">7) </t>
  </si>
  <si>
    <t xml:space="preserve">2) </t>
  </si>
  <si>
    <t>3) Update notes 9 and 10 as necessary.</t>
  </si>
  <si>
    <t>a) Depreciation Expense (on Lines 40 to 51) for the same month;</t>
  </si>
  <si>
    <t xml:space="preserve">removes the interest income/expense amounts previously recorded and included in current tax expense.  The purpose of the adjustment is to reflect only income </t>
  </si>
  <si>
    <t>tax amounts without any interest income/expense amounts.  The amount is directly from SCE's accounting system.</t>
  </si>
  <si>
    <t>Mono Power Company is a subsidiary company.  Net Earnings are reported on Acct 418.1, pg 225.11e.  Revenues and costs shall be non-ISO.</t>
  </si>
  <si>
    <t>SCE Capital Company is a subsidiary company.  Net Earnings are reported on Acct 418.1, pg 225.23e.  Revenues and costs shall be non-ISO.</t>
  </si>
  <si>
    <t>3) Includes recorded Transmission Plant-In-Service additions, retirements, transfers and adjustments.  From SCE internal acounting records.</t>
  </si>
  <si>
    <t>3) Total annual amortization associated with events listed in note 10 on 5-ROR-2.</t>
  </si>
  <si>
    <t>4) Total annual amortization associated with preferred equity issues listed in note 9 on 5-ROR-2.</t>
  </si>
  <si>
    <t>Note 2: Adjustment to exclude interest component related portion of Federal Income Taxes Payable on Line 805.  The Interest Income Reclassification adjustment</t>
  </si>
  <si>
    <t>Sum of Column D, Line 43 and Column G, Line 32</t>
  </si>
  <si>
    <t xml:space="preserve">Instruction 3: For any balances in account 190 relating to "Executive Incentive Comp" or "Executive Incentive Plan", the amount included in Column 3 "Gas, Generation or Other Related" shall be </t>
  </si>
  <si>
    <t>Instruction 4: Classify any ADIT line items relating to refunding and retirement of debt as Plant related (Column 5).</t>
  </si>
  <si>
    <t>Instruction 5: For any balances in account 190 relating to stock options, the entire amount is included in Column 3 “Gas, Generation or Other Related.”</t>
  </si>
  <si>
    <t>Accrual Rate</t>
  </si>
  <si>
    <t>18 Dep Rates L1</t>
  </si>
  <si>
    <t>18 Dep Rates L2</t>
  </si>
  <si>
    <t>18 Dep Rates L3</t>
  </si>
  <si>
    <t>18 Dep Rates L4</t>
  </si>
  <si>
    <t>18 Dep Rates L5</t>
  </si>
  <si>
    <t>18 Dep Rates L6</t>
  </si>
  <si>
    <t>18 Dep Rates L7</t>
  </si>
  <si>
    <t>18 Dep Rates L8</t>
  </si>
  <si>
    <t>18 Dep Rates L9</t>
  </si>
  <si>
    <t>18 Dep Rates L10</t>
  </si>
  <si>
    <t>4j</t>
  </si>
  <si>
    <t>Uneconomic Line Extension</t>
  </si>
  <si>
    <t>4k</t>
  </si>
  <si>
    <t>Opt Out CARE-Res-Ini</t>
  </si>
  <si>
    <t>4l</t>
  </si>
  <si>
    <t>Opt Out CARE-Res-Mo</t>
  </si>
  <si>
    <t>4m</t>
  </si>
  <si>
    <t>Opt Out NonCARE-Res-Ini</t>
  </si>
  <si>
    <t>4n</t>
  </si>
  <si>
    <t>Opt Out NonCARE-Res-Mo</t>
  </si>
  <si>
    <t>10x</t>
  </si>
  <si>
    <t>Op Misc Land/Fac Rev</t>
  </si>
  <si>
    <t>10y</t>
  </si>
  <si>
    <t>T-Unauth Pole Rent</t>
  </si>
  <si>
    <t>10z</t>
  </si>
  <si>
    <t>T-P&amp;E Fees</t>
  </si>
  <si>
    <t>Grant Amortization</t>
  </si>
  <si>
    <t>GHG Allowance Revenue</t>
  </si>
  <si>
    <t>12ccc</t>
  </si>
  <si>
    <t>12ddd</t>
  </si>
  <si>
    <t>3) Amortization of December balance over Rate Effective Period:</t>
  </si>
  <si>
    <t>1) Enter applicable years on Column 1, Lines 11-34 and 43-54.</t>
  </si>
  <si>
    <t>2) Enter Previous Period True Up Adjustment (if any) on Column 4, Lines 23-34.  See Note 4 for definition of Previous Period True Up Adjustment.</t>
  </si>
  <si>
    <t>18 C.F.R. §35.19a on lines 11 to 34, Column 6.  If interest rate for any months not known, use most recent known month.</t>
  </si>
  <si>
    <t>4) Enter "Total Amortization" amount on Line 57, column 6 to set September Month Ending Balance Column 7, Line 54 equal to $0.  Iterate if necessary to solve.</t>
  </si>
  <si>
    <t>(i.e., so that the Month Beginning Balance in Column 3, Line 43 is completely amortized away by the Amortization amounts in Column 4).</t>
  </si>
  <si>
    <t>6) Fill in matrix of all retail revenues from Prior Year in table on lines 95 to 106.</t>
  </si>
  <si>
    <t>7) Enter Total Sales to Ultimate Consumers on line 109 and verify that it equals the total on line 107.</t>
  </si>
  <si>
    <t>These are the 12 monthly values of the "True Up Adjustment Received/Returned" in Column 8, Lines 43 -54 from the previous Informational Filing,</t>
  </si>
  <si>
    <t>They are input into Column 4, lines 23-34 of this current Informational Filing, corresponding to the Rate Effective Period of the previous Informational Filing.</t>
  </si>
  <si>
    <t>8) The Interest Rate in Rate Effective Period is equal to average of interest rates in previous 12 months (lines 23-34).</t>
  </si>
  <si>
    <t>9) The "Month Beginning Balance"  is Month Ending Balance from previous month in Column 7 (January is from Column 9, Line 34).</t>
  </si>
  <si>
    <t>10) Amortization equals amount in Line 57 divided by 12 each month.  See Instruction #4 also for further detail.</t>
  </si>
  <si>
    <t xml:space="preserve">1) Forecast Period is the calendar year two years after the Prior Year (i.e., PY+2).   </t>
  </si>
  <si>
    <t>2) Sum of project specific values from lines 55-79, 81-105, 107-131, 133-157, 159-183, 185-209, 211-235, 237-261, 263-287, 289-313,…</t>
  </si>
  <si>
    <t>2) Enter forecast project specific values on lines 55-79, 81-105, 107-131, 133-157, 159-183, 185-209, 211-235, 237-261, 263-287, 289-313,...</t>
  </si>
  <si>
    <t>= C1 * 
16-Plnt Add Line 74</t>
  </si>
  <si>
    <t>= (C4 - C5) *
16-Plnt Add Line 74</t>
  </si>
  <si>
    <t>C4 10-CWIP
L30-53</t>
  </si>
  <si>
    <t>C5 10-CWIP
L30-53</t>
  </si>
  <si>
    <t>C6 10-CWIP
L30-53</t>
  </si>
  <si>
    <t>= Prior Month C7 
* L91/12</t>
  </si>
  <si>
    <t>=C11* (1-L75)
* (1+L74+L76)</t>
  </si>
  <si>
    <t>2) Sum of Incentive Plant Calculations and Non-Incentive Calculations, lines 26-49 and lines 50-73</t>
  </si>
  <si>
    <t>Column 8, Line 55</t>
  </si>
  <si>
    <t>Domestic</t>
  </si>
  <si>
    <t>GS-1</t>
  </si>
  <si>
    <t xml:space="preserve">       GS-1 continued</t>
  </si>
  <si>
    <t>TC-1</t>
  </si>
  <si>
    <t>GS-2</t>
  </si>
  <si>
    <t>TOU-GS-3</t>
  </si>
  <si>
    <t>TOU-8-SEC</t>
  </si>
  <si>
    <t>TOU-8-PRI</t>
  </si>
  <si>
    <t>TOU-8-SUB</t>
  </si>
  <si>
    <t>TOU-8-Standby-SEC</t>
  </si>
  <si>
    <t>TOU-8-Standby-PRI</t>
  </si>
  <si>
    <t>TOU-8-Standby-SUB</t>
  </si>
  <si>
    <t>TOU-PA-2</t>
  </si>
  <si>
    <t>TOU-PA-3</t>
  </si>
  <si>
    <t>Street Lighting</t>
  </si>
  <si>
    <t>Sales Forecast Billing Determinants:</t>
  </si>
  <si>
    <t>= Retail Base TRR * Line1:Col1</t>
  </si>
  <si>
    <t>Applies to supplemental kW demand charges</t>
  </si>
  <si>
    <t>Applies to contracted standby kW demand charges</t>
  </si>
  <si>
    <t>= Line1:Col2 / (Line1:Col3*10^6)</t>
  </si>
  <si>
    <t>= Line1:Col2 / ((Line1:Col 4 + Line1:Col5)*10^3)</t>
  </si>
  <si>
    <t>Recorded Billing Determinants: to be applied to the Supplemental kW demand charges, and the Contracted Standby kW demand charges</t>
  </si>
  <si>
    <t>GWh</t>
  </si>
  <si>
    <t>Maximum demand - MW</t>
  </si>
  <si>
    <t>Standby demand - MW</t>
  </si>
  <si>
    <t>Total energy rate - $/kWh</t>
  </si>
  <si>
    <t>Total demand rate - $/kW-month</t>
  </si>
  <si>
    <r>
      <t>1b</t>
    </r>
    <r>
      <rPr>
        <b/>
        <vertAlign val="subscript"/>
        <sz val="10"/>
        <rFont val="Arial"/>
        <family val="2"/>
      </rPr>
      <t>2</t>
    </r>
  </si>
  <si>
    <t>2) Determination of Standby Demand Rates for Rate Groups</t>
  </si>
  <si>
    <t>from Line1:Col2</t>
  </si>
  <si>
    <t>from Line44:Col3</t>
  </si>
  <si>
    <t>from Line44:Col4</t>
  </si>
  <si>
    <t>= Line9:Col2 / Line9:Col3</t>
  </si>
  <si>
    <t>= Line9:Col1 * Line9:Col4</t>
  </si>
  <si>
    <t>from Lin1:Col5</t>
  </si>
  <si>
    <t>= Line9:Col5 / Line9:Col6 / 10^3</t>
  </si>
  <si>
    <t>Adjusted 12-CP at backup load</t>
  </si>
  <si>
    <t>Adjusted 12-CP at total load</t>
  </si>
  <si>
    <t>Backup allocation factors</t>
  </si>
  <si>
    <t>Backup revenue requirement</t>
  </si>
  <si>
    <t>Contracted standby kW demand Charge - $/kW</t>
  </si>
  <si>
    <t>9a</t>
  </si>
  <si>
    <t>9b</t>
  </si>
  <si>
    <t>9c</t>
  </si>
  <si>
    <t>9d</t>
  </si>
  <si>
    <t>= Line16:Col1 - Line16:Col3</t>
  </si>
  <si>
    <t>= Line16:Col7 * Line1:Col5 *10^3</t>
  </si>
  <si>
    <t>= Line16:Col2 / (Line1:Col3 * 10^6)</t>
  </si>
  <si>
    <t>= Line16:Col2 / Line1:Col4 / 10^3</t>
  </si>
  <si>
    <t>from Line9:Col7</t>
  </si>
  <si>
    <t>= Line16:Col6 * 0.746</t>
  </si>
  <si>
    <t>= Line16:Col7 * 0.746</t>
  </si>
  <si>
    <t>Revenue associated with Supplemental Demand or Energy</t>
  </si>
  <si>
    <t>Standby Demand Revenue</t>
  </si>
  <si>
    <t>Supplemental Demand Charge - $/kW-month</t>
  </si>
  <si>
    <t>Contracted standby kW demand Charge - $/kW-month</t>
  </si>
  <si>
    <t>Supplemental Demand Charge - $/HP-month</t>
  </si>
  <si>
    <t>Contracted standby kW demand Charge - $/HP-month</t>
  </si>
  <si>
    <t>16a</t>
  </si>
  <si>
    <t>16b</t>
  </si>
  <si>
    <t>16c</t>
  </si>
  <si>
    <t>16d</t>
  </si>
  <si>
    <t>16e</t>
  </si>
  <si>
    <t>16f</t>
  </si>
  <si>
    <t>16g</t>
  </si>
  <si>
    <t>16h</t>
  </si>
  <si>
    <t>16i</t>
  </si>
  <si>
    <t>16j</t>
  </si>
  <si>
    <t>16k</t>
  </si>
  <si>
    <t>16l</t>
  </si>
  <si>
    <t>16m</t>
  </si>
  <si>
    <t>16n</t>
  </si>
  <si>
    <t>16o</t>
  </si>
  <si>
    <t>1) See Col 9 of Lines 35a, 35b, 35c, etc.</t>
  </si>
  <si>
    <t>2) Sales forecast in total Giga-watt hours usage - applies to non-demand charge schedules, represents the customers' total annual GWh usage</t>
  </si>
  <si>
    <t>3) Sales forecast pertaining to the sum of monthly maximum supplemental Mega-watt demand, applies to demand charge schedules</t>
  </si>
  <si>
    <t>4) Sales forecast pertaining to the sum of monthly contracted standby Mega-watt demand, applies to standby schedules</t>
  </si>
  <si>
    <t>5) Recorded sales from Sample meters adjusted for population - use to set the total demand rate for the optional time-of-use schedules within the GS-1 rate group</t>
  </si>
  <si>
    <r>
      <t>6) Total demand rate for the optional time-of-use schedules within the GS-1 rate group, = (Line1b:Col6 * Line1b:Col8 *10^6) / ((Line1b:Col9 + Line1b:Col10) * 10^3).  Line 1b</t>
    </r>
    <r>
      <rPr>
        <vertAlign val="subscript"/>
        <sz val="10"/>
        <rFont val="Arial"/>
        <family val="2"/>
      </rPr>
      <t>2</t>
    </r>
    <r>
      <rPr>
        <sz val="10"/>
        <rFont val="Arial"/>
        <family val="2"/>
      </rPr>
      <t>:Col8 = Line 1b:Col6 * Line 1b:Col8 * 10^6.</t>
    </r>
  </si>
  <si>
    <t>7) For optional time-of-use schedules within the GS-1 rate group, = (Line16:Col7 * Line1b:Col10 *10^3)</t>
  </si>
  <si>
    <r>
      <t>8) For optional time-of-use schedules within the GS-1 rate group (Line16b:Col6), = (Line1b</t>
    </r>
    <r>
      <rPr>
        <vertAlign val="subscript"/>
        <sz val="10"/>
        <rFont val="Arial"/>
        <family val="2"/>
      </rPr>
      <t>2</t>
    </r>
    <r>
      <rPr>
        <sz val="10"/>
        <rFont val="Arial"/>
        <family val="2"/>
      </rPr>
      <t>:Col8 - Line16:Col3) / Line1b:Col9 / 10^3</t>
    </r>
  </si>
  <si>
    <t>9) For the non TOU-8-Standby rate group, it is the minimum of Line16i:Col7, or the total demand rate in Line1:Col7</t>
  </si>
  <si>
    <t>10)  Applicable to time-of-use schedules within the GS-1 rate group</t>
  </si>
  <si>
    <t>11)  Applicable to the optional schedules that contain horse power charge such as PA-1</t>
  </si>
  <si>
    <t>26a</t>
  </si>
  <si>
    <t>26b</t>
  </si>
  <si>
    <t>26c</t>
  </si>
  <si>
    <t>26d</t>
  </si>
  <si>
    <t>26e</t>
  </si>
  <si>
    <t>26f</t>
  </si>
  <si>
    <t>26g</t>
  </si>
  <si>
    <t>26h</t>
  </si>
  <si>
    <t>26i</t>
  </si>
  <si>
    <t>26j</t>
  </si>
  <si>
    <t>26k</t>
  </si>
  <si>
    <t>26l</t>
  </si>
  <si>
    <t>26m</t>
  </si>
  <si>
    <t>26n</t>
  </si>
  <si>
    <t>26o</t>
  </si>
  <si>
    <t>= Line35:(Col1+Col2+Col3)/3</t>
  </si>
  <si>
    <t>from Line1:Col3</t>
  </si>
  <si>
    <t>= Line35:(Col4*Col5/Col6*Col7)</t>
  </si>
  <si>
    <t>= Line35:(Col8 / total of Col8)</t>
  </si>
  <si>
    <t>3-Year Average</t>
  </si>
  <si>
    <t>12-CP Allocation factors</t>
  </si>
  <si>
    <t>35a</t>
  </si>
  <si>
    <t>35b</t>
  </si>
  <si>
    <t>35c</t>
  </si>
  <si>
    <t>35d</t>
  </si>
  <si>
    <t>35e</t>
  </si>
  <si>
    <t>35f</t>
  </si>
  <si>
    <t>35g</t>
  </si>
  <si>
    <t>35h</t>
  </si>
  <si>
    <t>35i</t>
  </si>
  <si>
    <t>35j</t>
  </si>
  <si>
    <t>35k</t>
  </si>
  <si>
    <t>35l</t>
  </si>
  <si>
    <t>35m</t>
  </si>
  <si>
    <t>35n</t>
  </si>
  <si>
    <t>35o</t>
  </si>
  <si>
    <t>=Line44:Col1 * Line44:Col2</t>
  </si>
  <si>
    <t>from Line35:Col8</t>
  </si>
  <si>
    <t>12 CP at Backup Load</t>
  </si>
  <si>
    <t>44a</t>
  </si>
  <si>
    <t>44b</t>
  </si>
  <si>
    <t>44c</t>
  </si>
  <si>
    <t>44d</t>
  </si>
  <si>
    <t>1-BaseTRR WS, Line 86</t>
  </si>
  <si>
    <t>H:  Excludes shareholder funded costs.</t>
  </si>
  <si>
    <t>In the event that the Formula Rate timelines in effect during the previous Informational Filing differ from this Informational Filing, enter the Previous Period True Up Adjustment</t>
  </si>
  <si>
    <t>in this Informational Filing on the lines corrresponding to the Rate Effective Period from the previous Informational Filing.</t>
  </si>
  <si>
    <t>4) Cost Adjustment may be included as provided in the Tariff protocols.</t>
  </si>
  <si>
    <t>1/16 (O&amp;M + A&amp;G)</t>
  </si>
  <si>
    <t>Beginning of Year Amount</t>
  </si>
  <si>
    <t>End of Year Amount</t>
  </si>
  <si>
    <t>Income Taxes = [((RB * ER) + D) * (CTR/(1 – CTR))]  + CO/(1 – CTR)</t>
  </si>
  <si>
    <t>Actual non-capitalized NOIC Payouts:</t>
  </si>
  <si>
    <t>actual non-capitalized A&amp;G NOIC payout.</t>
  </si>
  <si>
    <t>Forecast 12-CP Retail Load:</t>
  </si>
  <si>
    <t>Full Development of Retail and Wholesale Base TRRs</t>
  </si>
  <si>
    <t>Presentation of Prior Year CWIP and Forecast Period Incremental CWIP</t>
  </si>
  <si>
    <t>True Up TRR without Franchise Fees and Uncollectibles Expense included:</t>
  </si>
  <si>
    <t>k</t>
  </si>
  <si>
    <t xml:space="preserve">b) EOY General and Intangible Depreciation Reserve </t>
  </si>
  <si>
    <t>3) Devers to Col. River</t>
  </si>
  <si>
    <t>7, 17</t>
  </si>
  <si>
    <t>divided by total labor in these same accounts (column 3):</t>
  </si>
  <si>
    <t>Straddle Subs (Cross 200 kV boundary):</t>
  </si>
  <si>
    <t>G: Exclude any amount of ACE awards or Spot Bonuses in O&amp;M accounts 560-592.</t>
  </si>
  <si>
    <t>F:  Exclude amount of costs transfered to account from A&amp;G Account 920 pursuant to Order 668.</t>
  </si>
  <si>
    <t>E: Add NOIC annual payout.</t>
  </si>
  <si>
    <t>569.100 - Hardware</t>
  </si>
  <si>
    <t>569.200 - Software</t>
  </si>
  <si>
    <t>569.300 - Communication</t>
  </si>
  <si>
    <t>Gross Plant that can directly be determined to be HV or LV:</t>
  </si>
  <si>
    <t>Row _, Column i</t>
  </si>
  <si>
    <t>Recorded GWh (- - Average)</t>
  </si>
  <si>
    <t>B) Return on Capital</t>
  </si>
  <si>
    <t>C) Income Taxes</t>
  </si>
  <si>
    <t>D) True Up TRR Calculation</t>
  </si>
  <si>
    <t>E) Calculation of final True Up TRR with Franchise Fees and Uncollectibles Expenses</t>
  </si>
  <si>
    <t xml:space="preserve">1) No change in Return on Common Equity will be made absent a Section 205 filing at the Commission. </t>
  </si>
  <si>
    <t>AFCRCWIP = CLTD  + (COS * (1/(1 - CTR)))</t>
  </si>
  <si>
    <t xml:space="preserve">Year </t>
  </si>
  <si>
    <t>= Sum (Cols. 2-14)/13</t>
  </si>
  <si>
    <t>Reacquired Bonds -- Account 222 (Note 2): enter - of FF1</t>
  </si>
  <si>
    <t xml:space="preserve">Unamortized Issuance Costs (Note 9): enter negative </t>
  </si>
  <si>
    <t>Unappropriated Undist. Sub. Earnings -- Acct. 216.1 (Note 12): enter - of FF1</t>
  </si>
  <si>
    <t>Accumulated Other Comprehensive Loss -- Account 219 (Note 13): enter - of FF1</t>
  </si>
  <si>
    <t>Attachment 5</t>
  </si>
  <si>
    <t>Proposed Formula Rate Spreadsheet effective January 1, 2014 with formulas included</t>
  </si>
  <si>
    <t>Reflecting revisions to PBOPs Mechanism in Schedules 4 and 35, and to</t>
  </si>
  <si>
    <t>27a</t>
  </si>
  <si>
    <t>PBOPs True UP TRR Adjustment</t>
  </si>
  <si>
    <r>
      <t xml:space="preserve">Complete Lines 1-9 of this Schedule every other Annual Update beginning with the </t>
    </r>
    <r>
      <rPr>
        <sz val="10"/>
        <rFont val="Arial"/>
        <family val="2"/>
      </rPr>
      <t>Annual Update submitted in 2014 (for Rate Year 2015).</t>
    </r>
  </si>
  <si>
    <t>Complete Lines 10-14 every Annual Update beginning with the Annual Update submitted in 2014 (for Rate Year 2015).</t>
  </si>
  <si>
    <t>if the absolute value of the sum of the Cumulative PBOPs Recovery Difference and the Future PBOPs Recovery Difference is greater</t>
  </si>
  <si>
    <t>than 20% of the sum of SCE's forecast PBOPs expense for the current year and the following year.</t>
  </si>
  <si>
    <t>Cumulative PBOPs Recovery Difference</t>
  </si>
  <si>
    <t>Future PBOPs Recovery Difference</t>
  </si>
  <si>
    <t>Calculation of PBOPs True Up TRR Adjustment (See Note 3):</t>
  </si>
  <si>
    <t>Authorized PBOPs Expense Amount for Prior Year:</t>
  </si>
  <si>
    <t>Note 1 for Prior Year</t>
  </si>
  <si>
    <t xml:space="preserve">Sch. 20 Note 3, Line a </t>
  </si>
  <si>
    <t>Reduction from previous year:</t>
  </si>
  <si>
    <t>Wages and Salaries Allocation Factor:</t>
  </si>
  <si>
    <t>PBOPs True Up TRR Adjustment:</t>
  </si>
  <si>
    <t xml:space="preserve">1) The Cumulative PBOPs Recovery Difference is the cumulative over-recovery or under-recovery of SCE’s PBOPs expense amount </t>
  </si>
  <si>
    <t xml:space="preserve">during the period beginning on the date the currently-effective Authorized PBOB Expense Amounts became effective and </t>
  </si>
  <si>
    <t>ending on December 31 of the immediately preceding year (“Prior PBOPs Recovery Period”)</t>
  </si>
  <si>
    <t>Decision</t>
  </si>
  <si>
    <t>Current Authorized PBOPs Expense Amounts:</t>
  </si>
  <si>
    <t>(See Instruction 1)</t>
  </si>
  <si>
    <r>
      <t>Calculation of Cumulative PBOPs Recovery Difference (see Instruction 2</t>
    </r>
    <r>
      <rPr>
        <sz val="10"/>
        <rFont val="Arial"/>
        <family val="2"/>
      </rPr>
      <t>):</t>
    </r>
  </si>
  <si>
    <t>(C4)</t>
  </si>
  <si>
    <t>(C5)</t>
  </si>
  <si>
    <t>= C2 - C3</t>
  </si>
  <si>
    <t>= C1 - C4</t>
  </si>
  <si>
    <t>Adjusted</t>
  </si>
  <si>
    <t>PBOPs Amounts became effective:</t>
  </si>
  <si>
    <t>Cumulative PBOPs Recovery Difference:</t>
  </si>
  <si>
    <t>2) The Future PBOPs Recovery Difference is the difference between:</t>
  </si>
  <si>
    <t>a) The sum of SCE's Forecast PBOPs Expense for the current year and next year ("Projected Expense"); and</t>
  </si>
  <si>
    <t>Calculation of Future PBOPs Recovery Difference:</t>
  </si>
  <si>
    <t>Sum from Note 1 for current and next year.</t>
  </si>
  <si>
    <t>Future PBOPs Recovery Difference:</t>
  </si>
  <si>
    <t>Forecast PBOPs</t>
  </si>
  <si>
    <t>Twenty Percent of sum of forecast PBOPs Expense for current</t>
  </si>
  <si>
    <t>3) The PBOPs True Up TRR Adjustment determines the amount by which the True Up TRR for the Prior Year should be adjusted in order to correctly reflect the</t>
  </si>
  <si>
    <t>Authorized PBOPs Expense Amount that was in effect for the Prior Year (rather than the stated amount that is in effect for the current year as shown on</t>
  </si>
  <si>
    <t>Schedule 20, Note 3, Line a).</t>
  </si>
  <si>
    <t>1) "Current Authorized PBOPs Expense Amounts" in Note 1 are the amounts in effect beginning the first year these amounts were authorized.</t>
  </si>
  <si>
    <t>This schedule is to be filled out (if required by the protocols) utilizing the amounts in effect at that time.  If a filing to revise the Authorized</t>
  </si>
  <si>
    <t>PBOPs Expense Amounts is required, SCE shall make such filing after the Draft Annual Update is posted.</t>
  </si>
  <si>
    <t>SCE shall request that the Commission make the revised Authorized PBOPs Expense Amounts (as determined on Lines 5-9) effective beginning on</t>
  </si>
  <si>
    <t>January 1 of the filing year.</t>
  </si>
  <si>
    <t xml:space="preserve">If the Commission approves SCE's filing, the Authorized PBOPs Expense Amount on Schedule 20, Note 3, Line a for the subsequent </t>
  </si>
  <si>
    <t>Annual Update shall then correspond to the first "Filing PBOPs Expense" in Column 3, Line 5 above.  Absent another filing, subsequent Authorized</t>
  </si>
  <si>
    <t>PBOPs Expense Amounts in subsequent Annual Updates will correspond to the amounts in lines 6-9.</t>
  </si>
  <si>
    <t>2) Fill out table through the year immediately preceeding the current calendar year in which the Annual Update is filed.</t>
  </si>
  <si>
    <t>Enter in C1 "PBOPs Expenses" for each year equal to SCE's actual PBOPs expenses.</t>
  </si>
  <si>
    <t>Enter in C2 PBOPs Recovery based on Commission-approved amounts from most recent PBOPs filing for each year in Prior PBOPs Recovery Period.</t>
  </si>
  <si>
    <t>Enter in C3 "Previous Over (-) or Under (+) Recovery" from previous filing to revise PBOPs amounts (Lines 5 and 6, C2), if any.  Enter with same sign,</t>
  </si>
  <si>
    <t>and corresponding to the years over which it was amortized.</t>
  </si>
  <si>
    <t xml:space="preserve">C4 "Adjusted PBOPs Recovery" represents PBOPs Recovery with the previous period over or undercollection removed. </t>
  </si>
  <si>
    <t>the Authorized PBOPs Expense Amount on Schedule 20, Note 3, Line a</t>
  </si>
</sst>
</file>

<file path=xl/styles.xml><?xml version="1.0" encoding="utf-8"?>
<styleSheet xmlns="http://schemas.openxmlformats.org/spreadsheetml/2006/main" xmlns:mc="http://schemas.openxmlformats.org/markup-compatibility/2006" xmlns:x14ac="http://schemas.microsoft.com/office/spreadsheetml/2009/9/ac" mc:Ignorable="x14ac">
  <numFmts count="26">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
    <numFmt numFmtId="165" formatCode="0.0000%"/>
    <numFmt numFmtId="166" formatCode="&quot;$&quot;#,##0.00"/>
    <numFmt numFmtId="167" formatCode="_(* #,##0_);_(* \(#,##0\);_(* &quot;-&quot;??_);_(@_)"/>
    <numFmt numFmtId="168" formatCode="0.000%"/>
    <numFmt numFmtId="169" formatCode="&quot;$&quot;#,##0.0000000"/>
    <numFmt numFmtId="170" formatCode="0.000"/>
    <numFmt numFmtId="171" formatCode="0.0%"/>
    <numFmt numFmtId="172" formatCode="#,##0.000"/>
    <numFmt numFmtId="173" formatCode="0.00000%"/>
    <numFmt numFmtId="174" formatCode="&quot;$&quot;#,##0.00000"/>
    <numFmt numFmtId="175" formatCode="0.0000"/>
    <numFmt numFmtId="176" formatCode="_(&quot;$&quot;* #,##0.00_);_(&quot;$&quot;* \(#,##0.00\);_(&quot;$&quot;* &quot;-&quot;_);_(@_)"/>
    <numFmt numFmtId="177" formatCode="_-* #,##0.00\ _D_M_-;\-* #,##0.00\ _D_M_-;_-* &quot;-&quot;??\ _D_M_-;_-@_-"/>
    <numFmt numFmtId="178" formatCode="_-* #,##0\ _D_M_-;\-* #,##0\ _D_M_-;_-* &quot;-&quot;??\ _D_M_-;_-@_-"/>
    <numFmt numFmtId="179" formatCode="_(&quot;$&quot;* #,##0_);_(&quot;$&quot;* \(#,##0\);_(&quot;$&quot;* &quot;-&quot;??_);_(@_)"/>
    <numFmt numFmtId="180" formatCode="#,##0.0_);[Red]\(#,##0.0\)"/>
    <numFmt numFmtId="181" formatCode="#,##0.0"/>
    <numFmt numFmtId="182" formatCode="m/d/yy;@"/>
    <numFmt numFmtId="183" formatCode="&quot;$&quot;#,##0.000000"/>
  </numFmts>
  <fonts count="7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sz val="10"/>
      <name val="Arial"/>
      <family val="2"/>
    </font>
    <font>
      <b/>
      <u/>
      <sz val="10"/>
      <name val="Arial"/>
      <family val="2"/>
    </font>
    <font>
      <b/>
      <sz val="10"/>
      <color indexed="13"/>
      <name val="Arial"/>
      <family val="2"/>
    </font>
    <font>
      <sz val="10"/>
      <color indexed="13"/>
      <name val="Arial"/>
      <family val="2"/>
    </font>
    <font>
      <u/>
      <sz val="10"/>
      <name val="Arial"/>
      <family val="2"/>
    </font>
    <font>
      <u/>
      <sz val="10"/>
      <name val="Arial"/>
      <family val="2"/>
    </font>
    <font>
      <u/>
      <sz val="10"/>
      <color indexed="12"/>
      <name val="Arial"/>
      <family val="2"/>
    </font>
    <font>
      <sz val="8"/>
      <name val="Times New Roman"/>
      <family val="1"/>
    </font>
    <font>
      <sz val="10"/>
      <name val="Calibri"/>
      <family val="2"/>
    </font>
    <font>
      <b/>
      <sz val="10"/>
      <name val="Calibri"/>
      <family val="2"/>
    </font>
    <font>
      <sz val="9"/>
      <name val="Arial"/>
      <family val="2"/>
    </font>
    <font>
      <u/>
      <sz val="9"/>
      <name val="Arial"/>
      <family val="2"/>
    </font>
    <font>
      <u val="singleAccounting"/>
      <sz val="10"/>
      <name val="Arial"/>
      <family val="2"/>
    </font>
    <font>
      <i/>
      <sz val="10"/>
      <name val="Arial"/>
      <family val="2"/>
    </font>
    <font>
      <sz val="11"/>
      <color indexed="8"/>
      <name val="Calibri"/>
      <family val="2"/>
    </font>
    <font>
      <sz val="11"/>
      <color indexed="9"/>
      <name val="Calibri"/>
      <family val="2"/>
    </font>
    <font>
      <b/>
      <sz val="11"/>
      <color indexed="8"/>
      <name val="Calibri"/>
      <family val="2"/>
    </font>
    <font>
      <sz val="10"/>
      <color indexed="8"/>
      <name val="Arial"/>
      <family val="2"/>
    </font>
    <font>
      <sz val="10"/>
      <color indexed="10"/>
      <name val="Arial"/>
      <family val="2"/>
    </font>
    <font>
      <b/>
      <sz val="10"/>
      <color indexed="8"/>
      <name val="Arial"/>
      <family val="2"/>
    </font>
    <font>
      <sz val="10"/>
      <name val="MS Sans Serif"/>
      <family val="2"/>
    </font>
    <font>
      <b/>
      <sz val="10"/>
      <color indexed="39"/>
      <name val="Arial"/>
      <family val="2"/>
    </font>
    <font>
      <b/>
      <sz val="12"/>
      <color indexed="8"/>
      <name val="Arial"/>
      <family val="2"/>
    </font>
    <font>
      <sz val="10"/>
      <color indexed="39"/>
      <name val="Arial"/>
      <family val="2"/>
    </font>
    <font>
      <sz val="19"/>
      <color indexed="48"/>
      <name val="Arial"/>
      <family val="2"/>
    </font>
    <font>
      <b/>
      <sz val="18"/>
      <color indexed="62"/>
      <name val="Cambria"/>
      <family val="2"/>
    </font>
    <font>
      <b/>
      <vertAlign val="subscript"/>
      <sz val="10"/>
      <name val="Arial"/>
      <family val="2"/>
    </font>
    <font>
      <b/>
      <sz val="16"/>
      <name val="Arial"/>
      <family val="2"/>
    </font>
    <font>
      <sz val="11"/>
      <color theme="1"/>
      <name val="Calibri"/>
      <family val="2"/>
      <scheme val="minor"/>
    </font>
    <font>
      <b/>
      <sz val="11"/>
      <color theme="1"/>
      <name val="Calibri"/>
      <family val="2"/>
      <scheme val="minor"/>
    </font>
    <font>
      <sz val="10"/>
      <color rgb="FFFF0000"/>
      <name val="Arial"/>
      <family val="2"/>
    </font>
    <font>
      <sz val="10"/>
      <color theme="1"/>
      <name val="Arial"/>
      <family val="2"/>
    </font>
    <font>
      <b/>
      <sz val="10"/>
      <color theme="1"/>
      <name val="Arial"/>
      <family val="2"/>
    </font>
    <font>
      <b/>
      <u/>
      <sz val="10"/>
      <color theme="1"/>
      <name val="Arial"/>
      <family val="2"/>
    </font>
    <font>
      <b/>
      <u/>
      <sz val="11"/>
      <color theme="1"/>
      <name val="Calibri"/>
      <family val="2"/>
      <scheme val="minor"/>
    </font>
    <font>
      <b/>
      <sz val="10"/>
      <color rgb="FFFF0000"/>
      <name val="Arial"/>
      <family val="2"/>
    </font>
    <font>
      <u/>
      <sz val="10"/>
      <color theme="1"/>
      <name val="Arial"/>
      <family val="2"/>
    </font>
    <font>
      <sz val="11"/>
      <name val="Calibri"/>
      <family val="2"/>
      <scheme val="minor"/>
    </font>
    <font>
      <b/>
      <sz val="11"/>
      <name val="Calibri"/>
      <family val="2"/>
      <scheme val="minor"/>
    </font>
    <font>
      <sz val="10"/>
      <color theme="1"/>
      <name val="Calibri"/>
      <family val="2"/>
      <scheme val="minor"/>
    </font>
    <font>
      <b/>
      <i/>
      <sz val="10"/>
      <name val="Arial"/>
      <family val="2"/>
    </font>
    <font>
      <sz val="10"/>
      <name val="Calibri"/>
      <family val="2"/>
      <scheme val="minor"/>
    </font>
    <font>
      <sz val="10"/>
      <name val="Arial"/>
      <family val="2"/>
    </font>
    <font>
      <strike/>
      <sz val="10"/>
      <name val="Arial"/>
      <family val="2"/>
    </font>
    <font>
      <sz val="10"/>
      <color rgb="FF000000"/>
      <name val="Arial"/>
      <family val="2"/>
    </font>
    <font>
      <sz val="10"/>
      <color theme="1"/>
      <name val="Calibri"/>
      <family val="2"/>
    </font>
    <font>
      <sz val="12"/>
      <name val="Times New Roman"/>
      <family val="1"/>
    </font>
    <font>
      <b/>
      <sz val="20"/>
      <name val="Arial"/>
      <family val="2"/>
    </font>
    <font>
      <u/>
      <sz val="11"/>
      <name val="Calibri"/>
      <family val="2"/>
      <scheme val="minor"/>
    </font>
    <font>
      <b/>
      <sz val="12"/>
      <name val="Arial"/>
      <family val="2"/>
    </font>
    <font>
      <vertAlign val="subscript"/>
      <sz val="10"/>
      <name val="Arial"/>
      <family val="2"/>
    </font>
    <font>
      <u/>
      <sz val="10"/>
      <color rgb="FFFF0000"/>
      <name val="Arial"/>
      <family val="2"/>
    </font>
    <font>
      <b/>
      <u/>
      <sz val="11"/>
      <name val="Calibri"/>
      <family val="2"/>
      <scheme val="minor"/>
    </font>
    <font>
      <sz val="11"/>
      <color rgb="FFFF0000"/>
      <name val="Calibri"/>
      <family val="2"/>
      <scheme val="minor"/>
    </font>
    <font>
      <b/>
      <sz val="11"/>
      <color theme="1"/>
      <name val="Arial"/>
      <family val="2"/>
    </font>
    <font>
      <sz val="11"/>
      <color theme="1"/>
      <name val="Arial"/>
      <family val="2"/>
    </font>
    <font>
      <u/>
      <sz val="11"/>
      <color rgb="FFFF0000"/>
      <name val="Arial"/>
      <family val="2"/>
    </font>
  </fonts>
  <fills count="38">
    <fill>
      <patternFill patternType="none"/>
    </fill>
    <fill>
      <patternFill patternType="gray125"/>
    </fill>
    <fill>
      <patternFill patternType="solid">
        <fgColor indexed="45"/>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52"/>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10"/>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57"/>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53"/>
      </patternFill>
    </fill>
    <fill>
      <patternFill patternType="solid">
        <fgColor indexed="26"/>
        <bgColor indexed="26"/>
      </patternFill>
    </fill>
    <fill>
      <patternFill patternType="solid">
        <fgColor indexed="47"/>
        <bgColor indexed="47"/>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3"/>
      </patternFill>
    </fill>
    <fill>
      <patternFill patternType="solid">
        <fgColor indexed="26"/>
      </patternFill>
    </fill>
    <fill>
      <patternFill patternType="solid">
        <fgColor indexed="40"/>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9"/>
      </patternFill>
    </fill>
    <fill>
      <patternFill patternType="solid">
        <fgColor indexed="15"/>
      </patternFill>
    </fill>
    <fill>
      <patternFill patternType="solid">
        <fgColor indexed="13"/>
        <bgColor indexed="64"/>
      </patternFill>
    </fill>
    <fill>
      <patternFill patternType="solid">
        <fgColor indexed="8"/>
        <bgColor indexed="64"/>
      </patternFill>
    </fill>
    <fill>
      <patternFill patternType="solid">
        <fgColor rgb="FFFFFF00"/>
        <bgColor indexed="64"/>
      </patternFill>
    </fill>
    <fill>
      <patternFill patternType="solid">
        <fgColor theme="1"/>
        <bgColor indexed="64"/>
      </patternFill>
    </fill>
  </fills>
  <borders count="20">
    <border>
      <left/>
      <right/>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auto="1"/>
      </top>
      <bottom/>
      <diagonal/>
    </border>
    <border>
      <left/>
      <right/>
      <top/>
      <bottom style="double">
        <color indexed="64"/>
      </bottom>
      <diagonal/>
    </border>
    <border>
      <left/>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62">
    <xf numFmtId="0" fontId="0" fillId="0" borderId="0"/>
    <xf numFmtId="0" fontId="27" fillId="8" borderId="0" applyNumberFormat="0" applyBorder="0" applyAlignment="0" applyProtection="0"/>
    <xf numFmtId="0" fontId="27" fillId="9" borderId="0" applyNumberFormat="0" applyBorder="0" applyAlignment="0" applyProtection="0"/>
    <xf numFmtId="0" fontId="28" fillId="10" borderId="0" applyNumberFormat="0" applyBorder="0" applyAlignment="0" applyProtection="0"/>
    <xf numFmtId="0" fontId="27" fillId="12" borderId="0" applyNumberFormat="0" applyBorder="0" applyAlignment="0" applyProtection="0"/>
    <xf numFmtId="0" fontId="27" fillId="13" borderId="0" applyNumberFormat="0" applyBorder="0" applyAlignment="0" applyProtection="0"/>
    <xf numFmtId="0" fontId="28" fillId="14"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8" fillId="18"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8" fillId="18" borderId="0" applyNumberFormat="0" applyBorder="0" applyAlignment="0" applyProtection="0"/>
    <xf numFmtId="0" fontId="27" fillId="8" borderId="0" applyNumberFormat="0" applyBorder="0" applyAlignment="0" applyProtection="0"/>
    <xf numFmtId="0" fontId="27" fillId="9" borderId="0" applyNumberFormat="0" applyBorder="0" applyAlignment="0" applyProtection="0"/>
    <xf numFmtId="0" fontId="28" fillId="9" borderId="0" applyNumberFormat="0" applyBorder="0" applyAlignment="0" applyProtection="0"/>
    <xf numFmtId="0" fontId="27" fillId="20" borderId="0" applyNumberFormat="0" applyBorder="0" applyAlignment="0" applyProtection="0"/>
    <xf numFmtId="0" fontId="27" fillId="13" borderId="0" applyNumberFormat="0" applyBorder="0" applyAlignment="0" applyProtection="0"/>
    <xf numFmtId="0" fontId="28" fillId="21" borderId="0" applyNumberFormat="0" applyBorder="0" applyAlignment="0" applyProtection="0"/>
    <xf numFmtId="43" fontId="10"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77" fontId="13" fillId="0" borderId="0" applyFont="0" applyFill="0" applyBorder="0" applyAlignment="0" applyProtection="0"/>
    <xf numFmtId="44" fontId="10" fillId="0" borderId="0" applyFont="0" applyFill="0" applyBorder="0" applyAlignment="0" applyProtection="0"/>
    <xf numFmtId="0" fontId="29" fillId="22" borderId="0" applyNumberFormat="0" applyBorder="0" applyAlignment="0" applyProtection="0"/>
    <xf numFmtId="0" fontId="29" fillId="23" borderId="0" applyNumberFormat="0" applyBorder="0" applyAlignment="0" applyProtection="0"/>
    <xf numFmtId="0" fontId="29" fillId="24" borderId="0" applyNumberFormat="0" applyBorder="0" applyAlignment="0" applyProtection="0"/>
    <xf numFmtId="0" fontId="19" fillId="0" borderId="0" applyNumberFormat="0" applyFill="0" applyBorder="0" applyAlignment="0" applyProtection="0">
      <alignment vertical="top"/>
      <protection locked="0"/>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38" fontId="20" fillId="0" borderId="0"/>
    <xf numFmtId="9" fontId="10" fillId="0" borderId="0" applyFont="0" applyFill="0" applyBorder="0" applyAlignment="0" applyProtection="0"/>
    <xf numFmtId="9" fontId="33" fillId="0" borderId="0" applyFont="0" applyFill="0" applyBorder="0" applyAlignment="0" applyProtection="0"/>
    <xf numFmtId="9" fontId="13" fillId="0" borderId="0" applyFont="0" applyFill="0" applyBorder="0" applyAlignment="0" applyProtection="0"/>
    <xf numFmtId="4" fontId="32" fillId="25" borderId="1" applyNumberFormat="0" applyProtection="0">
      <alignment vertical="center"/>
    </xf>
    <xf numFmtId="4" fontId="34" fillId="25" borderId="1" applyNumberFormat="0" applyProtection="0">
      <alignment vertical="center"/>
    </xf>
    <xf numFmtId="4" fontId="32" fillId="25" borderId="1" applyNumberFormat="0" applyProtection="0">
      <alignment horizontal="left" vertical="center" indent="1"/>
    </xf>
    <xf numFmtId="0" fontId="32" fillId="25" borderId="1" applyNumberFormat="0" applyProtection="0">
      <alignment horizontal="left" vertical="top" indent="1"/>
    </xf>
    <xf numFmtId="4" fontId="32" fillId="27" borderId="0" applyNumberFormat="0" applyProtection="0">
      <alignment horizontal="left" vertical="center" indent="1"/>
    </xf>
    <xf numFmtId="4" fontId="30" fillId="2" borderId="1" applyNumberFormat="0" applyProtection="0">
      <alignment horizontal="right" vertical="center"/>
    </xf>
    <xf numFmtId="4" fontId="30" fillId="4" borderId="1" applyNumberFormat="0" applyProtection="0">
      <alignment horizontal="right" vertical="center"/>
    </xf>
    <xf numFmtId="4" fontId="30" fillId="11" borderId="1" applyNumberFormat="0" applyProtection="0">
      <alignment horizontal="right" vertical="center"/>
    </xf>
    <xf numFmtId="4" fontId="30" fillId="6" borderId="1" applyNumberFormat="0" applyProtection="0">
      <alignment horizontal="right" vertical="center"/>
    </xf>
    <xf numFmtId="4" fontId="30" fillId="7" borderId="1" applyNumberFormat="0" applyProtection="0">
      <alignment horizontal="right" vertical="center"/>
    </xf>
    <xf numFmtId="4" fontId="30" fillId="19" borderId="1" applyNumberFormat="0" applyProtection="0">
      <alignment horizontal="right" vertical="center"/>
    </xf>
    <xf numFmtId="4" fontId="30" fillId="15" borderId="1" applyNumberFormat="0" applyProtection="0">
      <alignment horizontal="right" vertical="center"/>
    </xf>
    <xf numFmtId="4" fontId="30" fillId="28" borderId="1" applyNumberFormat="0" applyProtection="0">
      <alignment horizontal="right" vertical="center"/>
    </xf>
    <xf numFmtId="4" fontId="30" fillId="5" borderId="1" applyNumberFormat="0" applyProtection="0">
      <alignment horizontal="right" vertical="center"/>
    </xf>
    <xf numFmtId="4" fontId="32" fillId="29" borderId="2" applyNumberFormat="0" applyProtection="0">
      <alignment horizontal="left" vertical="center" indent="1"/>
    </xf>
    <xf numFmtId="4" fontId="30" fillId="30" borderId="0" applyNumberFormat="0" applyProtection="0">
      <alignment horizontal="left" vertical="center" indent="1"/>
    </xf>
    <xf numFmtId="4" fontId="35" fillId="31" borderId="0" applyNumberFormat="0" applyProtection="0">
      <alignment horizontal="left" vertical="center" indent="1"/>
    </xf>
    <xf numFmtId="4" fontId="30" fillId="27" borderId="1" applyNumberFormat="0" applyProtection="0">
      <alignment horizontal="right" vertical="center"/>
    </xf>
    <xf numFmtId="4" fontId="30" fillId="30" borderId="0" applyNumberFormat="0" applyProtection="0">
      <alignment horizontal="left" vertical="center" indent="1"/>
    </xf>
    <xf numFmtId="4" fontId="30" fillId="27" borderId="0" applyNumberFormat="0" applyProtection="0">
      <alignment horizontal="left" vertical="center" indent="1"/>
    </xf>
    <xf numFmtId="0" fontId="13" fillId="31" borderId="1" applyNumberFormat="0" applyProtection="0">
      <alignment horizontal="left" vertical="center" indent="1"/>
    </xf>
    <xf numFmtId="0" fontId="13" fillId="31" borderId="1" applyNumberFormat="0" applyProtection="0">
      <alignment horizontal="left" vertical="top" indent="1"/>
    </xf>
    <xf numFmtId="0" fontId="13" fillId="27" borderId="1" applyNumberFormat="0" applyProtection="0">
      <alignment horizontal="left" vertical="center" indent="1"/>
    </xf>
    <xf numFmtId="0" fontId="13" fillId="27" borderId="1" applyNumberFormat="0" applyProtection="0">
      <alignment horizontal="left" vertical="top" indent="1"/>
    </xf>
    <xf numFmtId="0" fontId="13" fillId="3" borderId="1" applyNumberFormat="0" applyProtection="0">
      <alignment horizontal="left" vertical="center" indent="1"/>
    </xf>
    <xf numFmtId="0" fontId="13" fillId="3" borderId="1" applyNumberFormat="0" applyProtection="0">
      <alignment horizontal="left" vertical="top" indent="1"/>
    </xf>
    <xf numFmtId="0" fontId="13" fillId="30" borderId="1" applyNumberFormat="0" applyProtection="0">
      <alignment horizontal="left" vertical="center" indent="1"/>
    </xf>
    <xf numFmtId="0" fontId="13" fillId="30" borderId="1" applyNumberFormat="0" applyProtection="0">
      <alignment horizontal="left" vertical="top" indent="1"/>
    </xf>
    <xf numFmtId="0" fontId="13" fillId="32" borderId="3" applyNumberFormat="0">
      <protection locked="0"/>
    </xf>
    <xf numFmtId="4" fontId="30" fillId="26" borderId="1" applyNumberFormat="0" applyProtection="0">
      <alignment vertical="center"/>
    </xf>
    <xf numFmtId="4" fontId="36" fillId="26" borderId="1" applyNumberFormat="0" applyProtection="0">
      <alignment vertical="center"/>
    </xf>
    <xf numFmtId="4" fontId="30" fillId="26" borderId="1" applyNumberFormat="0" applyProtection="0">
      <alignment horizontal="left" vertical="center" indent="1"/>
    </xf>
    <xf numFmtId="0" fontId="30" fillId="26" borderId="1" applyNumberFormat="0" applyProtection="0">
      <alignment horizontal="left" vertical="top" indent="1"/>
    </xf>
    <xf numFmtId="4" fontId="30" fillId="30" borderId="1" applyNumberFormat="0" applyProtection="0">
      <alignment horizontal="right" vertical="center"/>
    </xf>
    <xf numFmtId="4" fontId="36" fillId="30" borderId="1" applyNumberFormat="0" applyProtection="0">
      <alignment horizontal="right" vertical="center"/>
    </xf>
    <xf numFmtId="4" fontId="30" fillId="27" borderId="1" applyNumberFormat="0" applyProtection="0">
      <alignment horizontal="left" vertical="center" indent="1"/>
    </xf>
    <xf numFmtId="0" fontId="30" fillId="27" borderId="1" applyNumberFormat="0" applyProtection="0">
      <alignment horizontal="left" vertical="top" indent="1"/>
    </xf>
    <xf numFmtId="4" fontId="37" fillId="33" borderId="0" applyNumberFormat="0" applyProtection="0">
      <alignment horizontal="left" vertical="center" indent="1"/>
    </xf>
    <xf numFmtId="4" fontId="31" fillId="30" borderId="1" applyNumberFormat="0" applyProtection="0">
      <alignment horizontal="right" vertical="center"/>
    </xf>
    <xf numFmtId="0" fontId="38" fillId="0" borderId="0" applyNumberFormat="0" applyFill="0" applyBorder="0" applyAlignment="0" applyProtection="0"/>
    <xf numFmtId="0" fontId="10" fillId="0" borderId="0"/>
    <xf numFmtId="0" fontId="8" fillId="0" borderId="0"/>
    <xf numFmtId="0" fontId="8" fillId="0" borderId="0"/>
    <xf numFmtId="177" fontId="10" fillId="0" borderId="0" applyFont="0" applyFill="0" applyBorder="0" applyAlignment="0" applyProtection="0"/>
    <xf numFmtId="0" fontId="10" fillId="31" borderId="1" applyNumberFormat="0" applyProtection="0">
      <alignment horizontal="left" vertical="center" indent="1"/>
    </xf>
    <xf numFmtId="0" fontId="10" fillId="31" borderId="1" applyNumberFormat="0" applyProtection="0">
      <alignment horizontal="left" vertical="top" indent="1"/>
    </xf>
    <xf numFmtId="0" fontId="10" fillId="27" borderId="1" applyNumberFormat="0" applyProtection="0">
      <alignment horizontal="left" vertical="center" indent="1"/>
    </xf>
    <xf numFmtId="0" fontId="10" fillId="27" borderId="1" applyNumberFormat="0" applyProtection="0">
      <alignment horizontal="left" vertical="top" indent="1"/>
    </xf>
    <xf numFmtId="0" fontId="10" fillId="3" borderId="1" applyNumberFormat="0" applyProtection="0">
      <alignment horizontal="left" vertical="center" indent="1"/>
    </xf>
    <xf numFmtId="0" fontId="10" fillId="3" borderId="1" applyNumberFormat="0" applyProtection="0">
      <alignment horizontal="left" vertical="top" indent="1"/>
    </xf>
    <xf numFmtId="0" fontId="10" fillId="30" borderId="1" applyNumberFormat="0" applyProtection="0">
      <alignment horizontal="left" vertical="center" indent="1"/>
    </xf>
    <xf numFmtId="0" fontId="10" fillId="30" borderId="1" applyNumberFormat="0" applyProtection="0">
      <alignment horizontal="left" vertical="top" indent="1"/>
    </xf>
    <xf numFmtId="0" fontId="10" fillId="32" borderId="3" applyNumberFormat="0">
      <protection locked="0"/>
    </xf>
    <xf numFmtId="0" fontId="55" fillId="0" borderId="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77" fontId="10" fillId="0" borderId="0" applyFont="0" applyFill="0" applyBorder="0" applyAlignment="0" applyProtection="0"/>
    <xf numFmtId="44"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0" fontId="7" fillId="0" borderId="0"/>
    <xf numFmtId="0" fontId="7" fillId="0" borderId="0"/>
    <xf numFmtId="0" fontId="6" fillId="0" borderId="0"/>
    <xf numFmtId="0" fontId="6"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10" fillId="0" borderId="0"/>
    <xf numFmtId="0" fontId="10" fillId="0" borderId="0"/>
    <xf numFmtId="0" fontId="10" fillId="0" borderId="0"/>
    <xf numFmtId="0" fontId="33" fillId="0" borderId="0"/>
    <xf numFmtId="0" fontId="33" fillId="0" borderId="0"/>
    <xf numFmtId="0" fontId="33" fillId="0" borderId="0"/>
    <xf numFmtId="0" fontId="33" fillId="0" borderId="0"/>
    <xf numFmtId="0" fontId="33" fillId="0" borderId="0"/>
    <xf numFmtId="43" fontId="44" fillId="0" borderId="0" applyFont="0" applyFill="0" applyBorder="0" applyAlignment="0" applyProtection="0"/>
    <xf numFmtId="9" fontId="10" fillId="0" borderId="0" applyFont="0" applyFill="0" applyBorder="0" applyAlignment="0" applyProtection="0"/>
    <xf numFmtId="0" fontId="10" fillId="0" borderId="0"/>
    <xf numFmtId="0" fontId="1" fillId="0" borderId="0"/>
    <xf numFmtId="0" fontId="1" fillId="0" borderId="0"/>
    <xf numFmtId="0" fontId="1" fillId="0" borderId="0"/>
    <xf numFmtId="43" fontId="10" fillId="0" borderId="0" applyFont="0" applyFill="0" applyBorder="0" applyAlignment="0" applyProtection="0"/>
    <xf numFmtId="44" fontId="10" fillId="0" borderId="0" applyFont="0" applyFill="0" applyBorder="0" applyAlignment="0" applyProtection="0"/>
    <xf numFmtId="9" fontId="1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346">
    <xf numFmtId="0" fontId="0" fillId="0" borderId="0" xfId="0"/>
    <xf numFmtId="0" fontId="11" fillId="0" borderId="0" xfId="0" applyFont="1"/>
    <xf numFmtId="0" fontId="11" fillId="0" borderId="0" xfId="0" applyFont="1" applyAlignment="1">
      <alignment horizontal="center"/>
    </xf>
    <xf numFmtId="0" fontId="14" fillId="0" borderId="0" xfId="0" applyFont="1" applyAlignment="1">
      <alignment horizontal="center"/>
    </xf>
    <xf numFmtId="0" fontId="11" fillId="0" borderId="0" xfId="0" quotePrefix="1" applyFont="1" applyAlignment="1">
      <alignment horizontal="center"/>
    </xf>
    <xf numFmtId="0" fontId="13" fillId="0" borderId="0" xfId="0" applyFont="1" applyFill="1" applyBorder="1" applyAlignment="1">
      <alignment horizontal="left" indent="1"/>
    </xf>
    <xf numFmtId="164" fontId="0" fillId="34" borderId="0" xfId="0" applyNumberFormat="1" applyFill="1"/>
    <xf numFmtId="164" fontId="0" fillId="0" borderId="0" xfId="0" applyNumberFormat="1"/>
    <xf numFmtId="165" fontId="0" fillId="0" borderId="0" xfId="0" applyNumberFormat="1"/>
    <xf numFmtId="0" fontId="0" fillId="35" borderId="0" xfId="0" applyFill="1"/>
    <xf numFmtId="0" fontId="15" fillId="35" borderId="0" xfId="0" applyFont="1" applyFill="1"/>
    <xf numFmtId="0" fontId="16" fillId="35" borderId="0" xfId="0" applyFont="1" applyFill="1"/>
    <xf numFmtId="0" fontId="13" fillId="0" borderId="0" xfId="0" applyFont="1"/>
    <xf numFmtId="0" fontId="13" fillId="0" borderId="0" xfId="0" applyFont="1" applyAlignment="1">
      <alignment horizontal="left" indent="1"/>
    </xf>
    <xf numFmtId="0" fontId="0" fillId="0" borderId="0" xfId="0" applyFill="1"/>
    <xf numFmtId="0" fontId="13" fillId="0" borderId="0" xfId="0" applyFont="1" applyFill="1"/>
    <xf numFmtId="0" fontId="0" fillId="0" borderId="0" xfId="0" applyAlignment="1">
      <alignment horizontal="left" indent="1"/>
    </xf>
    <xf numFmtId="0" fontId="13" fillId="0" borderId="0" xfId="28" applyFont="1"/>
    <xf numFmtId="0" fontId="13" fillId="0" borderId="0" xfId="28" applyFont="1" applyBorder="1" applyAlignment="1"/>
    <xf numFmtId="0" fontId="13" fillId="0" borderId="0" xfId="28" applyFont="1" applyBorder="1"/>
    <xf numFmtId="0" fontId="13" fillId="0" borderId="0" xfId="28" applyFont="1" applyBorder="1" applyAlignment="1">
      <alignment horizontal="left"/>
    </xf>
    <xf numFmtId="0" fontId="13" fillId="0" borderId="0" xfId="28" applyNumberFormat="1" applyFont="1" applyFill="1" applyBorder="1" applyAlignment="1">
      <alignment horizontal="left"/>
    </xf>
    <xf numFmtId="0" fontId="11" fillId="0" borderId="0" xfId="28" applyNumberFormat="1" applyFont="1" applyFill="1" applyBorder="1" applyAlignment="1">
      <alignment horizontal="left"/>
    </xf>
    <xf numFmtId="3" fontId="13" fillId="0" borderId="0" xfId="28" applyNumberFormat="1" applyFont="1" applyFill="1" applyBorder="1" applyAlignment="1"/>
    <xf numFmtId="1" fontId="13" fillId="0" borderId="0" xfId="28" applyNumberFormat="1" applyFont="1" applyFill="1" applyBorder="1" applyAlignment="1">
      <alignment horizontal="center"/>
    </xf>
    <xf numFmtId="0" fontId="14" fillId="0" borderId="0" xfId="28" applyFont="1" applyBorder="1" applyAlignment="1">
      <alignment horizontal="center"/>
    </xf>
    <xf numFmtId="0" fontId="11" fillId="0" borderId="0" xfId="28" applyFont="1" applyAlignment="1">
      <alignment horizontal="center"/>
    </xf>
    <xf numFmtId="167" fontId="13" fillId="0" borderId="0" xfId="28" applyNumberFormat="1" applyFont="1" applyFill="1" applyBorder="1" applyAlignment="1">
      <alignment horizontal="right"/>
    </xf>
    <xf numFmtId="167" fontId="13" fillId="0" borderId="0" xfId="20" applyNumberFormat="1" applyFont="1" applyFill="1" applyBorder="1" applyAlignment="1">
      <alignment horizontal="right"/>
    </xf>
    <xf numFmtId="0" fontId="14" fillId="0" borderId="0" xfId="28" applyFont="1" applyFill="1" applyBorder="1" applyAlignment="1">
      <alignment horizontal="center"/>
    </xf>
    <xf numFmtId="3" fontId="13" fillId="0" borderId="0" xfId="28" applyNumberFormat="1" applyFont="1" applyFill="1" applyBorder="1" applyAlignment="1">
      <alignment horizontal="left" indent="1"/>
    </xf>
    <xf numFmtId="0" fontId="14" fillId="0" borderId="0" xfId="28" applyFont="1" applyAlignment="1">
      <alignment horizontal="center"/>
    </xf>
    <xf numFmtId="0" fontId="13" fillId="0" borderId="0" xfId="28" applyFont="1" applyBorder="1" applyAlignment="1">
      <alignment horizontal="right"/>
    </xf>
    <xf numFmtId="164" fontId="13" fillId="0" borderId="0" xfId="20" applyNumberFormat="1" applyFont="1" applyFill="1" applyBorder="1" applyAlignment="1">
      <alignment horizontal="right"/>
    </xf>
    <xf numFmtId="0" fontId="13" fillId="0" borderId="0" xfId="28" applyNumberFormat="1" applyFont="1" applyFill="1" applyBorder="1" applyAlignment="1">
      <alignment horizontal="right"/>
    </xf>
    <xf numFmtId="167" fontId="13" fillId="0" borderId="0" xfId="28" quotePrefix="1" applyNumberFormat="1" applyFont="1" applyFill="1" applyBorder="1" applyAlignment="1">
      <alignment horizontal="left" indent="1"/>
    </xf>
    <xf numFmtId="165" fontId="17" fillId="0" borderId="0" xfId="20" applyNumberFormat="1" applyFont="1" applyFill="1" applyBorder="1" applyAlignment="1">
      <alignment horizontal="right"/>
    </xf>
    <xf numFmtId="0" fontId="0" fillId="0" borderId="0" xfId="0" applyAlignment="1">
      <alignment horizontal="right"/>
    </xf>
    <xf numFmtId="0" fontId="15" fillId="35" borderId="0" xfId="0" applyFont="1" applyFill="1" applyBorder="1"/>
    <xf numFmtId="0" fontId="16" fillId="35" borderId="0" xfId="0" applyFont="1" applyFill="1" applyBorder="1"/>
    <xf numFmtId="0" fontId="11" fillId="0" borderId="0" xfId="0" applyFont="1" applyFill="1" applyBorder="1"/>
    <xf numFmtId="0" fontId="13" fillId="0" borderId="0" xfId="0" applyFont="1" applyFill="1" applyBorder="1"/>
    <xf numFmtId="3" fontId="13" fillId="0" borderId="0" xfId="28" applyNumberFormat="1" applyFont="1" applyFill="1" applyBorder="1" applyAlignment="1">
      <alignment horizontal="left"/>
    </xf>
    <xf numFmtId="10" fontId="0" fillId="0" borderId="0" xfId="0" applyNumberFormat="1"/>
    <xf numFmtId="0" fontId="0" fillId="34" borderId="0" xfId="0" applyFill="1"/>
    <xf numFmtId="0" fontId="11" fillId="0" borderId="0" xfId="0" applyFont="1" applyFill="1"/>
    <xf numFmtId="0" fontId="17" fillId="0" borderId="0" xfId="0" applyFont="1" applyFill="1"/>
    <xf numFmtId="0" fontId="13" fillId="0" borderId="0" xfId="0" applyFont="1" applyFill="1" applyAlignment="1">
      <alignment horizontal="left" indent="1"/>
    </xf>
    <xf numFmtId="164" fontId="13" fillId="0" borderId="0" xfId="0" applyNumberFormat="1" applyFont="1" applyFill="1"/>
    <xf numFmtId="165" fontId="13" fillId="0" borderId="0" xfId="0" applyNumberFormat="1" applyFont="1" applyFill="1"/>
    <xf numFmtId="165" fontId="17" fillId="0" borderId="0" xfId="0" applyNumberFormat="1" applyFont="1" applyFill="1"/>
    <xf numFmtId="165" fontId="0" fillId="34" borderId="0" xfId="0" applyNumberFormat="1" applyFill="1"/>
    <xf numFmtId="0" fontId="13" fillId="0" borderId="0" xfId="0" applyFont="1" applyAlignment="1">
      <alignment horizontal="left"/>
    </xf>
    <xf numFmtId="0" fontId="14" fillId="0" borderId="0" xfId="0" applyFont="1"/>
    <xf numFmtId="0" fontId="0" fillId="0" borderId="0" xfId="0" quotePrefix="1"/>
    <xf numFmtId="0" fontId="14" fillId="0" borderId="0" xfId="0" applyFont="1" applyAlignment="1">
      <alignment horizontal="left"/>
    </xf>
    <xf numFmtId="0" fontId="0" fillId="0" borderId="0" xfId="0" quotePrefix="1" applyAlignment="1">
      <alignment horizontal="center"/>
    </xf>
    <xf numFmtId="0" fontId="11" fillId="0" borderId="0" xfId="0" applyFont="1" applyAlignment="1">
      <alignment horizontal="left" indent="2"/>
    </xf>
    <xf numFmtId="0" fontId="0" fillId="0" borderId="0" xfId="0" applyAlignment="1">
      <alignment horizontal="right" indent="1"/>
    </xf>
    <xf numFmtId="164" fontId="18" fillId="0" borderId="0" xfId="0" applyNumberFormat="1" applyFont="1"/>
    <xf numFmtId="164" fontId="17" fillId="0" borderId="0" xfId="0" applyNumberFormat="1" applyFont="1" applyAlignment="1">
      <alignment horizontal="right"/>
    </xf>
    <xf numFmtId="164" fontId="13" fillId="0" borderId="0" xfId="0" applyNumberFormat="1" applyFont="1" applyAlignment="1">
      <alignment horizontal="right"/>
    </xf>
    <xf numFmtId="0" fontId="0" fillId="0" borderId="0" xfId="0" applyBorder="1"/>
    <xf numFmtId="0" fontId="0" fillId="0" borderId="0" xfId="0" applyAlignment="1">
      <alignment horizontal="center"/>
    </xf>
    <xf numFmtId="0" fontId="14" fillId="0" borderId="0" xfId="0" applyFont="1" applyBorder="1" applyAlignment="1">
      <alignment horizontal="center"/>
    </xf>
    <xf numFmtId="164" fontId="0" fillId="0" borderId="0" xfId="0" applyNumberFormat="1" applyFill="1"/>
    <xf numFmtId="3" fontId="13" fillId="0" borderId="0" xfId="0" applyNumberFormat="1" applyFont="1" applyFill="1"/>
    <xf numFmtId="0" fontId="0" fillId="0" borderId="0" xfId="0" applyAlignment="1">
      <alignment horizontal="left"/>
    </xf>
    <xf numFmtId="164" fontId="13" fillId="34" borderId="0" xfId="20" applyNumberFormat="1" applyFont="1" applyFill="1" applyBorder="1" applyAlignment="1">
      <alignment horizontal="right"/>
    </xf>
    <xf numFmtId="0" fontId="13" fillId="0" borderId="0" xfId="0" applyFont="1" applyFill="1" applyBorder="1" applyAlignment="1">
      <alignment horizontal="left"/>
    </xf>
    <xf numFmtId="168" fontId="0" fillId="0" borderId="0" xfId="0" applyNumberFormat="1"/>
    <xf numFmtId="168" fontId="18" fillId="0" borderId="0" xfId="0" applyNumberFormat="1" applyFont="1"/>
    <xf numFmtId="165" fontId="0" fillId="0" borderId="0" xfId="0" applyNumberFormat="1" applyFill="1"/>
    <xf numFmtId="168" fontId="0" fillId="0" borderId="0" xfId="0" applyNumberFormat="1" applyAlignment="1">
      <alignment horizontal="left" indent="1"/>
    </xf>
    <xf numFmtId="0" fontId="11" fillId="0" borderId="0" xfId="0" applyFont="1" applyAlignment="1">
      <alignment horizontal="right"/>
    </xf>
    <xf numFmtId="0" fontId="13" fillId="0" borderId="0" xfId="0" quotePrefix="1" applyFont="1" applyFill="1" applyAlignment="1">
      <alignment horizontal="left" indent="1"/>
    </xf>
    <xf numFmtId="0" fontId="11" fillId="0" borderId="0" xfId="0" applyFont="1" applyAlignment="1">
      <alignment horizontal="left" indent="1"/>
    </xf>
    <xf numFmtId="166" fontId="0" fillId="0" borderId="0" xfId="0" applyNumberFormat="1"/>
    <xf numFmtId="0" fontId="13" fillId="0" borderId="0" xfId="0" applyFont="1" applyFill="1" applyBorder="1" applyAlignment="1">
      <alignment vertical="top"/>
    </xf>
    <xf numFmtId="166" fontId="0" fillId="0" borderId="0" xfId="0" applyNumberFormat="1" applyAlignment="1"/>
    <xf numFmtId="164" fontId="11" fillId="0" borderId="0" xfId="0" applyNumberFormat="1" applyFont="1"/>
    <xf numFmtId="167" fontId="11" fillId="0" borderId="0" xfId="20" applyNumberFormat="1" applyFont="1" applyFill="1" applyBorder="1" applyAlignment="1">
      <alignment horizontal="center"/>
    </xf>
    <xf numFmtId="0" fontId="17" fillId="0" borderId="0" xfId="0" applyFont="1"/>
    <xf numFmtId="0" fontId="17" fillId="0" borderId="0" xfId="0" applyFont="1" applyAlignment="1">
      <alignment horizontal="left"/>
    </xf>
    <xf numFmtId="0" fontId="13" fillId="0" borderId="0" xfId="28" applyFont="1" applyBorder="1" applyAlignment="1">
      <alignment horizontal="left" indent="1"/>
    </xf>
    <xf numFmtId="10" fontId="0" fillId="0" borderId="0" xfId="0" applyNumberFormat="1" applyFill="1"/>
    <xf numFmtId="0" fontId="0" fillId="0" borderId="0" xfId="0" applyFill="1" applyAlignment="1">
      <alignment horizontal="right"/>
    </xf>
    <xf numFmtId="164" fontId="0" fillId="34" borderId="0" xfId="0" applyNumberFormat="1" applyFill="1" applyAlignment="1"/>
    <xf numFmtId="164" fontId="18" fillId="34" borderId="0" xfId="0" applyNumberFormat="1" applyFont="1" applyFill="1" applyAlignment="1"/>
    <xf numFmtId="165" fontId="18" fillId="0" borderId="0" xfId="0" applyNumberFormat="1" applyFont="1"/>
    <xf numFmtId="3" fontId="0" fillId="0" borderId="0" xfId="0" applyNumberFormat="1" applyAlignment="1">
      <alignment horizontal="center"/>
    </xf>
    <xf numFmtId="0" fontId="11" fillId="0" borderId="0" xfId="0" applyFont="1" applyAlignment="1">
      <alignment horizontal="left"/>
    </xf>
    <xf numFmtId="0" fontId="14" fillId="0" borderId="0" xfId="0" quotePrefix="1" applyFont="1" applyAlignment="1">
      <alignment horizontal="center"/>
    </xf>
    <xf numFmtId="1" fontId="13" fillId="0" borderId="0" xfId="28" applyNumberFormat="1" applyFont="1" applyFill="1" applyBorder="1" applyAlignment="1">
      <alignment horizontal="right"/>
    </xf>
    <xf numFmtId="0" fontId="13" fillId="0" borderId="0" xfId="0" applyFont="1" applyBorder="1" applyAlignment="1">
      <alignment vertical="top"/>
    </xf>
    <xf numFmtId="0" fontId="13" fillId="0" borderId="0" xfId="0" applyFont="1" applyAlignment="1">
      <alignment horizontal="center"/>
    </xf>
    <xf numFmtId="173" fontId="0" fillId="34" borderId="0" xfId="0" applyNumberFormat="1" applyFill="1"/>
    <xf numFmtId="164" fontId="13" fillId="0" borderId="0" xfId="0" applyNumberFormat="1" applyFont="1" applyAlignment="1">
      <alignment horizontal="center"/>
    </xf>
    <xf numFmtId="0" fontId="11" fillId="0" borderId="0" xfId="0" applyFont="1" applyAlignment="1">
      <alignment wrapText="1"/>
    </xf>
    <xf numFmtId="164" fontId="17" fillId="0" borderId="0" xfId="0" applyNumberFormat="1" applyFont="1"/>
    <xf numFmtId="174" fontId="0" fillId="0" borderId="0" xfId="0" applyNumberFormat="1"/>
    <xf numFmtId="169" fontId="0" fillId="0" borderId="0" xfId="0" applyNumberFormat="1"/>
    <xf numFmtId="0" fontId="13" fillId="0" borderId="0" xfId="0" applyFont="1" applyAlignment="1">
      <alignment horizontal="right"/>
    </xf>
    <xf numFmtId="0" fontId="13" fillId="36" borderId="0" xfId="0" applyFont="1" applyFill="1" applyAlignment="1">
      <alignment horizontal="left" indent="1"/>
    </xf>
    <xf numFmtId="0" fontId="13" fillId="0" borderId="0" xfId="0" quotePrefix="1" applyFont="1" applyAlignment="1">
      <alignment horizontal="center"/>
    </xf>
    <xf numFmtId="0" fontId="0" fillId="36" borderId="0" xfId="0" applyFill="1"/>
    <xf numFmtId="2" fontId="0" fillId="0" borderId="0" xfId="0" applyNumberFormat="1"/>
    <xf numFmtId="0" fontId="13" fillId="0" borderId="0" xfId="0" applyFont="1" applyAlignment="1">
      <alignment horizontal="left" indent="2"/>
    </xf>
    <xf numFmtId="3" fontId="0" fillId="36" borderId="0" xfId="0" applyNumberFormat="1" applyFill="1"/>
    <xf numFmtId="3" fontId="0" fillId="0" borderId="0" xfId="0" applyNumberFormat="1"/>
    <xf numFmtId="3" fontId="17" fillId="36" borderId="0" xfId="0" applyNumberFormat="1" applyFont="1" applyFill="1"/>
    <xf numFmtId="164" fontId="13" fillId="0" borderId="0" xfId="0" applyNumberFormat="1" applyFont="1"/>
    <xf numFmtId="164" fontId="18" fillId="0" borderId="0" xfId="0" applyNumberFormat="1" applyFont="1" applyFill="1"/>
    <xf numFmtId="0" fontId="11" fillId="0" borderId="0" xfId="0" applyFont="1" applyAlignment="1">
      <alignment horizontal="left" indent="3"/>
    </xf>
    <xf numFmtId="164" fontId="13" fillId="0" borderId="0" xfId="0" quotePrefix="1" applyNumberFormat="1" applyFont="1" applyFill="1" applyAlignment="1">
      <alignment horizontal="right"/>
    </xf>
    <xf numFmtId="164" fontId="13" fillId="0" borderId="0" xfId="0" applyNumberFormat="1" applyFont="1" applyFill="1" applyAlignment="1">
      <alignment horizontal="right"/>
    </xf>
    <xf numFmtId="0" fontId="13" fillId="0" borderId="0" xfId="0" applyFont="1" applyFill="1" applyAlignment="1">
      <alignment horizontal="center"/>
    </xf>
    <xf numFmtId="164" fontId="0" fillId="36" borderId="0" xfId="0" applyNumberFormat="1" applyFill="1"/>
    <xf numFmtId="164" fontId="17" fillId="34" borderId="0" xfId="0" applyNumberFormat="1" applyFont="1" applyFill="1"/>
    <xf numFmtId="168" fontId="13" fillId="0" borderId="0" xfId="20" applyNumberFormat="1" applyFont="1" applyFill="1" applyBorder="1" applyAlignment="1">
      <alignment horizontal="right"/>
    </xf>
    <xf numFmtId="0" fontId="13" fillId="0" borderId="0" xfId="0" applyFont="1" applyFill="1" applyAlignment="1">
      <alignment horizontal="left"/>
    </xf>
    <xf numFmtId="0" fontId="11" fillId="0" borderId="0" xfId="0" applyFont="1" applyFill="1" applyAlignment="1">
      <alignment horizontal="center"/>
    </xf>
    <xf numFmtId="164" fontId="17" fillId="0" borderId="0" xfId="0" applyNumberFormat="1" applyFont="1" applyFill="1"/>
    <xf numFmtId="3" fontId="0" fillId="0" borderId="0" xfId="0" applyNumberFormat="1" applyFill="1"/>
    <xf numFmtId="0" fontId="0" fillId="0" borderId="0" xfId="0" applyFill="1" applyAlignment="1">
      <alignment horizontal="left" indent="1"/>
    </xf>
    <xf numFmtId="0" fontId="13" fillId="0" borderId="0" xfId="0" quotePrefix="1" applyFont="1" applyAlignment="1">
      <alignment horizontal="left" indent="1"/>
    </xf>
    <xf numFmtId="0" fontId="13" fillId="36" borderId="0" xfId="0" applyFont="1" applyFill="1"/>
    <xf numFmtId="164" fontId="17" fillId="36" borderId="0" xfId="0" applyNumberFormat="1" applyFont="1" applyFill="1"/>
    <xf numFmtId="166" fontId="13" fillId="0" borderId="0" xfId="0" applyNumberFormat="1" applyFont="1" applyAlignment="1">
      <alignment horizontal="left" indent="1"/>
    </xf>
    <xf numFmtId="0" fontId="17" fillId="0" borderId="0" xfId="0" applyFont="1" applyAlignment="1">
      <alignment horizontal="center"/>
    </xf>
    <xf numFmtId="164" fontId="18" fillId="36" borderId="0" xfId="0" applyNumberFormat="1" applyFont="1" applyFill="1"/>
    <xf numFmtId="0" fontId="0" fillId="37" borderId="0" xfId="0" applyFill="1"/>
    <xf numFmtId="0" fontId="14" fillId="0" borderId="0" xfId="0" applyFont="1" applyFill="1" applyBorder="1" applyAlignment="1">
      <alignment horizontal="center"/>
    </xf>
    <xf numFmtId="0" fontId="15" fillId="0" borderId="0" xfId="0" applyFont="1" applyFill="1" applyBorder="1"/>
    <xf numFmtId="0" fontId="16" fillId="0" borderId="0" xfId="0" applyFont="1" applyFill="1" applyBorder="1"/>
    <xf numFmtId="0" fontId="14" fillId="0" borderId="0" xfId="0" applyFont="1" applyFill="1" applyAlignment="1">
      <alignment horizontal="center"/>
    </xf>
    <xf numFmtId="168" fontId="13" fillId="0" borderId="0" xfId="0" applyNumberFormat="1" applyFont="1"/>
    <xf numFmtId="0" fontId="21" fillId="0" borderId="0" xfId="34" applyFont="1"/>
    <xf numFmtId="167" fontId="21" fillId="0" borderId="0" xfId="19" applyNumberFormat="1" applyFont="1" applyBorder="1"/>
    <xf numFmtId="0" fontId="21" fillId="0" borderId="0" xfId="34" applyFont="1" applyBorder="1" applyAlignment="1">
      <alignment horizontal="left"/>
    </xf>
    <xf numFmtId="0" fontId="21" fillId="0" borderId="0" xfId="34" applyFont="1" applyBorder="1"/>
    <xf numFmtId="10" fontId="21" fillId="0" borderId="0" xfId="37" applyNumberFormat="1" applyFont="1" applyBorder="1" applyAlignment="1">
      <alignment horizontal="left" indent="3"/>
    </xf>
    <xf numFmtId="0" fontId="21" fillId="0" borderId="0" xfId="34" applyFont="1" applyBorder="1" applyAlignment="1">
      <alignment horizontal="right" wrapText="1"/>
    </xf>
    <xf numFmtId="42" fontId="21" fillId="0" borderId="0" xfId="34" applyNumberFormat="1" applyFont="1"/>
    <xf numFmtId="176" fontId="21" fillId="0" borderId="0" xfId="34" applyNumberFormat="1" applyFont="1"/>
    <xf numFmtId="0" fontId="22" fillId="0" borderId="0" xfId="34" applyFont="1"/>
    <xf numFmtId="0" fontId="22" fillId="0" borderId="0" xfId="34" applyFont="1" applyBorder="1" applyAlignment="1">
      <alignment vertical="center" wrapText="1"/>
    </xf>
    <xf numFmtId="42" fontId="22" fillId="0" borderId="0" xfId="19" applyNumberFormat="1" applyFont="1" applyBorder="1" applyAlignment="1">
      <alignment vertical="center"/>
    </xf>
    <xf numFmtId="171" fontId="22" fillId="0" borderId="0" xfId="37" applyNumberFormat="1" applyFont="1" applyBorder="1" applyAlignment="1">
      <alignment horizontal="center" vertical="center"/>
    </xf>
    <xf numFmtId="42" fontId="0" fillId="0" borderId="0" xfId="0" applyNumberFormat="1"/>
    <xf numFmtId="164" fontId="21" fillId="0" borderId="0" xfId="19" applyNumberFormat="1" applyFont="1" applyBorder="1"/>
    <xf numFmtId="3" fontId="13" fillId="0" borderId="0" xfId="0" applyNumberFormat="1" applyFont="1"/>
    <xf numFmtId="0" fontId="21" fillId="0" borderId="0" xfId="28" applyFont="1"/>
    <xf numFmtId="164" fontId="0" fillId="0" borderId="0" xfId="0" applyNumberFormat="1" applyAlignment="1">
      <alignment horizontal="right" indent="1"/>
    </xf>
    <xf numFmtId="164" fontId="0" fillId="0" borderId="0" xfId="0" applyNumberFormat="1" applyAlignment="1"/>
    <xf numFmtId="164" fontId="17" fillId="36" borderId="0" xfId="0" applyNumberFormat="1" applyFont="1" applyFill="1" applyAlignment="1"/>
    <xf numFmtId="165" fontId="23" fillId="0" borderId="0" xfId="0" applyNumberFormat="1" applyFont="1"/>
    <xf numFmtId="165" fontId="24" fillId="0" borderId="0" xfId="0" applyNumberFormat="1" applyFont="1"/>
    <xf numFmtId="166" fontId="0" fillId="0" borderId="0" xfId="0" applyNumberFormat="1" applyFill="1"/>
    <xf numFmtId="166" fontId="13" fillId="0" borderId="0" xfId="0" applyNumberFormat="1" applyFont="1" applyFill="1" applyAlignment="1">
      <alignment horizontal="left" indent="1"/>
    </xf>
    <xf numFmtId="1" fontId="13" fillId="36" borderId="0" xfId="28" applyNumberFormat="1" applyFont="1" applyFill="1" applyBorder="1" applyAlignment="1">
      <alignment horizontal="center"/>
    </xf>
    <xf numFmtId="0" fontId="13" fillId="0" borderId="0" xfId="28" applyNumberFormat="1" applyFont="1" applyFill="1" applyBorder="1" applyAlignment="1">
      <alignment horizontal="left" indent="1"/>
    </xf>
    <xf numFmtId="168" fontId="13" fillId="0" borderId="0" xfId="0" applyNumberFormat="1" applyFont="1" applyAlignment="1">
      <alignment horizontal="left" indent="1"/>
    </xf>
    <xf numFmtId="165" fontId="13" fillId="0" borderId="0" xfId="0" applyNumberFormat="1" applyFont="1" applyAlignment="1">
      <alignment horizontal="left" indent="1"/>
    </xf>
    <xf numFmtId="0" fontId="0" fillId="36" borderId="0" xfId="0" quotePrefix="1" applyFill="1" applyAlignment="1">
      <alignment horizontal="center"/>
    </xf>
    <xf numFmtId="0" fontId="0" fillId="36" borderId="0" xfId="0" applyFill="1" applyAlignment="1">
      <alignment horizontal="center"/>
    </xf>
    <xf numFmtId="0" fontId="13" fillId="0" borderId="0" xfId="28" applyNumberFormat="1" applyFont="1" applyFill="1" applyBorder="1" applyAlignment="1">
      <alignment horizontal="left" indent="2"/>
    </xf>
    <xf numFmtId="0" fontId="11" fillId="0" borderId="0" xfId="0" quotePrefix="1" applyFont="1" applyAlignment="1">
      <alignment horizontal="right"/>
    </xf>
    <xf numFmtId="165" fontId="17" fillId="0" borderId="0" xfId="0" applyNumberFormat="1" applyFont="1"/>
    <xf numFmtId="164" fontId="13" fillId="36" borderId="0" xfId="19" applyNumberFormat="1" applyFont="1" applyFill="1" applyBorder="1"/>
    <xf numFmtId="164" fontId="13" fillId="0" borderId="0" xfId="19" applyNumberFormat="1" applyFont="1" applyBorder="1"/>
    <xf numFmtId="164" fontId="17" fillId="36" borderId="0" xfId="19" applyNumberFormat="1" applyFont="1" applyFill="1" applyBorder="1"/>
    <xf numFmtId="164" fontId="13" fillId="0" borderId="0" xfId="0" applyNumberFormat="1" applyFont="1" applyAlignment="1">
      <alignment horizontal="left" indent="1"/>
    </xf>
    <xf numFmtId="164" fontId="13" fillId="0" borderId="0" xfId="19" applyNumberFormat="1" applyFont="1" applyBorder="1" applyAlignment="1">
      <alignment horizontal="left" indent="1"/>
    </xf>
    <xf numFmtId="10" fontId="13" fillId="0" borderId="0" xfId="37" applyNumberFormat="1" applyFont="1" applyBorder="1" applyAlignment="1">
      <alignment horizontal="center"/>
    </xf>
    <xf numFmtId="10" fontId="17" fillId="0" borderId="0" xfId="37" applyNumberFormat="1" applyFont="1" applyBorder="1" applyAlignment="1">
      <alignment horizontal="center"/>
    </xf>
    <xf numFmtId="164" fontId="11" fillId="0" borderId="0" xfId="19" applyNumberFormat="1" applyFont="1" applyBorder="1" applyAlignment="1">
      <alignment vertical="center"/>
    </xf>
    <xf numFmtId="10" fontId="11" fillId="0" borderId="0" xfId="37" applyNumberFormat="1" applyFont="1" applyBorder="1" applyAlignment="1">
      <alignment horizontal="center" vertical="center"/>
    </xf>
    <xf numFmtId="0" fontId="14" fillId="0" borderId="0" xfId="34" applyFont="1" applyAlignment="1">
      <alignment horizontal="center"/>
    </xf>
    <xf numFmtId="0" fontId="11" fillId="0" borderId="0" xfId="34" applyFont="1" applyBorder="1"/>
    <xf numFmtId="0" fontId="13" fillId="0" borderId="0" xfId="34" applyFont="1" applyBorder="1" applyAlignment="1">
      <alignment horizontal="left" indent="2"/>
    </xf>
    <xf numFmtId="0" fontId="11" fillId="0" borderId="0" xfId="34" applyFont="1" applyBorder="1" applyAlignment="1">
      <alignment horizontal="left"/>
    </xf>
    <xf numFmtId="0" fontId="11" fillId="0" borderId="0" xfId="34" applyFont="1" applyBorder="1" applyAlignment="1">
      <alignment horizontal="left" wrapText="1"/>
    </xf>
    <xf numFmtId="0" fontId="13" fillId="0" borderId="0" xfId="34" applyFont="1" applyBorder="1" applyAlignment="1">
      <alignment horizontal="left" wrapText="1"/>
    </xf>
    <xf numFmtId="0" fontId="11" fillId="0" borderId="0" xfId="34" applyFont="1" applyBorder="1" applyAlignment="1">
      <alignment vertical="center" wrapText="1"/>
    </xf>
    <xf numFmtId="0" fontId="11" fillId="0" borderId="0" xfId="34" applyFont="1"/>
    <xf numFmtId="0" fontId="11" fillId="0" borderId="0" xfId="34" applyFont="1" applyAlignment="1">
      <alignment horizontal="center"/>
    </xf>
    <xf numFmtId="0" fontId="13" fillId="0" borderId="0" xfId="34" applyFont="1"/>
    <xf numFmtId="0" fontId="13" fillId="36" borderId="0" xfId="34" applyFont="1" applyFill="1"/>
    <xf numFmtId="0" fontId="14" fillId="0" borderId="0" xfId="34" applyFont="1" applyFill="1" applyAlignment="1">
      <alignment horizontal="center"/>
    </xf>
    <xf numFmtId="167" fontId="13" fillId="0" borderId="0" xfId="19" applyNumberFormat="1" applyFont="1" applyBorder="1"/>
    <xf numFmtId="171" fontId="13" fillId="0" borderId="0" xfId="37" applyNumberFormat="1" applyFont="1" applyBorder="1" applyAlignment="1">
      <alignment horizontal="left" indent="3"/>
    </xf>
    <xf numFmtId="164" fontId="13" fillId="36" borderId="0" xfId="0" applyNumberFormat="1" applyFont="1" applyFill="1"/>
    <xf numFmtId="0" fontId="13" fillId="0" borderId="0" xfId="34" applyFont="1" applyBorder="1" applyAlignment="1">
      <alignment horizontal="left"/>
    </xf>
    <xf numFmtId="41" fontId="13" fillId="0" borderId="0" xfId="19" applyNumberFormat="1" applyFont="1" applyBorder="1"/>
    <xf numFmtId="41" fontId="13" fillId="0" borderId="0" xfId="34" applyNumberFormat="1" applyFont="1" applyBorder="1"/>
    <xf numFmtId="10" fontId="13" fillId="0" borderId="0" xfId="34" applyNumberFormat="1" applyFont="1" applyBorder="1" applyAlignment="1">
      <alignment horizontal="center"/>
    </xf>
    <xf numFmtId="5" fontId="13" fillId="36" borderId="0" xfId="19" applyNumberFormat="1" applyFont="1" applyFill="1" applyBorder="1"/>
    <xf numFmtId="10" fontId="13" fillId="0" borderId="0" xfId="37" applyNumberFormat="1" applyFont="1" applyFill="1" applyBorder="1" applyAlignment="1">
      <alignment horizontal="center"/>
    </xf>
    <xf numFmtId="5" fontId="17" fillId="36" borderId="0" xfId="19" applyNumberFormat="1" applyFont="1" applyFill="1" applyBorder="1"/>
    <xf numFmtId="10" fontId="17" fillId="0" borderId="0" xfId="37" applyNumberFormat="1" applyFont="1" applyFill="1" applyBorder="1" applyAlignment="1">
      <alignment horizontal="center"/>
    </xf>
    <xf numFmtId="0" fontId="13" fillId="0" borderId="0" xfId="34" applyFont="1" applyBorder="1" applyAlignment="1">
      <alignment horizontal="right" wrapText="1"/>
    </xf>
    <xf numFmtId="0" fontId="11" fillId="0" borderId="0" xfId="34" applyFont="1" applyBorder="1" applyAlignment="1">
      <alignment horizontal="left" vertical="center" wrapText="1"/>
    </xf>
    <xf numFmtId="0" fontId="43" fillId="36" borderId="0" xfId="34" applyFont="1" applyFill="1"/>
    <xf numFmtId="0" fontId="13" fillId="36" borderId="0" xfId="28" applyFont="1" applyFill="1" applyBorder="1" applyAlignment="1">
      <alignment horizontal="center"/>
    </xf>
    <xf numFmtId="0" fontId="13" fillId="36" borderId="0" xfId="0" applyFont="1" applyFill="1" applyAlignment="1"/>
    <xf numFmtId="0" fontId="13" fillId="0" borderId="0" xfId="0" quotePrefix="1" applyFont="1" applyAlignment="1">
      <alignment horizontal="center" vertical="justify"/>
    </xf>
    <xf numFmtId="0" fontId="11" fillId="36" borderId="0" xfId="0" applyFont="1" applyFill="1" applyAlignment="1">
      <alignment horizontal="center"/>
    </xf>
    <xf numFmtId="0" fontId="14" fillId="36" borderId="0" xfId="0" applyFont="1" applyFill="1" applyAlignment="1">
      <alignment horizontal="center"/>
    </xf>
    <xf numFmtId="0" fontId="11" fillId="0" borderId="0" xfId="28" applyFont="1" applyFill="1" applyBorder="1" applyAlignment="1">
      <alignment horizontal="left"/>
    </xf>
    <xf numFmtId="1" fontId="13" fillId="0" borderId="0" xfId="28" quotePrefix="1" applyNumberFormat="1" applyFont="1" applyFill="1" applyBorder="1" applyAlignment="1">
      <alignment horizontal="right"/>
    </xf>
    <xf numFmtId="164" fontId="13" fillId="0" borderId="0" xfId="0" quotePrefix="1" applyNumberFormat="1" applyFont="1" applyAlignment="1">
      <alignment horizontal="center"/>
    </xf>
    <xf numFmtId="0" fontId="11" fillId="0" borderId="0" xfId="0" applyFont="1" applyBorder="1" applyAlignment="1">
      <alignment horizontal="center"/>
    </xf>
    <xf numFmtId="0" fontId="11" fillId="0" borderId="3" xfId="0" applyFont="1" applyBorder="1" applyAlignment="1">
      <alignment horizontal="center"/>
    </xf>
    <xf numFmtId="0" fontId="11" fillId="0" borderId="3" xfId="0" applyFont="1" applyFill="1" applyBorder="1" applyAlignment="1">
      <alignment horizontal="center"/>
    </xf>
    <xf numFmtId="0" fontId="11" fillId="0" borderId="3" xfId="0" applyNumberFormat="1" applyFont="1" applyBorder="1" applyAlignment="1">
      <alignment horizontal="center" wrapText="1"/>
    </xf>
    <xf numFmtId="0" fontId="11" fillId="0" borderId="3" xfId="0" applyNumberFormat="1" applyFont="1" applyFill="1" applyBorder="1" applyAlignment="1">
      <alignment wrapText="1"/>
    </xf>
    <xf numFmtId="0" fontId="11" fillId="0" borderId="3" xfId="0" applyNumberFormat="1" applyFont="1" applyBorder="1" applyAlignment="1">
      <alignment wrapText="1"/>
    </xf>
    <xf numFmtId="0" fontId="11" fillId="0" borderId="3" xfId="0" applyFont="1" applyFill="1" applyBorder="1" applyAlignment="1">
      <alignment horizontal="center" wrapText="1"/>
    </xf>
    <xf numFmtId="0" fontId="11" fillId="0" borderId="3" xfId="0" applyFont="1" applyBorder="1" applyAlignment="1">
      <alignment horizontal="center" wrapText="1"/>
    </xf>
    <xf numFmtId="0" fontId="13" fillId="0" borderId="3" xfId="0" quotePrefix="1" applyNumberFormat="1" applyFont="1" applyFill="1" applyBorder="1" applyAlignment="1">
      <alignment horizontal="center"/>
    </xf>
    <xf numFmtId="0" fontId="13" fillId="0" borderId="3" xfId="0" quotePrefix="1" applyNumberFormat="1" applyFont="1" applyFill="1" applyBorder="1" applyAlignment="1">
      <alignment horizontal="left"/>
    </xf>
    <xf numFmtId="0" fontId="13" fillId="0" borderId="3" xfId="0" quotePrefix="1" applyNumberFormat="1" applyFont="1" applyFill="1" applyBorder="1"/>
    <xf numFmtId="0" fontId="13" fillId="0" borderId="3" xfId="0" applyFont="1" applyFill="1" applyBorder="1" applyAlignment="1">
      <alignment horizontal="center"/>
    </xf>
    <xf numFmtId="37" fontId="13" fillId="0" borderId="3" xfId="0" applyNumberFormat="1" applyFont="1" applyFill="1" applyBorder="1" applyAlignment="1">
      <alignment horizontal="center"/>
    </xf>
    <xf numFmtId="37" fontId="13" fillId="0" borderId="3" xfId="0" applyNumberFormat="1" applyFont="1" applyBorder="1" applyAlignment="1">
      <alignment horizontal="center"/>
    </xf>
    <xf numFmtId="0" fontId="13" fillId="0" borderId="3" xfId="0" quotePrefix="1" applyNumberFormat="1" applyFont="1" applyBorder="1" applyAlignment="1">
      <alignment horizontal="center"/>
    </xf>
    <xf numFmtId="0" fontId="13" fillId="0" borderId="3" xfId="0" quotePrefix="1" applyNumberFormat="1" applyFont="1" applyBorder="1"/>
    <xf numFmtId="0" fontId="13" fillId="0" borderId="3" xfId="0" applyFont="1" applyBorder="1" applyAlignment="1">
      <alignment horizontal="center"/>
    </xf>
    <xf numFmtId="0" fontId="11" fillId="0" borderId="0" xfId="0" quotePrefix="1" applyNumberFormat="1" applyFont="1" applyBorder="1" applyAlignment="1">
      <alignment horizontal="center"/>
    </xf>
    <xf numFmtId="0" fontId="11" fillId="0" borderId="0" xfId="0" applyNumberFormat="1" applyFont="1" applyFill="1" applyBorder="1"/>
    <xf numFmtId="0" fontId="11" fillId="0" borderId="0" xfId="0" quotePrefix="1" applyNumberFormat="1" applyFont="1" applyBorder="1"/>
    <xf numFmtId="0" fontId="11" fillId="0" borderId="0" xfId="0" quotePrefix="1" applyNumberFormat="1" applyFont="1" applyFill="1" applyBorder="1"/>
    <xf numFmtId="37" fontId="13" fillId="0" borderId="0" xfId="0" applyNumberFormat="1" applyFont="1" applyFill="1" applyBorder="1" applyAlignment="1">
      <alignment horizontal="center"/>
    </xf>
    <xf numFmtId="0" fontId="13" fillId="0" borderId="0" xfId="0" applyFont="1" applyBorder="1" applyAlignment="1">
      <alignment horizontal="center"/>
    </xf>
    <xf numFmtId="0" fontId="13" fillId="0" borderId="0" xfId="0" quotePrefix="1" applyNumberFormat="1" applyFont="1" applyBorder="1" applyAlignment="1">
      <alignment horizontal="center"/>
    </xf>
    <xf numFmtId="0" fontId="13" fillId="0" borderId="3" xfId="0" applyFont="1" applyFill="1" applyBorder="1"/>
    <xf numFmtId="37" fontId="11" fillId="0" borderId="0" xfId="0" applyNumberFormat="1" applyFont="1" applyFill="1" applyBorder="1" applyAlignment="1">
      <alignment horizontal="center"/>
    </xf>
    <xf numFmtId="0" fontId="13" fillId="0" borderId="3" xfId="0" quotePrefix="1" applyNumberFormat="1" applyFont="1" applyBorder="1" applyAlignment="1">
      <alignment horizontal="left"/>
    </xf>
    <xf numFmtId="0" fontId="13" fillId="0" borderId="3" xfId="0" applyNumberFormat="1" applyFont="1" applyFill="1" applyBorder="1"/>
    <xf numFmtId="0" fontId="13" fillId="0" borderId="3" xfId="0" applyNumberFormat="1" applyFont="1" applyFill="1" applyBorder="1" applyAlignment="1">
      <alignment horizontal="left"/>
    </xf>
    <xf numFmtId="39" fontId="13" fillId="0" borderId="0" xfId="19" applyNumberFormat="1" applyFont="1" applyBorder="1" applyAlignment="1">
      <alignment horizontal="center"/>
    </xf>
    <xf numFmtId="0" fontId="13" fillId="0" borderId="0" xfId="0" applyFont="1" applyFill="1" applyBorder="1" applyAlignment="1">
      <alignment horizontal="center"/>
    </xf>
    <xf numFmtId="39" fontId="13" fillId="0" borderId="0" xfId="19" applyNumberFormat="1" applyFont="1" applyFill="1" applyBorder="1" applyAlignment="1">
      <alignment horizontal="center"/>
    </xf>
    <xf numFmtId="0" fontId="13" fillId="0" borderId="0" xfId="0" applyFont="1" applyBorder="1"/>
    <xf numFmtId="0" fontId="11" fillId="0" borderId="3" xfId="0" applyNumberFormat="1" applyFont="1" applyFill="1" applyBorder="1" applyAlignment="1">
      <alignment horizontal="right"/>
    </xf>
    <xf numFmtId="0" fontId="13" fillId="0" borderId="0" xfId="0" quotePrefix="1" applyNumberFormat="1" applyFont="1" applyBorder="1"/>
    <xf numFmtId="0" fontId="13" fillId="0" borderId="0" xfId="0" quotePrefix="1" applyNumberFormat="1" applyFont="1" applyFill="1" applyBorder="1"/>
    <xf numFmtId="164" fontId="13" fillId="0" borderId="0" xfId="19" applyNumberFormat="1" applyFont="1" applyBorder="1" applyAlignment="1">
      <alignment horizontal="right"/>
    </xf>
    <xf numFmtId="0" fontId="17" fillId="0" borderId="0" xfId="0" applyFont="1" applyBorder="1" applyAlignment="1">
      <alignment horizontal="center"/>
    </xf>
    <xf numFmtId="49" fontId="13" fillId="0" borderId="0" xfId="19" applyNumberFormat="1" applyFont="1" applyBorder="1" applyAlignment="1">
      <alignment horizontal="left" indent="1"/>
    </xf>
    <xf numFmtId="0" fontId="44" fillId="0" borderId="0" xfId="0" applyFont="1"/>
    <xf numFmtId="0" fontId="44" fillId="0" borderId="0" xfId="0" applyFont="1" applyAlignment="1">
      <alignment horizontal="right"/>
    </xf>
    <xf numFmtId="164" fontId="44" fillId="0" borderId="0" xfId="0" applyNumberFormat="1" applyFont="1"/>
    <xf numFmtId="0" fontId="45" fillId="0" borderId="0" xfId="0" applyFont="1" applyAlignment="1">
      <alignment horizontal="center"/>
    </xf>
    <xf numFmtId="164" fontId="44" fillId="0" borderId="0" xfId="0" applyNumberFormat="1" applyFont="1" applyFill="1"/>
    <xf numFmtId="164" fontId="44" fillId="36" borderId="0" xfId="0" applyNumberFormat="1" applyFont="1" applyFill="1"/>
    <xf numFmtId="10" fontId="44" fillId="34" borderId="0" xfId="0" applyNumberFormat="1" applyFont="1" applyFill="1"/>
    <xf numFmtId="164" fontId="44" fillId="0" borderId="0" xfId="0" applyNumberFormat="1" applyFont="1" applyAlignment="1">
      <alignment horizontal="right"/>
    </xf>
    <xf numFmtId="164" fontId="44" fillId="0" borderId="0" xfId="0" quotePrefix="1" applyNumberFormat="1" applyFont="1" applyAlignment="1">
      <alignment horizontal="center"/>
    </xf>
    <xf numFmtId="164" fontId="44" fillId="0" borderId="0" xfId="0" quotePrefix="1" applyNumberFormat="1" applyFont="1" applyFill="1" applyAlignment="1">
      <alignment horizontal="center"/>
    </xf>
    <xf numFmtId="0" fontId="44" fillId="0" borderId="0" xfId="0" applyFont="1" applyFill="1"/>
    <xf numFmtId="10" fontId="44" fillId="0" borderId="0" xfId="0" applyNumberFormat="1" applyFont="1" applyFill="1"/>
    <xf numFmtId="164" fontId="45" fillId="0" borderId="0" xfId="0" applyNumberFormat="1" applyFont="1" applyAlignment="1">
      <alignment horizontal="center"/>
    </xf>
    <xf numFmtId="0" fontId="42" fillId="0" borderId="0" xfId="0" applyFont="1" applyAlignment="1">
      <alignment horizontal="center"/>
    </xf>
    <xf numFmtId="164" fontId="46" fillId="0" borderId="0" xfId="0" applyNumberFormat="1" applyFont="1" applyAlignment="1">
      <alignment horizontal="center"/>
    </xf>
    <xf numFmtId="0" fontId="47" fillId="0" borderId="0" xfId="0" applyFont="1" applyAlignment="1">
      <alignment horizontal="center"/>
    </xf>
    <xf numFmtId="164" fontId="44" fillId="0" borderId="0" xfId="0" applyNumberFormat="1" applyFont="1" applyFill="1" applyAlignment="1">
      <alignment horizontal="right"/>
    </xf>
    <xf numFmtId="166" fontId="44" fillId="0" borderId="0" xfId="0" applyNumberFormat="1" applyFont="1"/>
    <xf numFmtId="164" fontId="44" fillId="34" borderId="0" xfId="0" applyNumberFormat="1" applyFont="1" applyFill="1"/>
    <xf numFmtId="0" fontId="44" fillId="0" borderId="0" xfId="0" applyFont="1" applyAlignment="1">
      <alignment horizontal="left" indent="1"/>
    </xf>
    <xf numFmtId="165" fontId="44" fillId="0" borderId="0" xfId="0" applyNumberFormat="1" applyFont="1"/>
    <xf numFmtId="0" fontId="44" fillId="0" borderId="0" xfId="0" applyFont="1" applyAlignment="1">
      <alignment horizontal="center"/>
    </xf>
    <xf numFmtId="0" fontId="13" fillId="0" borderId="0" xfId="0" quotePrefix="1" applyFont="1" applyAlignment="1">
      <alignment horizontal="right"/>
    </xf>
    <xf numFmtId="0" fontId="11" fillId="36" borderId="0" xfId="0" quotePrefix="1" applyFont="1" applyFill="1" applyAlignment="1">
      <alignment horizontal="center"/>
    </xf>
    <xf numFmtId="0" fontId="11" fillId="0" borderId="0" xfId="28" applyFont="1"/>
    <xf numFmtId="0" fontId="13" fillId="36" borderId="0" xfId="28" applyFont="1" applyFill="1"/>
    <xf numFmtId="0" fontId="11" fillId="0" borderId="0" xfId="28" applyFont="1" applyFill="1" applyBorder="1" applyAlignment="1">
      <alignment horizontal="left" vertical="center"/>
    </xf>
    <xf numFmtId="0" fontId="11" fillId="0" borderId="0" xfId="28" applyFont="1" applyFill="1" applyBorder="1" applyAlignment="1">
      <alignment horizontal="center" vertical="center" wrapText="1"/>
    </xf>
    <xf numFmtId="0" fontId="11" fillId="0" borderId="0" xfId="28" applyFont="1" applyFill="1" applyBorder="1" applyAlignment="1">
      <alignment horizontal="center" vertical="center"/>
    </xf>
    <xf numFmtId="0" fontId="11" fillId="0" borderId="0" xfId="28" applyFont="1" applyFill="1" applyBorder="1" applyAlignment="1">
      <alignment horizontal="center"/>
    </xf>
    <xf numFmtId="0" fontId="11" fillId="0" borderId="0" xfId="28" applyFont="1" applyBorder="1" applyAlignment="1">
      <alignment horizontal="center" vertical="center" wrapText="1"/>
    </xf>
    <xf numFmtId="0" fontId="13" fillId="0" borderId="0" xfId="28" applyFont="1" applyFill="1" applyBorder="1" applyAlignment="1">
      <alignment horizontal="left" vertical="center" indent="1"/>
    </xf>
    <xf numFmtId="164" fontId="13" fillId="0" borderId="0" xfId="28" applyNumberFormat="1" applyFont="1" applyFill="1" applyBorder="1" applyAlignment="1">
      <alignment horizontal="right" vertical="center" wrapText="1"/>
    </xf>
    <xf numFmtId="164" fontId="13" fillId="0" borderId="0" xfId="20" applyNumberFormat="1" applyFont="1" applyFill="1"/>
    <xf numFmtId="164" fontId="13" fillId="0" borderId="0" xfId="28" applyNumberFormat="1" applyFont="1" applyFill="1" applyBorder="1" applyAlignment="1">
      <alignment horizontal="right"/>
    </xf>
    <xf numFmtId="164" fontId="17" fillId="0" borderId="0" xfId="28" applyNumberFormat="1" applyFont="1" applyFill="1" applyBorder="1" applyAlignment="1">
      <alignment horizontal="right" vertical="center" wrapText="1"/>
    </xf>
    <xf numFmtId="164" fontId="17" fillId="0" borderId="0" xfId="20" applyNumberFormat="1" applyFont="1" applyFill="1"/>
    <xf numFmtId="164" fontId="17" fillId="0" borderId="0" xfId="28" applyNumberFormat="1" applyFont="1" applyFill="1" applyBorder="1" applyAlignment="1">
      <alignment horizontal="right"/>
    </xf>
    <xf numFmtId="164" fontId="17" fillId="36" borderId="0" xfId="28" applyNumberFormat="1" applyFont="1" applyFill="1" applyBorder="1" applyAlignment="1">
      <alignment horizontal="right" vertical="center" wrapText="1"/>
    </xf>
    <xf numFmtId="164" fontId="13" fillId="0" borderId="0" xfId="28" applyNumberFormat="1" applyFont="1" applyFill="1" applyAlignment="1">
      <alignment vertical="center"/>
    </xf>
    <xf numFmtId="0" fontId="13" fillId="0" borderId="0" xfId="28" applyFont="1" applyFill="1"/>
    <xf numFmtId="41" fontId="13" fillId="0" borderId="0" xfId="20" applyNumberFormat="1" applyFont="1" applyFill="1"/>
    <xf numFmtId="41" fontId="13" fillId="0" borderId="0" xfId="28" applyNumberFormat="1" applyFont="1" applyFill="1"/>
    <xf numFmtId="41" fontId="13" fillId="0" borderId="0" xfId="20" applyNumberFormat="1" applyFont="1"/>
    <xf numFmtId="41" fontId="13" fillId="0" borderId="0" xfId="20" applyNumberFormat="1" applyFont="1" applyAlignment="1" applyProtection="1">
      <alignment horizontal="right" indent="2"/>
    </xf>
    <xf numFmtId="0" fontId="11" fillId="0" borderId="0" xfId="28" applyFont="1" applyFill="1"/>
    <xf numFmtId="0" fontId="13" fillId="0" borderId="0" xfId="28" applyFont="1" applyFill="1" applyAlignment="1">
      <alignment horizontal="left" wrapText="1" indent="1"/>
    </xf>
    <xf numFmtId="164" fontId="13" fillId="0" borderId="0" xfId="28" applyNumberFormat="1" applyFont="1" applyFill="1"/>
    <xf numFmtId="41" fontId="25" fillId="0" borderId="0" xfId="20" applyNumberFormat="1" applyFont="1" applyFill="1"/>
    <xf numFmtId="164" fontId="25" fillId="0" borderId="0" xfId="20" applyNumberFormat="1" applyFont="1" applyFill="1"/>
    <xf numFmtId="42" fontId="25" fillId="0" borderId="0" xfId="28" applyNumberFormat="1" applyFont="1"/>
    <xf numFmtId="164" fontId="25" fillId="36" borderId="0" xfId="20" applyNumberFormat="1" applyFont="1" applyFill="1"/>
    <xf numFmtId="42" fontId="13" fillId="0" borderId="0" xfId="28" applyNumberFormat="1" applyFont="1"/>
    <xf numFmtId="42" fontId="13" fillId="0" borderId="0" xfId="20" applyNumberFormat="1" applyFont="1" applyBorder="1"/>
    <xf numFmtId="42" fontId="13" fillId="0" borderId="0" xfId="28" applyNumberFormat="1" applyFont="1" applyBorder="1"/>
    <xf numFmtId="164" fontId="13" fillId="0" borderId="0" xfId="20" applyNumberFormat="1" applyFont="1" applyBorder="1"/>
    <xf numFmtId="43" fontId="13" fillId="0" borderId="0" xfId="28" applyNumberFormat="1" applyFont="1"/>
    <xf numFmtId="41" fontId="13" fillId="0" borderId="0" xfId="28" applyNumberFormat="1" applyFont="1"/>
    <xf numFmtId="0" fontId="11" fillId="0" borderId="0" xfId="28" applyFont="1" applyAlignment="1">
      <alignment horizontal="center" wrapText="1"/>
    </xf>
    <xf numFmtId="0" fontId="14" fillId="0" borderId="0" xfId="28" applyFont="1"/>
    <xf numFmtId="164" fontId="13" fillId="0" borderId="0" xfId="28" applyNumberFormat="1" applyFont="1" applyBorder="1"/>
    <xf numFmtId="0" fontId="13" fillId="0" borderId="0" xfId="28" applyFont="1" applyFill="1" applyBorder="1" applyAlignment="1">
      <alignment horizontal="right" vertical="center"/>
    </xf>
    <xf numFmtId="168" fontId="13" fillId="0" borderId="0" xfId="39" applyNumberFormat="1" applyFont="1" applyFill="1" applyBorder="1" applyAlignment="1">
      <alignment vertical="center"/>
    </xf>
    <xf numFmtId="10" fontId="13" fillId="0" borderId="0" xfId="39" applyNumberFormat="1" applyFont="1" applyFill="1" applyBorder="1" applyAlignment="1">
      <alignment vertical="center"/>
    </xf>
    <xf numFmtId="0" fontId="13" fillId="0" borderId="0" xfId="28" applyFont="1" applyFill="1" applyBorder="1"/>
    <xf numFmtId="10" fontId="13" fillId="0" borderId="0" xfId="39" applyNumberFormat="1" applyFont="1" applyFill="1" applyBorder="1"/>
    <xf numFmtId="42" fontId="13" fillId="0" borderId="0" xfId="20" applyNumberFormat="1" applyFont="1" applyFill="1"/>
    <xf numFmtId="39" fontId="11" fillId="0" borderId="3" xfId="22" quotePrefix="1" applyNumberFormat="1" applyFont="1" applyBorder="1" applyAlignment="1">
      <alignment horizontal="center" wrapText="1"/>
    </xf>
    <xf numFmtId="39" fontId="11" fillId="0" borderId="3" xfId="22" applyNumberFormat="1" applyFont="1" applyBorder="1" applyAlignment="1">
      <alignment horizontal="center" wrapText="1"/>
    </xf>
    <xf numFmtId="39" fontId="13" fillId="0" borderId="3" xfId="22" quotePrefix="1" applyNumberFormat="1" applyFont="1" applyFill="1" applyBorder="1" applyAlignment="1">
      <alignment horizontal="center"/>
    </xf>
    <xf numFmtId="177" fontId="11" fillId="0" borderId="3" xfId="22" applyNumberFormat="1" applyFont="1" applyBorder="1" applyAlignment="1">
      <alignment horizontal="center" wrapText="1"/>
    </xf>
    <xf numFmtId="39" fontId="11" fillId="0" borderId="0" xfId="22" quotePrefix="1" applyNumberFormat="1" applyFont="1" applyBorder="1" applyAlignment="1">
      <alignment horizontal="center"/>
    </xf>
    <xf numFmtId="37" fontId="11" fillId="0" borderId="3" xfId="22" quotePrefix="1" applyNumberFormat="1" applyFont="1" applyBorder="1" applyAlignment="1">
      <alignment horizontal="center"/>
    </xf>
    <xf numFmtId="37" fontId="11" fillId="0" borderId="0" xfId="22" quotePrefix="1" applyNumberFormat="1" applyFont="1" applyBorder="1" applyAlignment="1">
      <alignment horizontal="center"/>
    </xf>
    <xf numFmtId="37" fontId="13" fillId="0" borderId="3" xfId="22" quotePrefix="1" applyNumberFormat="1" applyFont="1" applyBorder="1" applyAlignment="1">
      <alignment horizontal="center"/>
    </xf>
    <xf numFmtId="37" fontId="13" fillId="0" borderId="3" xfId="22" quotePrefix="1" applyNumberFormat="1" applyFont="1" applyFill="1" applyBorder="1" applyAlignment="1">
      <alignment horizontal="center"/>
    </xf>
    <xf numFmtId="39" fontId="13" fillId="0" borderId="0" xfId="22" quotePrefix="1" applyNumberFormat="1" applyFont="1" applyBorder="1" applyAlignment="1">
      <alignment horizontal="center"/>
    </xf>
    <xf numFmtId="177" fontId="13" fillId="0" borderId="0" xfId="22" applyNumberFormat="1" applyFont="1" applyBorder="1" applyAlignment="1">
      <alignment horizontal="center"/>
    </xf>
    <xf numFmtId="0" fontId="13" fillId="0" borderId="3" xfId="22" applyNumberFormat="1" applyFont="1" applyFill="1" applyBorder="1" applyAlignment="1">
      <alignment horizontal="left"/>
    </xf>
    <xf numFmtId="37" fontId="13" fillId="36" borderId="3" xfId="22" quotePrefix="1" applyNumberFormat="1" applyFont="1" applyFill="1" applyBorder="1" applyAlignment="1">
      <alignment horizontal="center"/>
    </xf>
    <xf numFmtId="0" fontId="13" fillId="36" borderId="3" xfId="0" applyFont="1" applyFill="1" applyBorder="1" applyAlignment="1">
      <alignment horizontal="center"/>
    </xf>
    <xf numFmtId="37" fontId="13" fillId="36" borderId="3" xfId="0" applyNumberFormat="1" applyFont="1" applyFill="1" applyBorder="1" applyAlignment="1">
      <alignment horizontal="center"/>
    </xf>
    <xf numFmtId="37" fontId="13" fillId="36" borderId="3" xfId="22" applyNumberFormat="1" applyFont="1" applyFill="1" applyBorder="1" applyAlignment="1">
      <alignment horizontal="center"/>
    </xf>
    <xf numFmtId="39" fontId="13" fillId="36" borderId="3" xfId="22" quotePrefix="1" applyNumberFormat="1" applyFont="1" applyFill="1" applyBorder="1" applyAlignment="1">
      <alignment horizontal="center"/>
    </xf>
    <xf numFmtId="39" fontId="13" fillId="36" borderId="4" xfId="22" quotePrefix="1" applyNumberFormat="1" applyFont="1" applyFill="1" applyBorder="1" applyAlignment="1">
      <alignment horizontal="center"/>
    </xf>
    <xf numFmtId="37" fontId="11" fillId="36" borderId="3" xfId="22" quotePrefix="1" applyNumberFormat="1" applyFont="1" applyFill="1" applyBorder="1" applyAlignment="1">
      <alignment horizontal="center"/>
    </xf>
    <xf numFmtId="178" fontId="13" fillId="36" borderId="3" xfId="22" applyNumberFormat="1" applyFont="1" applyFill="1" applyBorder="1"/>
    <xf numFmtId="37" fontId="11" fillId="0" borderId="0" xfId="22" quotePrefix="1" applyNumberFormat="1" applyFont="1" applyFill="1" applyBorder="1" applyAlignment="1">
      <alignment horizontal="center"/>
    </xf>
    <xf numFmtId="37" fontId="11" fillId="0" borderId="3" xfId="22" quotePrefix="1" applyNumberFormat="1" applyFont="1" applyFill="1" applyBorder="1" applyAlignment="1">
      <alignment horizontal="center"/>
    </xf>
    <xf numFmtId="39" fontId="11" fillId="0" borderId="0" xfId="22" quotePrefix="1" applyNumberFormat="1" applyFont="1" applyFill="1" applyBorder="1" applyAlignment="1">
      <alignment horizontal="center"/>
    </xf>
    <xf numFmtId="39" fontId="11" fillId="0" borderId="3" xfId="22" applyNumberFormat="1" applyFont="1" applyFill="1" applyBorder="1" applyAlignment="1">
      <alignment horizontal="center" wrapText="1"/>
    </xf>
    <xf numFmtId="39" fontId="13" fillId="0" borderId="0" xfId="22" applyNumberFormat="1" applyFont="1" applyFill="1" applyBorder="1" applyAlignment="1">
      <alignment horizontal="center"/>
    </xf>
    <xf numFmtId="39" fontId="13" fillId="0" borderId="0" xfId="22" quotePrefix="1" applyNumberFormat="1" applyFont="1" applyFill="1" applyBorder="1" applyAlignment="1">
      <alignment horizontal="center"/>
    </xf>
    <xf numFmtId="39" fontId="43" fillId="0" borderId="0" xfId="22" quotePrefix="1" applyNumberFormat="1" applyFont="1" applyBorder="1" applyAlignment="1">
      <alignment horizontal="center"/>
    </xf>
    <xf numFmtId="39" fontId="13" fillId="0" borderId="3" xfId="22" applyNumberFormat="1" applyFont="1" applyBorder="1" applyAlignment="1">
      <alignment horizontal="center" wrapText="1"/>
    </xf>
    <xf numFmtId="178" fontId="43" fillId="0" borderId="0" xfId="22" applyNumberFormat="1" applyFont="1" applyBorder="1" applyAlignment="1">
      <alignment horizontal="center"/>
    </xf>
    <xf numFmtId="39" fontId="43" fillId="0" borderId="0" xfId="22" applyNumberFormat="1" applyFont="1" applyBorder="1" applyAlignment="1">
      <alignment horizontal="left"/>
    </xf>
    <xf numFmtId="37" fontId="11" fillId="37" borderId="3" xfId="22" quotePrefix="1" applyNumberFormat="1" applyFont="1" applyFill="1" applyBorder="1" applyAlignment="1">
      <alignment horizontal="center"/>
    </xf>
    <xf numFmtId="39" fontId="11" fillId="37" borderId="3" xfId="22" applyNumberFormat="1" applyFont="1" applyFill="1" applyBorder="1" applyAlignment="1">
      <alignment horizontal="center"/>
    </xf>
    <xf numFmtId="39" fontId="48" fillId="0" borderId="0" xfId="22" quotePrefix="1" applyNumberFormat="1" applyFont="1" applyBorder="1" applyAlignment="1">
      <alignment horizontal="center"/>
    </xf>
    <xf numFmtId="37" fontId="11" fillId="36" borderId="5" xfId="22" quotePrefix="1" applyNumberFormat="1" applyFont="1" applyFill="1" applyBorder="1" applyAlignment="1">
      <alignment horizontal="center"/>
    </xf>
    <xf numFmtId="0" fontId="11" fillId="37" borderId="0" xfId="0" quotePrefix="1" applyNumberFormat="1" applyFont="1" applyFill="1" applyBorder="1"/>
    <xf numFmtId="0" fontId="11" fillId="37" borderId="0" xfId="0" applyFont="1" applyFill="1" applyBorder="1"/>
    <xf numFmtId="37" fontId="48" fillId="0" borderId="0" xfId="22" quotePrefix="1" applyNumberFormat="1" applyFont="1" applyBorder="1" applyAlignment="1">
      <alignment horizontal="center"/>
    </xf>
    <xf numFmtId="0" fontId="13" fillId="36" borderId="3" xfId="0" quotePrefix="1" applyNumberFormat="1" applyFont="1" applyFill="1" applyBorder="1"/>
    <xf numFmtId="0" fontId="13" fillId="36" borderId="3" xfId="0" quotePrefix="1" applyNumberFormat="1" applyFont="1" applyFill="1" applyBorder="1" applyAlignment="1">
      <alignment horizontal="left"/>
    </xf>
    <xf numFmtId="0" fontId="13" fillId="36" borderId="3" xfId="0" applyNumberFormat="1" applyFont="1" applyFill="1" applyBorder="1"/>
    <xf numFmtId="0" fontId="13" fillId="36" borderId="3" xfId="0" applyNumberFormat="1" applyFont="1" applyFill="1" applyBorder="1" applyAlignment="1">
      <alignment horizontal="left"/>
    </xf>
    <xf numFmtId="0" fontId="13" fillId="36" borderId="3" xfId="22" applyNumberFormat="1" applyFont="1" applyFill="1" applyBorder="1" applyAlignment="1">
      <alignment horizontal="left"/>
    </xf>
    <xf numFmtId="0" fontId="13" fillId="36" borderId="3" xfId="0" quotePrefix="1" applyNumberFormat="1" applyFont="1" applyFill="1" applyBorder="1" applyAlignment="1">
      <alignment horizontal="center"/>
    </xf>
    <xf numFmtId="0" fontId="13" fillId="37" borderId="3" xfId="0" applyFont="1" applyFill="1" applyBorder="1" applyAlignment="1">
      <alignment horizontal="center"/>
    </xf>
    <xf numFmtId="0" fontId="13" fillId="37" borderId="3" xfId="0" applyFont="1" applyFill="1" applyBorder="1"/>
    <xf numFmtId="39" fontId="13" fillId="37" borderId="3" xfId="22" applyNumberFormat="1" applyFont="1" applyFill="1" applyBorder="1" applyAlignment="1">
      <alignment horizontal="center"/>
    </xf>
    <xf numFmtId="0" fontId="11" fillId="37" borderId="3" xfId="0" applyFont="1" applyFill="1" applyBorder="1" applyAlignment="1">
      <alignment horizontal="center"/>
    </xf>
    <xf numFmtId="37" fontId="13" fillId="0" borderId="3" xfId="22" applyNumberFormat="1" applyFont="1" applyFill="1" applyBorder="1" applyAlignment="1">
      <alignment horizontal="center"/>
    </xf>
    <xf numFmtId="39" fontId="13" fillId="0" borderId="3" xfId="22" applyNumberFormat="1" applyFont="1" applyFill="1" applyBorder="1" applyAlignment="1">
      <alignment horizontal="center"/>
    </xf>
    <xf numFmtId="49" fontId="13" fillId="0" borderId="0" xfId="22" applyNumberFormat="1" applyFont="1" applyBorder="1" applyAlignment="1">
      <alignment horizontal="left"/>
    </xf>
    <xf numFmtId="39" fontId="13" fillId="0" borderId="3" xfId="22" applyNumberFormat="1" applyFont="1" applyBorder="1" applyAlignment="1">
      <alignment horizontal="right"/>
    </xf>
    <xf numFmtId="10" fontId="13" fillId="0" borderId="3" xfId="38" applyNumberFormat="1" applyFont="1" applyFill="1" applyBorder="1" applyAlignment="1">
      <alignment horizontal="center"/>
    </xf>
    <xf numFmtId="39" fontId="13" fillId="0" borderId="3" xfId="22" quotePrefix="1" applyNumberFormat="1" applyFont="1" applyBorder="1" applyAlignment="1">
      <alignment horizontal="center"/>
    </xf>
    <xf numFmtId="39" fontId="11" fillId="0" borderId="3" xfId="22" applyNumberFormat="1" applyFont="1" applyFill="1" applyBorder="1" applyAlignment="1">
      <alignment horizontal="right" wrapText="1"/>
    </xf>
    <xf numFmtId="0" fontId="13" fillId="37" borderId="3" xfId="0" quotePrefix="1" applyNumberFormat="1" applyFont="1" applyFill="1" applyBorder="1"/>
    <xf numFmtId="0" fontId="13" fillId="36" borderId="6" xfId="0" applyFont="1" applyFill="1" applyBorder="1" applyAlignment="1"/>
    <xf numFmtId="0" fontId="13" fillId="36" borderId="4" xfId="0" applyFont="1" applyFill="1" applyBorder="1" applyAlignment="1"/>
    <xf numFmtId="0" fontId="13" fillId="36" borderId="3" xfId="0" applyFont="1" applyFill="1" applyBorder="1"/>
    <xf numFmtId="39" fontId="13" fillId="36" borderId="3" xfId="22" applyNumberFormat="1" applyFont="1" applyFill="1" applyBorder="1" applyAlignment="1">
      <alignment horizontal="center"/>
    </xf>
    <xf numFmtId="39" fontId="13" fillId="36" borderId="3" xfId="0" applyNumberFormat="1" applyFont="1" applyFill="1" applyBorder="1" applyAlignment="1">
      <alignment horizontal="center"/>
    </xf>
    <xf numFmtId="0" fontId="11" fillId="36" borderId="3" xfId="0" quotePrefix="1" applyNumberFormat="1" applyFont="1" applyFill="1" applyBorder="1"/>
    <xf numFmtId="39" fontId="11" fillId="36" borderId="3" xfId="22" quotePrefix="1" applyNumberFormat="1" applyFont="1" applyFill="1" applyBorder="1" applyAlignment="1">
      <alignment horizontal="center"/>
    </xf>
    <xf numFmtId="0" fontId="11" fillId="36" borderId="3" xfId="0" applyNumberFormat="1" applyFont="1" applyFill="1" applyBorder="1"/>
    <xf numFmtId="37" fontId="11" fillId="0" borderId="0" xfId="22" applyNumberFormat="1" applyFont="1" applyFill="1" applyBorder="1" applyAlignment="1">
      <alignment horizontal="center"/>
    </xf>
    <xf numFmtId="0" fontId="0" fillId="36" borderId="0" xfId="0" applyFill="1" applyAlignment="1">
      <alignment horizontal="left" vertical="top" wrapText="1"/>
    </xf>
    <xf numFmtId="39" fontId="11" fillId="0" borderId="0" xfId="22" applyNumberFormat="1" applyFont="1" applyBorder="1" applyAlignment="1">
      <alignment horizontal="center"/>
    </xf>
    <xf numFmtId="39" fontId="11" fillId="0" borderId="0" xfId="22" applyNumberFormat="1" applyFont="1" applyFill="1" applyBorder="1" applyAlignment="1">
      <alignment horizontal="center"/>
    </xf>
    <xf numFmtId="39" fontId="11" fillId="37" borderId="7" xfId="22" applyNumberFormat="1" applyFont="1" applyFill="1" applyBorder="1" applyAlignment="1">
      <alignment horizontal="center"/>
    </xf>
    <xf numFmtId="39" fontId="11" fillId="37" borderId="0" xfId="22" quotePrefix="1" applyNumberFormat="1" applyFont="1" applyFill="1" applyBorder="1" applyAlignment="1">
      <alignment horizontal="center"/>
    </xf>
    <xf numFmtId="39" fontId="13" fillId="0" borderId="0" xfId="22" applyNumberFormat="1" applyFont="1" applyBorder="1" applyAlignment="1">
      <alignment horizontal="center"/>
    </xf>
    <xf numFmtId="0" fontId="14" fillId="0" borderId="0" xfId="0" quotePrefix="1" applyFont="1" applyFill="1" applyAlignment="1">
      <alignment horizontal="center"/>
    </xf>
    <xf numFmtId="164" fontId="11" fillId="0" borderId="0" xfId="0" applyNumberFormat="1" applyFont="1" applyFill="1" applyAlignment="1">
      <alignment horizontal="center"/>
    </xf>
    <xf numFmtId="164" fontId="14" fillId="0" borderId="0" xfId="0" applyNumberFormat="1" applyFont="1" applyFill="1" applyAlignment="1">
      <alignment horizontal="center"/>
    </xf>
    <xf numFmtId="164" fontId="14" fillId="36" borderId="0" xfId="0" applyNumberFormat="1" applyFont="1" applyFill="1" applyAlignment="1">
      <alignment horizontal="center"/>
    </xf>
    <xf numFmtId="0" fontId="13" fillId="0" borderId="0" xfId="0" quotePrefix="1" applyFont="1" applyFill="1" applyAlignment="1">
      <alignment horizontal="center"/>
    </xf>
    <xf numFmtId="0" fontId="13" fillId="0" borderId="0" xfId="0" applyFont="1" applyFill="1" applyAlignment="1">
      <alignment horizontal="right"/>
    </xf>
    <xf numFmtId="164" fontId="17" fillId="0" borderId="0" xfId="0" applyNumberFormat="1" applyFont="1" applyFill="1" applyAlignment="1">
      <alignment horizontal="right"/>
    </xf>
    <xf numFmtId="164" fontId="13" fillId="36" borderId="0" xfId="0" applyNumberFormat="1" applyFont="1" applyFill="1" applyAlignment="1">
      <alignment horizontal="right"/>
    </xf>
    <xf numFmtId="10" fontId="44" fillId="0" borderId="0" xfId="0" applyNumberFormat="1" applyFont="1"/>
    <xf numFmtId="164" fontId="49" fillId="0" borderId="0" xfId="0" applyNumberFormat="1" applyFont="1"/>
    <xf numFmtId="0" fontId="46" fillId="0" borderId="0" xfId="0" applyFont="1" applyAlignment="1">
      <alignment horizontal="center"/>
    </xf>
    <xf numFmtId="3" fontId="44" fillId="36" borderId="0" xfId="0" applyNumberFormat="1" applyFont="1" applyFill="1"/>
    <xf numFmtId="0" fontId="42" fillId="0" borderId="0" xfId="0" applyFont="1"/>
    <xf numFmtId="0" fontId="50" fillId="0" borderId="0" xfId="0" applyFont="1" applyAlignment="1">
      <alignment horizontal="left" indent="1"/>
    </xf>
    <xf numFmtId="10" fontId="50" fillId="0" borderId="0" xfId="0" applyNumberFormat="1" applyFont="1"/>
    <xf numFmtId="0" fontId="50" fillId="0" borderId="0" xfId="0" applyFont="1"/>
    <xf numFmtId="0" fontId="50" fillId="0" borderId="0" xfId="0" applyFont="1" applyAlignment="1">
      <alignment horizontal="right"/>
    </xf>
    <xf numFmtId="0" fontId="19" fillId="0" borderId="0" xfId="27" applyAlignment="1" applyProtection="1"/>
    <xf numFmtId="0" fontId="17" fillId="0" borderId="0" xfId="0" applyFont="1" applyFill="1" applyAlignment="1">
      <alignment horizontal="center"/>
    </xf>
    <xf numFmtId="168" fontId="13" fillId="0" borderId="0" xfId="0" applyNumberFormat="1" applyFont="1" applyFill="1" applyAlignment="1">
      <alignment horizontal="right"/>
    </xf>
    <xf numFmtId="0" fontId="13" fillId="0" borderId="0" xfId="0" applyFont="1" applyFill="1" applyAlignment="1">
      <alignment horizontal="left" indent="2"/>
    </xf>
    <xf numFmtId="0" fontId="0" fillId="0" borderId="0" xfId="0" applyFill="1" applyAlignment="1">
      <alignment horizontal="left" indent="2"/>
    </xf>
    <xf numFmtId="0" fontId="13" fillId="0" borderId="0" xfId="0" applyFont="1" applyFill="1" applyAlignment="1">
      <alignment horizontal="left" indent="3"/>
    </xf>
    <xf numFmtId="164" fontId="44" fillId="36" borderId="0" xfId="0" applyNumberFormat="1" applyFont="1" applyFill="1" applyAlignment="1">
      <alignment horizontal="right"/>
    </xf>
    <xf numFmtId="166" fontId="44" fillId="0" borderId="0" xfId="0" quotePrefix="1" applyNumberFormat="1" applyFont="1" applyAlignment="1">
      <alignment horizontal="right"/>
    </xf>
    <xf numFmtId="168" fontId="17" fillId="0" borderId="0" xfId="0" applyNumberFormat="1" applyFont="1"/>
    <xf numFmtId="49" fontId="0" fillId="0" borderId="0" xfId="0" applyNumberFormat="1" applyAlignment="1">
      <alignment horizontal="center"/>
    </xf>
    <xf numFmtId="49" fontId="47" fillId="0" borderId="0" xfId="0" applyNumberFormat="1" applyFont="1" applyAlignment="1">
      <alignment horizontal="center"/>
    </xf>
    <xf numFmtId="0" fontId="0" fillId="0" borderId="0" xfId="0" applyFont="1"/>
    <xf numFmtId="164" fontId="13" fillId="36" borderId="0" xfId="23" applyNumberFormat="1" applyFont="1" applyFill="1" applyAlignment="1">
      <alignment horizontal="right"/>
    </xf>
    <xf numFmtId="49" fontId="0" fillId="0" borderId="0" xfId="0" applyNumberFormat="1" applyAlignment="1">
      <alignment horizontal="left" indent="1"/>
    </xf>
    <xf numFmtId="0" fontId="51" fillId="0" borderId="0" xfId="0" applyFont="1" applyAlignment="1">
      <alignment horizontal="center" vertical="top"/>
    </xf>
    <xf numFmtId="0" fontId="13" fillId="0" borderId="0" xfId="0" applyFont="1" applyAlignment="1">
      <alignment horizontal="left" wrapText="1"/>
    </xf>
    <xf numFmtId="49" fontId="50" fillId="0" borderId="0" xfId="0" applyNumberFormat="1" applyFont="1" applyAlignment="1">
      <alignment horizontal="left" indent="1"/>
    </xf>
    <xf numFmtId="0" fontId="50" fillId="0" borderId="0" xfId="0" applyFont="1" applyAlignment="1">
      <alignment horizontal="left" wrapText="1"/>
    </xf>
    <xf numFmtId="164" fontId="13" fillId="0" borderId="0" xfId="23" applyNumberFormat="1" applyFont="1" applyFill="1" applyAlignment="1">
      <alignment horizontal="right"/>
    </xf>
    <xf numFmtId="0" fontId="51" fillId="0" borderId="0" xfId="0" applyFont="1" applyAlignment="1">
      <alignment horizontal="center"/>
    </xf>
    <xf numFmtId="179" fontId="0" fillId="0" borderId="0" xfId="23" applyNumberFormat="1" applyFont="1"/>
    <xf numFmtId="0" fontId="0" fillId="0" borderId="0" xfId="0" applyFont="1" applyBorder="1"/>
    <xf numFmtId="164" fontId="31" fillId="0" borderId="0" xfId="0" applyNumberFormat="1" applyFont="1" applyBorder="1"/>
    <xf numFmtId="164" fontId="0" fillId="0" borderId="0" xfId="0" applyNumberFormat="1" applyFont="1" applyAlignment="1">
      <alignment horizontal="right"/>
    </xf>
    <xf numFmtId="164" fontId="41" fillId="36" borderId="0" xfId="23" applyNumberFormat="1" applyFont="1" applyFill="1" applyAlignment="1">
      <alignment horizontal="right"/>
    </xf>
    <xf numFmtId="164" fontId="0" fillId="0" borderId="0" xfId="0" applyNumberFormat="1" applyFont="1" applyFill="1" applyAlignment="1">
      <alignment horizontal="right"/>
    </xf>
    <xf numFmtId="3" fontId="0" fillId="0" borderId="0" xfId="23" applyNumberFormat="1" applyFont="1" applyBorder="1" applyAlignment="1">
      <alignment horizontal="right"/>
    </xf>
    <xf numFmtId="49" fontId="50" fillId="0" borderId="0" xfId="0" quotePrefix="1" applyNumberFormat="1" applyFont="1" applyAlignment="1">
      <alignment horizontal="left" indent="1"/>
    </xf>
    <xf numFmtId="49" fontId="13" fillId="0" borderId="0" xfId="0" applyNumberFormat="1" applyFont="1" applyAlignment="1">
      <alignment horizontal="left" indent="1"/>
    </xf>
    <xf numFmtId="0" fontId="0" fillId="36" borderId="0" xfId="0" applyFill="1" applyAlignment="1">
      <alignment horizontal="left" indent="1"/>
    </xf>
    <xf numFmtId="0" fontId="0" fillId="36" borderId="0" xfId="0" applyFill="1" applyAlignment="1">
      <alignment horizontal="left"/>
    </xf>
    <xf numFmtId="10" fontId="0" fillId="36" borderId="0" xfId="0" applyNumberFormat="1" applyFill="1" applyAlignment="1">
      <alignment horizontal="left"/>
    </xf>
    <xf numFmtId="0" fontId="0" fillId="36" borderId="0" xfId="0" applyFill="1" applyAlignment="1"/>
    <xf numFmtId="0" fontId="11" fillId="36" borderId="0" xfId="0" applyFont="1" applyFill="1" applyAlignment="1">
      <alignment horizontal="left"/>
    </xf>
    <xf numFmtId="0" fontId="0" fillId="0" borderId="0" xfId="0" quotePrefix="1" applyFont="1" applyFill="1" applyAlignment="1">
      <alignment horizontal="left" indent="1"/>
    </xf>
    <xf numFmtId="0" fontId="11" fillId="0" borderId="0" xfId="0" applyFont="1" applyFill="1" applyAlignment="1">
      <alignment horizontal="left"/>
    </xf>
    <xf numFmtId="0" fontId="43" fillId="0" borderId="0" xfId="0" applyFont="1" applyAlignment="1">
      <alignment horizontal="left" indent="1"/>
    </xf>
    <xf numFmtId="0" fontId="14" fillId="0" borderId="0" xfId="0" applyFont="1" applyAlignment="1">
      <alignment horizontal="left" indent="1"/>
    </xf>
    <xf numFmtId="0" fontId="11" fillId="36" borderId="0" xfId="0" applyFont="1" applyFill="1"/>
    <xf numFmtId="0" fontId="0" fillId="36" borderId="0" xfId="0" applyFill="1" applyAlignment="1">
      <alignment horizontal="right"/>
    </xf>
    <xf numFmtId="10" fontId="0" fillId="36" borderId="0" xfId="0" applyNumberFormat="1" applyFill="1" applyAlignment="1">
      <alignment horizontal="right"/>
    </xf>
    <xf numFmtId="168" fontId="44" fillId="0" borderId="0" xfId="0" applyNumberFormat="1" applyFont="1"/>
    <xf numFmtId="0" fontId="0" fillId="0" borderId="8" xfId="0" applyBorder="1" applyAlignment="1">
      <alignment horizontal="center"/>
    </xf>
    <xf numFmtId="164" fontId="0" fillId="0" borderId="0" xfId="0" applyNumberFormat="1" applyAlignment="1">
      <alignment horizontal="right"/>
    </xf>
    <xf numFmtId="0" fontId="45" fillId="0" borderId="0" xfId="0" applyFont="1"/>
    <xf numFmtId="0" fontId="44" fillId="36" borderId="0" xfId="0" applyFont="1" applyFill="1"/>
    <xf numFmtId="0" fontId="14" fillId="0" borderId="0" xfId="28" applyNumberFormat="1" applyFont="1" applyFill="1" applyBorder="1" applyAlignment="1">
      <alignment horizontal="left"/>
    </xf>
    <xf numFmtId="0" fontId="14" fillId="0" borderId="0" xfId="28" applyNumberFormat="1" applyFont="1" applyFill="1" applyBorder="1" applyAlignment="1">
      <alignment horizontal="center"/>
    </xf>
    <xf numFmtId="3" fontId="14" fillId="0" borderId="0" xfId="28" applyNumberFormat="1" applyFont="1" applyFill="1" applyBorder="1" applyAlignment="1">
      <alignment horizontal="center"/>
    </xf>
    <xf numFmtId="164" fontId="49" fillId="36" borderId="0" xfId="0" applyNumberFormat="1" applyFont="1" applyFill="1"/>
    <xf numFmtId="0" fontId="46" fillId="0" borderId="0" xfId="0" applyFont="1"/>
    <xf numFmtId="0" fontId="11" fillId="36" borderId="0" xfId="0" quotePrefix="1" applyFont="1" applyFill="1" applyAlignment="1">
      <alignment vertical="center"/>
    </xf>
    <xf numFmtId="164" fontId="13" fillId="36" borderId="8" xfId="0" applyNumberFormat="1" applyFont="1" applyFill="1" applyBorder="1"/>
    <xf numFmtId="164" fontId="47" fillId="0" borderId="0" xfId="0" applyNumberFormat="1" applyFont="1" applyAlignment="1">
      <alignment horizontal="center"/>
    </xf>
    <xf numFmtId="165" fontId="10" fillId="34" borderId="0" xfId="0" applyNumberFormat="1" applyFont="1" applyFill="1"/>
    <xf numFmtId="165" fontId="10" fillId="0" borderId="0" xfId="0" applyNumberFormat="1" applyFont="1" applyFill="1"/>
    <xf numFmtId="168" fontId="11" fillId="0" borderId="0" xfId="0" applyNumberFormat="1" applyFont="1" applyFill="1" applyAlignment="1">
      <alignment horizontal="center"/>
    </xf>
    <xf numFmtId="37" fontId="11" fillId="0" borderId="3" xfId="22" applyNumberFormat="1" applyFont="1" applyBorder="1" applyAlignment="1">
      <alignment horizontal="center"/>
    </xf>
    <xf numFmtId="37" fontId="11" fillId="36" borderId="3" xfId="22" applyNumberFormat="1" applyFont="1" applyFill="1" applyBorder="1" applyAlignment="1">
      <alignment horizontal="center"/>
    </xf>
    <xf numFmtId="37" fontId="11" fillId="0" borderId="3" xfId="22" applyNumberFormat="1" applyFont="1" applyFill="1" applyBorder="1" applyAlignment="1">
      <alignment horizontal="center"/>
    </xf>
    <xf numFmtId="37" fontId="11" fillId="0" borderId="3" xfId="0" applyNumberFormat="1" applyFont="1" applyBorder="1" applyAlignment="1">
      <alignment horizontal="center"/>
    </xf>
    <xf numFmtId="37" fontId="11" fillId="37" borderId="3" xfId="0" applyNumberFormat="1" applyFont="1" applyFill="1" applyBorder="1" applyAlignment="1">
      <alignment horizontal="center"/>
    </xf>
    <xf numFmtId="164" fontId="13" fillId="0" borderId="0" xfId="19" applyNumberFormat="1" applyFont="1" applyBorder="1" applyAlignment="1">
      <alignment horizontal="center"/>
    </xf>
    <xf numFmtId="37" fontId="11" fillId="0" borderId="0" xfId="0" applyNumberFormat="1" applyFont="1" applyBorder="1" applyAlignment="1">
      <alignment horizontal="center"/>
    </xf>
    <xf numFmtId="164" fontId="17" fillId="36" borderId="0" xfId="0" applyNumberFormat="1" applyFont="1" applyFill="1" applyAlignment="1">
      <alignment horizontal="right"/>
    </xf>
    <xf numFmtId="0" fontId="13" fillId="36" borderId="0" xfId="0" applyFont="1" applyFill="1" applyAlignment="1">
      <alignment horizontal="right"/>
    </xf>
    <xf numFmtId="164" fontId="0" fillId="0" borderId="0" xfId="0" applyNumberFormat="1" applyAlignment="1">
      <alignment horizontal="center"/>
    </xf>
    <xf numFmtId="0" fontId="11" fillId="0" borderId="0" xfId="28" applyFont="1" applyAlignment="1">
      <alignment horizontal="left" vertical="center"/>
    </xf>
    <xf numFmtId="0" fontId="40" fillId="0" borderId="0" xfId="28" applyFont="1" applyFill="1" applyAlignment="1">
      <alignment horizontal="left"/>
    </xf>
    <xf numFmtId="0" fontId="40" fillId="0" borderId="0" xfId="28" applyFont="1" applyFill="1" applyAlignment="1">
      <alignment horizontal="center"/>
    </xf>
    <xf numFmtId="0" fontId="40" fillId="0" borderId="0" xfId="28" applyNumberFormat="1" applyFont="1" applyFill="1" applyAlignment="1">
      <alignment horizontal="center"/>
    </xf>
    <xf numFmtId="0" fontId="40" fillId="0" borderId="0" xfId="28" applyFont="1" applyAlignment="1">
      <alignment horizontal="center"/>
    </xf>
    <xf numFmtId="0" fontId="11" fillId="0" borderId="0" xfId="28" applyFont="1" applyAlignment="1">
      <alignment horizontal="left"/>
    </xf>
    <xf numFmtId="0" fontId="40" fillId="36" borderId="0" xfId="28" applyNumberFormat="1" applyFont="1" applyFill="1" applyAlignment="1">
      <alignment horizontal="center"/>
    </xf>
    <xf numFmtId="0" fontId="11" fillId="0" borderId="0" xfId="28" applyFont="1" applyAlignment="1">
      <alignment vertical="top"/>
    </xf>
    <xf numFmtId="0" fontId="11" fillId="0" borderId="0" xfId="28" applyFont="1" applyAlignment="1">
      <alignment horizontal="left" vertical="top"/>
    </xf>
    <xf numFmtId="0" fontId="11" fillId="0" borderId="0" xfId="28" applyFont="1" applyAlignment="1">
      <alignment horizontal="center" vertical="top"/>
    </xf>
    <xf numFmtId="0" fontId="11" fillId="0" borderId="0" xfId="28" applyFont="1" applyFill="1" applyAlignment="1">
      <alignment horizontal="center" vertical="top"/>
    </xf>
    <xf numFmtId="0" fontId="11" fillId="0" borderId="0" xfId="28" applyNumberFormat="1" applyFont="1" applyFill="1" applyAlignment="1">
      <alignment horizontal="center" vertical="top"/>
    </xf>
    <xf numFmtId="0" fontId="40" fillId="0" borderId="0" xfId="28" applyFont="1" applyAlignment="1">
      <alignment horizontal="center" vertical="top"/>
    </xf>
    <xf numFmtId="0" fontId="11" fillId="0" borderId="0" xfId="28" applyFont="1" applyAlignment="1"/>
    <xf numFmtId="0" fontId="11" fillId="0" borderId="0" xfId="28" applyFont="1" applyFill="1" applyAlignment="1">
      <alignment horizontal="center"/>
    </xf>
    <xf numFmtId="0" fontId="11" fillId="0" borderId="0" xfId="28" applyNumberFormat="1" applyFont="1" applyFill="1" applyAlignment="1">
      <alignment horizontal="center"/>
    </xf>
    <xf numFmtId="0" fontId="14" fillId="0" borderId="0" xfId="0" quotePrefix="1" applyFont="1" applyAlignment="1">
      <alignment horizontal="center" vertical="top"/>
    </xf>
    <xf numFmtId="0" fontId="14" fillId="0" borderId="0" xfId="0" quotePrefix="1" applyNumberFormat="1" applyFont="1" applyAlignment="1">
      <alignment horizontal="center" vertical="top"/>
    </xf>
    <xf numFmtId="0" fontId="11" fillId="0" borderId="0" xfId="28" applyFont="1" applyAlignment="1">
      <alignment horizontal="center" vertical="center"/>
    </xf>
    <xf numFmtId="0" fontId="11" fillId="0" borderId="0" xfId="28" applyFont="1" applyBorder="1" applyAlignment="1"/>
    <xf numFmtId="0" fontId="11" fillId="0" borderId="6" xfId="28" applyNumberFormat="1" applyFont="1" applyFill="1" applyBorder="1" applyAlignment="1">
      <alignment horizontal="center"/>
    </xf>
    <xf numFmtId="0" fontId="11" fillId="0" borderId="3" xfId="28" applyFont="1" applyBorder="1" applyAlignment="1">
      <alignment horizontal="center"/>
    </xf>
    <xf numFmtId="0" fontId="11" fillId="0" borderId="3" xfId="28" applyNumberFormat="1" applyFont="1" applyBorder="1" applyAlignment="1">
      <alignment horizontal="center"/>
    </xf>
    <xf numFmtId="0" fontId="14" fillId="0" borderId="0" xfId="28" applyFont="1" applyBorder="1" applyAlignment="1"/>
    <xf numFmtId="0" fontId="11" fillId="0" borderId="0" xfId="28" applyFont="1" applyBorder="1" applyAlignment="1">
      <alignment horizontal="center"/>
    </xf>
    <xf numFmtId="0" fontId="11" fillId="0" borderId="0" xfId="28" applyNumberFormat="1" applyFont="1" applyBorder="1" applyAlignment="1">
      <alignment horizontal="center"/>
    </xf>
    <xf numFmtId="0" fontId="25" fillId="36" borderId="0" xfId="22" applyNumberFormat="1" applyFont="1" applyFill="1" applyBorder="1" applyAlignment="1">
      <alignment horizontal="center"/>
    </xf>
    <xf numFmtId="167" fontId="25" fillId="0" borderId="0" xfId="28" applyNumberFormat="1" applyFont="1" applyFill="1" applyBorder="1"/>
    <xf numFmtId="0" fontId="11" fillId="0" borderId="0" xfId="28" applyFont="1" applyBorder="1"/>
    <xf numFmtId="0" fontId="11" fillId="0" borderId="0" xfId="28" applyFont="1" applyFill="1" applyBorder="1"/>
    <xf numFmtId="0" fontId="14" fillId="0" borderId="0" xfId="28" applyFont="1" applyBorder="1"/>
    <xf numFmtId="167" fontId="11" fillId="0" borderId="0" xfId="28" applyNumberFormat="1" applyFont="1" applyBorder="1" applyAlignment="1">
      <alignment horizontal="center"/>
    </xf>
    <xf numFmtId="167" fontId="11" fillId="0" borderId="0" xfId="28" applyNumberFormat="1" applyFont="1" applyBorder="1"/>
    <xf numFmtId="0" fontId="11" fillId="0" borderId="0" xfId="28" applyFont="1" applyBorder="1" applyAlignment="1">
      <alignment horizontal="right"/>
    </xf>
    <xf numFmtId="0" fontId="11" fillId="0" borderId="0" xfId="28" applyFont="1" applyFill="1" applyBorder="1" applyAlignment="1">
      <alignment horizontal="right"/>
    </xf>
    <xf numFmtId="167" fontId="11" fillId="0" borderId="3" xfId="22" applyNumberFormat="1" applyFont="1" applyFill="1" applyBorder="1" applyAlignment="1">
      <alignment horizontal="center" wrapText="1"/>
    </xf>
    <xf numFmtId="171" fontId="11" fillId="0" borderId="0" xfId="37" applyNumberFormat="1" applyFont="1" applyFill="1" applyBorder="1" applyAlignment="1">
      <alignment horizontal="center" wrapText="1"/>
    </xf>
    <xf numFmtId="167" fontId="11" fillId="0" borderId="0" xfId="22" applyNumberFormat="1" applyFont="1" applyFill="1" applyBorder="1"/>
    <xf numFmtId="0" fontId="11" fillId="0" borderId="0" xfId="39" applyNumberFormat="1" applyFont="1" applyFill="1" applyBorder="1" applyAlignment="1">
      <alignment horizontal="center" wrapText="1"/>
    </xf>
    <xf numFmtId="171" fontId="11" fillId="0" borderId="0" xfId="39" applyNumberFormat="1" applyFont="1" applyFill="1" applyBorder="1" applyAlignment="1">
      <alignment horizontal="center" wrapText="1"/>
    </xf>
    <xf numFmtId="167" fontId="25" fillId="0" borderId="0" xfId="22" applyNumberFormat="1" applyFont="1" applyFill="1" applyBorder="1" applyAlignment="1">
      <alignment horizontal="center" wrapText="1"/>
    </xf>
    <xf numFmtId="167" fontId="11" fillId="0" borderId="0" xfId="22" applyNumberFormat="1" applyFont="1" applyBorder="1"/>
    <xf numFmtId="0" fontId="14" fillId="0" borderId="0" xfId="28" applyFont="1" applyBorder="1" applyAlignment="1">
      <alignment vertical="top" wrapText="1"/>
    </xf>
    <xf numFmtId="164" fontId="25" fillId="36" borderId="0" xfId="22" applyNumberFormat="1" applyFont="1" applyFill="1" applyBorder="1"/>
    <xf numFmtId="168" fontId="13" fillId="0" borderId="0" xfId="0" applyNumberFormat="1" applyFont="1" applyFill="1" applyAlignment="1">
      <alignment horizontal="left" indent="1"/>
    </xf>
    <xf numFmtId="0" fontId="44" fillId="34" borderId="0" xfId="0" applyFont="1" applyFill="1"/>
    <xf numFmtId="0" fontId="45" fillId="0" borderId="0" xfId="0" applyFont="1" applyFill="1" applyAlignment="1">
      <alignment horizontal="center"/>
    </xf>
    <xf numFmtId="0" fontId="46" fillId="0" borderId="0" xfId="0" applyFont="1" applyFill="1" applyAlignment="1">
      <alignment horizontal="center"/>
    </xf>
    <xf numFmtId="0" fontId="44" fillId="0" borderId="0" xfId="0" applyFont="1" applyFill="1" applyAlignment="1">
      <alignment horizontal="center"/>
    </xf>
    <xf numFmtId="0" fontId="44" fillId="0" borderId="0" xfId="0" applyFont="1" applyFill="1" applyAlignment="1">
      <alignment horizontal="left" indent="2"/>
    </xf>
    <xf numFmtId="0" fontId="45" fillId="0" borderId="0" xfId="0" applyFont="1" applyAlignment="1">
      <alignment horizontal="left" indent="1"/>
    </xf>
    <xf numFmtId="0" fontId="45" fillId="0" borderId="0" xfId="0" quotePrefix="1" applyFont="1" applyAlignment="1">
      <alignment horizontal="center"/>
    </xf>
    <xf numFmtId="0" fontId="46" fillId="0" borderId="0" xfId="0" quotePrefix="1" applyFont="1" applyAlignment="1">
      <alignment horizontal="center"/>
    </xf>
    <xf numFmtId="164" fontId="49" fillId="0" borderId="0" xfId="0" applyNumberFormat="1" applyFont="1" applyFill="1"/>
    <xf numFmtId="0" fontId="44" fillId="0" borderId="0" xfId="0" quotePrefix="1" applyFont="1"/>
    <xf numFmtId="0" fontId="46" fillId="0" borderId="0" xfId="0" applyFont="1" applyAlignment="1">
      <alignment horizontal="left"/>
    </xf>
    <xf numFmtId="1" fontId="44" fillId="36" borderId="0" xfId="0" applyNumberFormat="1" applyFont="1" applyFill="1"/>
    <xf numFmtId="175" fontId="44" fillId="0" borderId="0" xfId="0" applyNumberFormat="1" applyFont="1"/>
    <xf numFmtId="0" fontId="44" fillId="0" borderId="0" xfId="0" applyFont="1" applyFill="1" applyAlignment="1">
      <alignment horizontal="left" indent="1"/>
    </xf>
    <xf numFmtId="0" fontId="45" fillId="0" borderId="0" xfId="0" applyFont="1" applyAlignment="1">
      <alignment horizontal="left"/>
    </xf>
    <xf numFmtId="37" fontId="13" fillId="36" borderId="4" xfId="22" quotePrefix="1" applyNumberFormat="1" applyFont="1" applyFill="1" applyBorder="1" applyAlignment="1">
      <alignment horizontal="center"/>
    </xf>
    <xf numFmtId="164" fontId="0" fillId="0" borderId="0" xfId="0" quotePrefix="1" applyNumberFormat="1" applyAlignment="1">
      <alignment horizontal="center"/>
    </xf>
    <xf numFmtId="164" fontId="42" fillId="0" borderId="0" xfId="0" applyNumberFormat="1" applyFont="1" applyAlignment="1">
      <alignment horizontal="center"/>
    </xf>
    <xf numFmtId="164" fontId="13" fillId="0" borderId="0" xfId="0" applyNumberFormat="1" applyFont="1" applyAlignment="1"/>
    <xf numFmtId="164" fontId="13" fillId="0" borderId="0" xfId="0" applyNumberFormat="1" applyFont="1" applyAlignment="1">
      <alignment horizontal="right" indent="1"/>
    </xf>
    <xf numFmtId="0" fontId="11" fillId="0" borderId="0" xfId="0" applyFont="1" applyAlignment="1">
      <alignment horizontal="center"/>
    </xf>
    <xf numFmtId="0" fontId="0" fillId="0" borderId="0" xfId="0" applyAlignment="1">
      <alignment horizontal="center"/>
    </xf>
    <xf numFmtId="0" fontId="14" fillId="0" borderId="0" xfId="28" applyFont="1" applyFill="1" applyAlignment="1">
      <alignment horizontal="center"/>
    </xf>
    <xf numFmtId="0" fontId="13" fillId="0" borderId="0" xfId="0" applyNumberFormat="1" applyFont="1" applyFill="1"/>
    <xf numFmtId="0" fontId="13" fillId="0" borderId="0" xfId="0" applyNumberFormat="1" applyFont="1" applyFill="1" applyAlignment="1">
      <alignment horizontal="left"/>
    </xf>
    <xf numFmtId="0" fontId="11" fillId="0" borderId="0" xfId="0" applyFont="1" applyAlignment="1">
      <alignment horizontal="center"/>
    </xf>
    <xf numFmtId="0" fontId="11" fillId="0" borderId="0" xfId="0" applyFont="1" applyAlignment="1">
      <alignment horizontal="center"/>
    </xf>
    <xf numFmtId="164" fontId="9" fillId="0" borderId="0" xfId="0" applyNumberFormat="1" applyFont="1"/>
    <xf numFmtId="0" fontId="11" fillId="0" borderId="0" xfId="0" applyFont="1" applyAlignment="1">
      <alignment horizontal="center"/>
    </xf>
    <xf numFmtId="164" fontId="0" fillId="0" borderId="0" xfId="0" applyNumberFormat="1" applyFill="1" applyAlignment="1"/>
    <xf numFmtId="0" fontId="11" fillId="0" borderId="0" xfId="0" applyFont="1" applyAlignment="1">
      <alignment horizontal="center"/>
    </xf>
    <xf numFmtId="0" fontId="11" fillId="0" borderId="0" xfId="0" applyFont="1" applyAlignment="1">
      <alignment horizontal="center"/>
    </xf>
    <xf numFmtId="0" fontId="10" fillId="0" borderId="0" xfId="0" applyFont="1" applyAlignment="1">
      <alignment horizontal="right"/>
    </xf>
    <xf numFmtId="0" fontId="10" fillId="0" borderId="0" xfId="0" applyFont="1" applyFill="1" applyAlignment="1">
      <alignment horizontal="left" indent="1"/>
    </xf>
    <xf numFmtId="0" fontId="10" fillId="0" borderId="0" xfId="0" applyFont="1"/>
    <xf numFmtId="0" fontId="10" fillId="0" borderId="0" xfId="0" applyFont="1" applyAlignment="1">
      <alignment horizontal="center"/>
    </xf>
    <xf numFmtId="0" fontId="10" fillId="0" borderId="0" xfId="0" applyFont="1" applyFill="1"/>
    <xf numFmtId="164" fontId="10" fillId="0" borderId="0" xfId="0" applyNumberFormat="1" applyFont="1" applyFill="1" applyBorder="1"/>
    <xf numFmtId="0" fontId="10" fillId="0" borderId="0" xfId="0" applyFont="1" applyAlignment="1">
      <alignment horizontal="left" indent="1"/>
    </xf>
    <xf numFmtId="180" fontId="10" fillId="34" borderId="0" xfId="35" applyNumberFormat="1" applyFont="1" applyFill="1" applyAlignment="1">
      <alignment horizontal="left"/>
    </xf>
    <xf numFmtId="180" fontId="10" fillId="0" borderId="0" xfId="35" applyNumberFormat="1" applyFont="1" applyFill="1" applyAlignment="1">
      <alignment horizontal="left"/>
    </xf>
    <xf numFmtId="164" fontId="10" fillId="0" borderId="0" xfId="0" applyNumberFormat="1" applyFont="1"/>
    <xf numFmtId="180" fontId="10" fillId="0" borderId="0" xfId="35" applyNumberFormat="1" applyFont="1" applyFill="1" applyAlignment="1">
      <alignment horizontal="right"/>
    </xf>
    <xf numFmtId="0" fontId="10" fillId="0" borderId="0" xfId="0" quotePrefix="1" applyFont="1" applyAlignment="1">
      <alignment horizontal="center"/>
    </xf>
    <xf numFmtId="0" fontId="10" fillId="36" borderId="0" xfId="0" applyFont="1" applyFill="1"/>
    <xf numFmtId="0" fontId="10" fillId="0" borderId="0" xfId="28" applyFont="1" applyFill="1"/>
    <xf numFmtId="10" fontId="0" fillId="0" borderId="0" xfId="37" applyNumberFormat="1" applyFont="1"/>
    <xf numFmtId="0" fontId="10" fillId="0" borderId="0" xfId="28" applyFont="1"/>
    <xf numFmtId="164" fontId="10" fillId="36" borderId="0" xfId="22" applyNumberFormat="1" applyFont="1" applyFill="1" applyBorder="1"/>
    <xf numFmtId="164" fontId="10" fillId="0" borderId="0" xfId="0" applyNumberFormat="1" applyFont="1" applyFill="1"/>
    <xf numFmtId="164" fontId="10" fillId="34" borderId="0" xfId="0" applyNumberFormat="1" applyFont="1" applyFill="1"/>
    <xf numFmtId="164" fontId="10" fillId="0" borderId="14" xfId="0" applyNumberFormat="1" applyFont="1" applyFill="1" applyBorder="1"/>
    <xf numFmtId="164" fontId="10" fillId="0" borderId="8" xfId="0" applyNumberFormat="1" applyFont="1" applyFill="1" applyBorder="1"/>
    <xf numFmtId="3" fontId="10" fillId="0" borderId="0" xfId="0" applyNumberFormat="1" applyFont="1" applyFill="1"/>
    <xf numFmtId="0" fontId="10" fillId="0" borderId="0" xfId="0" quotePrefix="1" applyFont="1"/>
    <xf numFmtId="17" fontId="10" fillId="0" borderId="0" xfId="0" quotePrefix="1" applyNumberFormat="1" applyFont="1" applyAlignment="1">
      <alignment horizontal="center"/>
    </xf>
    <xf numFmtId="0" fontId="10" fillId="0" borderId="0" xfId="0" applyFont="1" applyAlignment="1">
      <alignment wrapText="1"/>
    </xf>
    <xf numFmtId="0" fontId="0" fillId="0" borderId="0" xfId="0" applyAlignment="1">
      <alignment horizontal="center"/>
    </xf>
    <xf numFmtId="0" fontId="11" fillId="0" borderId="0" xfId="0" applyFont="1" applyAlignment="1">
      <alignment horizontal="center"/>
    </xf>
    <xf numFmtId="0" fontId="11" fillId="0" borderId="0" xfId="0" applyFont="1" applyAlignment="1">
      <alignment horizontal="center"/>
    </xf>
    <xf numFmtId="0" fontId="11" fillId="0" borderId="0" xfId="0" applyFont="1" applyAlignment="1">
      <alignment horizontal="center"/>
    </xf>
    <xf numFmtId="0" fontId="10" fillId="0" borderId="0" xfId="0" applyFont="1" applyAlignment="1">
      <alignment horizontal="right" indent="1"/>
    </xf>
    <xf numFmtId="0" fontId="10" fillId="0" borderId="0" xfId="0" applyFont="1" applyAlignment="1">
      <alignment horizontal="left" indent="2"/>
    </xf>
    <xf numFmtId="0" fontId="10" fillId="0" borderId="0" xfId="28" applyNumberFormat="1" applyFont="1" applyFill="1" applyBorder="1" applyAlignment="1">
      <alignment horizontal="left" indent="1"/>
    </xf>
    <xf numFmtId="37" fontId="10" fillId="36" borderId="3" xfId="22" quotePrefix="1" applyNumberFormat="1" applyFont="1" applyFill="1" applyBorder="1" applyAlignment="1">
      <alignment horizontal="center"/>
    </xf>
    <xf numFmtId="0" fontId="11" fillId="0" borderId="0" xfId="0" applyFont="1" applyAlignment="1">
      <alignment horizontal="center"/>
    </xf>
    <xf numFmtId="0" fontId="10" fillId="0" borderId="0" xfId="0" quotePrefix="1" applyFont="1" applyAlignment="1">
      <alignment horizontal="center" vertical="justify"/>
    </xf>
    <xf numFmtId="10" fontId="17" fillId="0" borderId="0" xfId="0" applyNumberFormat="1" applyFont="1"/>
    <xf numFmtId="0" fontId="11" fillId="0" borderId="0" xfId="0" applyFont="1" applyAlignment="1">
      <alignment horizontal="center"/>
    </xf>
    <xf numFmtId="166" fontId="10" fillId="0" borderId="0" xfId="0" applyNumberFormat="1" applyFont="1" applyAlignment="1">
      <alignment horizontal="left" indent="1"/>
    </xf>
    <xf numFmtId="166" fontId="14" fillId="0" borderId="0" xfId="0" applyNumberFormat="1" applyFont="1" applyAlignment="1">
      <alignment horizontal="center"/>
    </xf>
    <xf numFmtId="0" fontId="11" fillId="0" borderId="0" xfId="0" applyFont="1" applyAlignment="1">
      <alignment horizontal="center"/>
    </xf>
    <xf numFmtId="0" fontId="10" fillId="0" borderId="0" xfId="28" applyNumberFormat="1" applyFont="1" applyFill="1" applyBorder="1" applyAlignment="1">
      <alignment horizontal="left"/>
    </xf>
    <xf numFmtId="164" fontId="10" fillId="36" borderId="0" xfId="0" applyNumberFormat="1" applyFont="1" applyFill="1"/>
    <xf numFmtId="0" fontId="10" fillId="0" borderId="0" xfId="28" applyFont="1" applyBorder="1" applyAlignment="1">
      <alignment horizontal="left"/>
    </xf>
    <xf numFmtId="0" fontId="10" fillId="0" borderId="0" xfId="28" quotePrefix="1" applyNumberFormat="1" applyFont="1" applyFill="1" applyBorder="1" applyAlignment="1">
      <alignment horizontal="left"/>
    </xf>
    <xf numFmtId="0" fontId="10" fillId="0" borderId="0" xfId="28" applyNumberFormat="1" applyFont="1" applyFill="1" applyBorder="1" applyAlignment="1">
      <alignment horizontal="right"/>
    </xf>
    <xf numFmtId="164" fontId="10" fillId="0" borderId="0" xfId="20" applyNumberFormat="1" applyFont="1" applyFill="1" applyBorder="1" applyAlignment="1">
      <alignment horizontal="right"/>
    </xf>
    <xf numFmtId="167" fontId="10" fillId="0" borderId="0" xfId="28" quotePrefix="1" applyNumberFormat="1" applyFont="1" applyFill="1" applyBorder="1" applyAlignment="1">
      <alignment horizontal="left" indent="1"/>
    </xf>
    <xf numFmtId="167" fontId="10" fillId="0" borderId="0" xfId="28" applyNumberFormat="1" applyFont="1" applyFill="1" applyBorder="1" applyAlignment="1">
      <alignment horizontal="left" indent="1"/>
    </xf>
    <xf numFmtId="0" fontId="10" fillId="0" borderId="0" xfId="28" applyFont="1" applyBorder="1" applyAlignment="1"/>
    <xf numFmtId="167" fontId="10" fillId="0" borderId="0" xfId="20" applyNumberFormat="1" applyFont="1" applyFill="1" applyBorder="1" applyAlignment="1">
      <alignment horizontal="right"/>
    </xf>
    <xf numFmtId="167" fontId="10" fillId="0" borderId="0" xfId="28" applyNumberFormat="1" applyFont="1" applyFill="1" applyBorder="1" applyAlignment="1">
      <alignment horizontal="right"/>
    </xf>
    <xf numFmtId="0" fontId="10" fillId="0" borderId="0" xfId="28" applyFont="1" applyBorder="1"/>
    <xf numFmtId="3" fontId="10" fillId="0" borderId="0" xfId="28" applyNumberFormat="1" applyFont="1" applyFill="1" applyBorder="1" applyAlignment="1">
      <alignment horizontal="left" indent="1"/>
    </xf>
    <xf numFmtId="1" fontId="10" fillId="0" borderId="0" xfId="28" applyNumberFormat="1" applyFont="1" applyFill="1" applyBorder="1" applyAlignment="1">
      <alignment horizontal="center"/>
    </xf>
    <xf numFmtId="3" fontId="10" fillId="0" borderId="0" xfId="28" applyNumberFormat="1" applyFont="1" applyFill="1" applyBorder="1" applyAlignment="1"/>
    <xf numFmtId="37" fontId="10" fillId="0" borderId="0" xfId="36" applyNumberFormat="1" applyFont="1" applyFill="1" applyAlignment="1">
      <alignment horizontal="left" indent="1"/>
    </xf>
    <xf numFmtId="0" fontId="10" fillId="0" borderId="0" xfId="28" applyFont="1" applyBorder="1" applyAlignment="1">
      <alignment horizontal="right"/>
    </xf>
    <xf numFmtId="10" fontId="10" fillId="0" borderId="0" xfId="0" applyNumberFormat="1" applyFont="1" applyFill="1"/>
    <xf numFmtId="0" fontId="10" fillId="36" borderId="0" xfId="34" applyFont="1" applyFill="1"/>
    <xf numFmtId="0" fontId="10" fillId="0" borderId="0" xfId="0" quotePrefix="1" applyFont="1" applyAlignment="1"/>
    <xf numFmtId="165" fontId="10" fillId="0" borderId="0" xfId="20" applyNumberFormat="1" applyFont="1" applyFill="1" applyBorder="1" applyAlignment="1">
      <alignment horizontal="right"/>
    </xf>
    <xf numFmtId="0" fontId="46" fillId="0" borderId="0" xfId="0" applyFont="1" applyFill="1"/>
    <xf numFmtId="0" fontId="13" fillId="0" borderId="0" xfId="28" applyFont="1" applyFill="1" applyBorder="1" applyAlignment="1"/>
    <xf numFmtId="0" fontId="11" fillId="0" borderId="0" xfId="0" applyFont="1" applyAlignment="1">
      <alignment horizontal="center"/>
    </xf>
    <xf numFmtId="0" fontId="11" fillId="0" borderId="0" xfId="28" applyFont="1" applyBorder="1" applyAlignment="1">
      <alignment horizontal="left"/>
    </xf>
    <xf numFmtId="1" fontId="10" fillId="0" borderId="0" xfId="28" quotePrefix="1" applyNumberFormat="1" applyFont="1" applyFill="1" applyBorder="1" applyAlignment="1">
      <alignment horizontal="right"/>
    </xf>
    <xf numFmtId="164" fontId="10" fillId="0" borderId="0" xfId="0" applyNumberFormat="1" applyFont="1" applyFill="1" applyAlignment="1">
      <alignment horizontal="right"/>
    </xf>
    <xf numFmtId="164" fontId="11" fillId="0" borderId="0" xfId="0" applyNumberFormat="1" applyFont="1" applyFill="1" applyAlignment="1">
      <alignment horizontal="right"/>
    </xf>
    <xf numFmtId="0" fontId="10" fillId="36" borderId="0" xfId="28" applyFont="1" applyFill="1" applyBorder="1" applyAlignment="1">
      <alignment horizontal="center"/>
    </xf>
    <xf numFmtId="164" fontId="10" fillId="36" borderId="0" xfId="0" applyNumberFormat="1" applyFont="1" applyFill="1" applyAlignment="1">
      <alignment horizontal="right"/>
    </xf>
    <xf numFmtId="1" fontId="10" fillId="36" borderId="0" xfId="28" applyNumberFormat="1" applyFont="1" applyFill="1" applyBorder="1" applyAlignment="1">
      <alignment horizontal="center"/>
    </xf>
    <xf numFmtId="0" fontId="10" fillId="36" borderId="0" xfId="0" applyFont="1" applyFill="1" applyAlignment="1">
      <alignment horizontal="left" indent="1"/>
    </xf>
    <xf numFmtId="0" fontId="10" fillId="36" borderId="0" xfId="0" applyFont="1" applyFill="1" applyAlignment="1">
      <alignment horizontal="left"/>
    </xf>
    <xf numFmtId="0" fontId="10" fillId="36" borderId="0" xfId="0" applyFont="1" applyFill="1" applyAlignment="1">
      <alignment horizontal="left" vertical="center"/>
    </xf>
    <xf numFmtId="0" fontId="10" fillId="36" borderId="0" xfId="0" quotePrefix="1" applyFont="1" applyFill="1"/>
    <xf numFmtId="164" fontId="10" fillId="0" borderId="0" xfId="0" applyNumberFormat="1" applyFont="1" applyFill="1" applyAlignment="1">
      <alignment horizontal="left" indent="1"/>
    </xf>
    <xf numFmtId="0" fontId="0" fillId="0" borderId="0" xfId="0" applyFill="1" applyBorder="1"/>
    <xf numFmtId="0" fontId="52" fillId="0" borderId="0" xfId="0" applyFont="1"/>
    <xf numFmtId="37" fontId="44" fillId="0" borderId="0" xfId="0" applyNumberFormat="1" applyFont="1" applyFill="1"/>
    <xf numFmtId="165" fontId="44" fillId="0" borderId="0" xfId="0" applyNumberFormat="1" applyFont="1" applyFill="1"/>
    <xf numFmtId="165" fontId="44" fillId="0" borderId="0" xfId="0" applyNumberFormat="1" applyFont="1" applyFill="1" applyAlignment="1">
      <alignment horizontal="left" indent="1"/>
    </xf>
    <xf numFmtId="164" fontId="46" fillId="0" borderId="0" xfId="0" applyNumberFormat="1" applyFont="1" applyFill="1"/>
    <xf numFmtId="39" fontId="44" fillId="0" borderId="0" xfId="0" applyNumberFormat="1" applyFont="1" applyAlignment="1">
      <alignment horizontal="left" indent="1"/>
    </xf>
    <xf numFmtId="39" fontId="44" fillId="0" borderId="0" xfId="0" applyNumberFormat="1" applyFont="1"/>
    <xf numFmtId="170" fontId="10" fillId="36" borderId="0" xfId="0" applyNumberFormat="1" applyFont="1" applyFill="1" applyAlignment="1">
      <alignment horizontal="center"/>
    </xf>
    <xf numFmtId="0" fontId="10" fillId="36" borderId="0" xfId="0" quotePrefix="1" applyFont="1" applyFill="1" applyAlignment="1">
      <alignment horizontal="center"/>
    </xf>
    <xf numFmtId="0" fontId="10" fillId="0" borderId="0" xfId="0" quotePrefix="1" applyFont="1" applyFill="1" applyAlignment="1">
      <alignment horizontal="center"/>
    </xf>
    <xf numFmtId="170" fontId="10" fillId="36" borderId="0" xfId="0" applyNumberFormat="1" applyFont="1" applyFill="1" applyBorder="1" applyAlignment="1" applyProtection="1">
      <alignment horizontal="center"/>
    </xf>
    <xf numFmtId="0" fontId="10" fillId="36" borderId="0" xfId="0" applyFont="1" applyFill="1" applyBorder="1" applyProtection="1"/>
    <xf numFmtId="164" fontId="10" fillId="36" borderId="0" xfId="0" applyNumberFormat="1" applyFont="1" applyFill="1" applyBorder="1" applyProtection="1"/>
    <xf numFmtId="0" fontId="10" fillId="36" borderId="0" xfId="0" applyFont="1" applyFill="1" applyBorder="1"/>
    <xf numFmtId="0" fontId="10" fillId="36" borderId="0" xfId="0" quotePrefix="1" applyFont="1" applyFill="1" applyBorder="1" applyProtection="1"/>
    <xf numFmtId="170" fontId="10" fillId="0" borderId="0" xfId="0" applyNumberFormat="1" applyFont="1" applyFill="1" applyBorder="1" applyAlignment="1" applyProtection="1">
      <alignment horizontal="center"/>
    </xf>
    <xf numFmtId="0" fontId="10" fillId="0" borderId="0" xfId="0" applyFont="1" applyFill="1" applyBorder="1" applyProtection="1"/>
    <xf numFmtId="164" fontId="10" fillId="0" borderId="0" xfId="0" applyNumberFormat="1" applyFont="1" applyFill="1" applyBorder="1" applyProtection="1"/>
    <xf numFmtId="0" fontId="10" fillId="36" borderId="0" xfId="0" quotePrefix="1" applyFont="1" applyFill="1" applyBorder="1"/>
    <xf numFmtId="164" fontId="10" fillId="36" borderId="0" xfId="0" applyNumberFormat="1" applyFont="1" applyFill="1" applyBorder="1"/>
    <xf numFmtId="0" fontId="10" fillId="0" borderId="0" xfId="0" quotePrefix="1" applyFont="1" applyFill="1" applyBorder="1"/>
    <xf numFmtId="0" fontId="10" fillId="0" borderId="0" xfId="0" applyFont="1" applyFill="1" applyBorder="1"/>
    <xf numFmtId="170" fontId="10" fillId="36" borderId="0" xfId="0" quotePrefix="1" applyNumberFormat="1" applyFont="1" applyFill="1" applyBorder="1" applyAlignment="1" applyProtection="1">
      <alignment horizontal="center"/>
    </xf>
    <xf numFmtId="0" fontId="11" fillId="0" borderId="0" xfId="0" applyFont="1" applyAlignment="1">
      <alignment horizontal="center"/>
    </xf>
    <xf numFmtId="0" fontId="10" fillId="0" borderId="0" xfId="0" applyFont="1" applyAlignment="1">
      <alignment horizontal="left"/>
    </xf>
    <xf numFmtId="164" fontId="17" fillId="0" borderId="0" xfId="28" applyNumberFormat="1" applyFont="1" applyFill="1"/>
    <xf numFmtId="0" fontId="11" fillId="0" borderId="0" xfId="0" applyFont="1" applyAlignment="1">
      <alignment horizontal="center"/>
    </xf>
    <xf numFmtId="0" fontId="11" fillId="0" borderId="0" xfId="0" applyFont="1" applyFill="1" applyBorder="1" applyAlignment="1">
      <alignment horizontal="center"/>
    </xf>
    <xf numFmtId="37" fontId="10" fillId="0" borderId="0" xfId="0" applyNumberFormat="1" applyFont="1" applyFill="1" applyAlignment="1">
      <alignment horizontal="left" indent="1"/>
    </xf>
    <xf numFmtId="39" fontId="10" fillId="0" borderId="0" xfId="0" applyNumberFormat="1" applyFont="1" applyAlignment="1">
      <alignment horizontal="left" indent="1"/>
    </xf>
    <xf numFmtId="0" fontId="54" fillId="0" borderId="0" xfId="0" applyFont="1"/>
    <xf numFmtId="0" fontId="11" fillId="0" borderId="0" xfId="0" applyFont="1" applyAlignment="1">
      <alignment horizontal="center"/>
    </xf>
    <xf numFmtId="0" fontId="11" fillId="0" borderId="0" xfId="0" applyFont="1" applyAlignment="1">
      <alignment horizontal="center"/>
    </xf>
    <xf numFmtId="0" fontId="15" fillId="0" borderId="0" xfId="0" applyFont="1" applyFill="1"/>
    <xf numFmtId="0" fontId="16" fillId="0" borderId="0" xfId="0" applyFont="1" applyFill="1"/>
    <xf numFmtId="0" fontId="14" fillId="0" borderId="0" xfId="0" applyFont="1" applyFill="1" applyAlignment="1">
      <alignment horizontal="left"/>
    </xf>
    <xf numFmtId="17" fontId="10" fillId="0" borderId="0" xfId="0" quotePrefix="1" applyNumberFormat="1" applyFont="1" applyFill="1" applyAlignment="1">
      <alignment horizontal="center"/>
    </xf>
    <xf numFmtId="0" fontId="54" fillId="0" borderId="0" xfId="0" applyFont="1" applyFill="1" applyAlignment="1">
      <alignment horizontal="center"/>
    </xf>
    <xf numFmtId="0" fontId="10" fillId="0" borderId="0" xfId="0" applyFont="1" applyBorder="1"/>
    <xf numFmtId="0" fontId="10" fillId="0" borderId="0" xfId="0" applyFont="1" applyAlignment="1"/>
    <xf numFmtId="0" fontId="11" fillId="0" borderId="0" xfId="0" applyFont="1" applyAlignment="1">
      <alignment horizontal="center"/>
    </xf>
    <xf numFmtId="0" fontId="10" fillId="0" borderId="0" xfId="0" quotePrefix="1" applyFont="1" applyAlignment="1">
      <alignment horizontal="left" indent="1"/>
    </xf>
    <xf numFmtId="0" fontId="10" fillId="0" borderId="0" xfId="28" quotePrefix="1" applyFont="1" applyFill="1" applyAlignment="1">
      <alignment horizontal="center" vertical="center"/>
    </xf>
    <xf numFmtId="0" fontId="10" fillId="0" borderId="0" xfId="28" quotePrefix="1" applyFont="1" applyFill="1" applyAlignment="1">
      <alignment horizontal="center"/>
    </xf>
    <xf numFmtId="0" fontId="10" fillId="0" borderId="0" xfId="28" quotePrefix="1" applyFont="1" applyBorder="1" applyAlignment="1">
      <alignment horizontal="center"/>
    </xf>
    <xf numFmtId="0" fontId="10" fillId="0" borderId="3" xfId="0" applyFont="1" applyBorder="1" applyAlignment="1">
      <alignment horizontal="center"/>
    </xf>
    <xf numFmtId="0" fontId="10" fillId="0" borderId="3" xfId="0" applyFont="1" applyFill="1" applyBorder="1" applyAlignment="1">
      <alignment horizontal="center"/>
    </xf>
    <xf numFmtId="0" fontId="10" fillId="0" borderId="3" xfId="0" applyFont="1" applyFill="1" applyBorder="1"/>
    <xf numFmtId="37" fontId="10" fillId="0" borderId="3" xfId="22" quotePrefix="1" applyNumberFormat="1" applyFont="1" applyFill="1" applyBorder="1" applyAlignment="1">
      <alignment horizontal="center"/>
    </xf>
    <xf numFmtId="39" fontId="10" fillId="0" borderId="3" xfId="22" applyNumberFormat="1" applyFont="1" applyFill="1" applyBorder="1" applyAlignment="1">
      <alignment horizontal="center"/>
    </xf>
    <xf numFmtId="0" fontId="10" fillId="0" borderId="0" xfId="0" applyFont="1" applyFill="1" applyBorder="1" applyAlignment="1">
      <alignment vertical="top"/>
    </xf>
    <xf numFmtId="0" fontId="11" fillId="0" borderId="0" xfId="0" applyFont="1" applyAlignment="1">
      <alignment horizontal="center"/>
    </xf>
    <xf numFmtId="168" fontId="10" fillId="36" borderId="0" xfId="0" applyNumberFormat="1" applyFont="1" applyFill="1" applyAlignment="1">
      <alignment horizontal="left"/>
    </xf>
    <xf numFmtId="182" fontId="0" fillId="36" borderId="0" xfId="0" applyNumberFormat="1" applyFill="1" applyAlignment="1">
      <alignment horizontal="center"/>
    </xf>
    <xf numFmtId="17" fontId="0" fillId="36" borderId="0" xfId="0" quotePrefix="1" applyNumberFormat="1" applyFill="1" applyAlignment="1">
      <alignment horizontal="center"/>
    </xf>
    <xf numFmtId="182" fontId="0" fillId="36" borderId="0" xfId="0" quotePrefix="1" applyNumberFormat="1" applyFill="1" applyAlignment="1">
      <alignment horizontal="center"/>
    </xf>
    <xf numFmtId="37" fontId="44" fillId="36" borderId="0" xfId="81" applyNumberFormat="1" applyFont="1" applyFill="1" applyAlignment="1">
      <alignment horizontal="right"/>
    </xf>
    <xf numFmtId="37" fontId="44" fillId="36" borderId="0" xfId="82" applyNumberFormat="1" applyFont="1" applyFill="1" applyAlignment="1">
      <alignment horizontal="right"/>
    </xf>
    <xf numFmtId="0" fontId="11" fillId="0" borderId="8" xfId="0" applyFont="1" applyBorder="1"/>
    <xf numFmtId="0" fontId="11" fillId="0" borderId="0" xfId="0" applyFont="1" applyAlignment="1">
      <alignment horizontal="center"/>
    </xf>
    <xf numFmtId="6" fontId="0" fillId="0" borderId="0" xfId="0" applyNumberFormat="1"/>
    <xf numFmtId="0" fontId="10" fillId="0" borderId="8" xfId="0" applyFont="1" applyBorder="1"/>
    <xf numFmtId="0" fontId="11" fillId="0" borderId="0" xfId="0" applyFont="1" applyAlignment="1">
      <alignment horizontal="center"/>
    </xf>
    <xf numFmtId="0" fontId="11" fillId="0" borderId="0" xfId="0" applyFont="1" applyAlignment="1">
      <alignment horizontal="center"/>
    </xf>
    <xf numFmtId="183" fontId="0" fillId="0" borderId="0" xfId="0" applyNumberFormat="1"/>
    <xf numFmtId="0" fontId="11" fillId="0" borderId="0" xfId="0" quotePrefix="1" applyFont="1" applyFill="1" applyAlignment="1">
      <alignment horizontal="right"/>
    </xf>
    <xf numFmtId="0" fontId="10" fillId="0" borderId="0" xfId="0" quotePrefix="1" applyFont="1" applyAlignment="1">
      <alignment horizontal="center" vertical="center"/>
    </xf>
    <xf numFmtId="0" fontId="11" fillId="0" borderId="0" xfId="108" applyFont="1"/>
    <xf numFmtId="0" fontId="10" fillId="0" borderId="0" xfId="108"/>
    <xf numFmtId="0" fontId="14" fillId="0" borderId="0" xfId="108" applyFont="1"/>
    <xf numFmtId="0" fontId="11" fillId="0" borderId="0" xfId="108" applyFont="1" applyAlignment="1">
      <alignment horizontal="center"/>
    </xf>
    <xf numFmtId="0" fontId="10" fillId="0" borderId="0" xfId="108" applyFont="1"/>
    <xf numFmtId="0" fontId="14" fillId="0" borderId="0" xfId="108" applyFont="1" applyAlignment="1">
      <alignment horizontal="center"/>
    </xf>
    <xf numFmtId="0" fontId="14" fillId="0" borderId="0" xfId="108" applyFont="1" applyAlignment="1">
      <alignment horizontal="left"/>
    </xf>
    <xf numFmtId="164" fontId="10" fillId="0" borderId="0" xfId="108" applyNumberFormat="1" applyFill="1"/>
    <xf numFmtId="0" fontId="10" fillId="36" borderId="0" xfId="108" applyFont="1" applyFill="1"/>
    <xf numFmtId="164" fontId="10" fillId="36" borderId="0" xfId="108" applyNumberFormat="1" applyFill="1"/>
    <xf numFmtId="164" fontId="17" fillId="36" borderId="0" xfId="108" applyNumberFormat="1" applyFont="1" applyFill="1"/>
    <xf numFmtId="164" fontId="10" fillId="0" borderId="0" xfId="108" applyNumberFormat="1"/>
    <xf numFmtId="0" fontId="10" fillId="0" borderId="0" xfId="108" applyFont="1" applyFill="1"/>
    <xf numFmtId="0" fontId="10" fillId="0" borderId="0" xfId="28" applyNumberFormat="1" applyFont="1" applyFill="1" applyBorder="1" applyAlignment="1">
      <alignment horizontal="left" indent="2"/>
    </xf>
    <xf numFmtId="3" fontId="21" fillId="0" borderId="0" xfId="34" applyNumberFormat="1" applyFont="1" applyBorder="1"/>
    <xf numFmtId="3" fontId="44" fillId="0" borderId="0" xfId="0" applyNumberFormat="1" applyFont="1" applyFill="1" applyAlignment="1">
      <alignment horizontal="right"/>
    </xf>
    <xf numFmtId="0" fontId="10" fillId="36" borderId="0" xfId="0" applyFont="1" applyFill="1" applyAlignment="1"/>
    <xf numFmtId="39" fontId="13" fillId="36" borderId="0" xfId="22" applyNumberFormat="1" applyFont="1" applyFill="1" applyBorder="1" applyAlignment="1">
      <alignment horizontal="center"/>
    </xf>
    <xf numFmtId="0" fontId="10" fillId="36" borderId="0" xfId="28" quotePrefix="1" applyNumberFormat="1" applyFont="1" applyFill="1" applyBorder="1" applyAlignment="1">
      <alignment horizontal="left"/>
    </xf>
    <xf numFmtId="0" fontId="10" fillId="36" borderId="0" xfId="28" quotePrefix="1" applyFont="1" applyFill="1" applyBorder="1" applyAlignment="1">
      <alignment horizontal="left"/>
    </xf>
    <xf numFmtId="10" fontId="10" fillId="36" borderId="0" xfId="0" applyNumberFormat="1" applyFont="1" applyFill="1"/>
    <xf numFmtId="10" fontId="0" fillId="0" borderId="0" xfId="0" applyNumberFormat="1" applyFill="1" applyAlignment="1">
      <alignment horizontal="center"/>
    </xf>
    <xf numFmtId="0" fontId="19" fillId="0" borderId="0" xfId="27" applyAlignment="1" applyProtection="1"/>
    <xf numFmtId="164" fontId="0" fillId="36" borderId="0" xfId="0" applyNumberFormat="1" applyFill="1" applyAlignment="1">
      <alignment horizontal="right"/>
    </xf>
    <xf numFmtId="0" fontId="10" fillId="0" borderId="0" xfId="0" quotePrefix="1" applyFont="1" applyFill="1"/>
    <xf numFmtId="0" fontId="10" fillId="36" borderId="0" xfId="0" applyFont="1" applyFill="1" applyAlignment="1">
      <alignment horizontal="right"/>
    </xf>
    <xf numFmtId="171" fontId="0" fillId="36" borderId="0" xfId="0" applyNumberFormat="1" applyFill="1"/>
    <xf numFmtId="167" fontId="10" fillId="0" borderId="0" xfId="28" applyNumberFormat="1" applyFont="1" applyBorder="1"/>
    <xf numFmtId="15" fontId="10" fillId="36" borderId="0" xfId="0" quotePrefix="1" applyNumberFormat="1" applyFont="1" applyFill="1" applyAlignment="1">
      <alignment horizontal="center"/>
    </xf>
    <xf numFmtId="0" fontId="59" fillId="0" borderId="0" xfId="0" applyFont="1"/>
    <xf numFmtId="0" fontId="10" fillId="0" borderId="0" xfId="28" applyFont="1" applyFill="1" applyBorder="1" applyAlignment="1" applyProtection="1">
      <alignment horizontal="left" indent="1"/>
      <protection locked="0"/>
    </xf>
    <xf numFmtId="0" fontId="10" fillId="0" borderId="0" xfId="100" applyFill="1"/>
    <xf numFmtId="0" fontId="10" fillId="36" borderId="0" xfId="108" applyFill="1"/>
    <xf numFmtId="0" fontId="10" fillId="0" borderId="0" xfId="100" applyFont="1" applyAlignment="1">
      <alignment horizontal="left" indent="1"/>
    </xf>
    <xf numFmtId="164" fontId="10" fillId="0" borderId="0" xfId="100" applyNumberFormat="1"/>
    <xf numFmtId="164" fontId="43" fillId="0" borderId="0" xfId="100" applyNumberFormat="1" applyFont="1" applyFill="1"/>
    <xf numFmtId="0" fontId="11" fillId="0" borderId="0" xfId="100" applyFont="1"/>
    <xf numFmtId="0" fontId="10" fillId="0" borderId="0" xfId="100" applyFont="1"/>
    <xf numFmtId="0" fontId="11" fillId="0" borderId="0" xfId="100" applyFont="1" applyAlignment="1">
      <alignment horizontal="left" indent="1"/>
    </xf>
    <xf numFmtId="0" fontId="53" fillId="0" borderId="0" xfId="100" applyFont="1" applyBorder="1" applyAlignment="1">
      <alignment horizontal="left"/>
    </xf>
    <xf numFmtId="0" fontId="11" fillId="0" borderId="0" xfId="100" applyFont="1" applyBorder="1" applyAlignment="1">
      <alignment horizontal="center"/>
    </xf>
    <xf numFmtId="0" fontId="10" fillId="0" borderId="0" xfId="100" applyFont="1" applyBorder="1" applyAlignment="1">
      <alignment horizontal="right"/>
    </xf>
    <xf numFmtId="164" fontId="10" fillId="0" borderId="0" xfId="100" applyNumberFormat="1" applyFont="1" applyBorder="1" applyAlignment="1">
      <alignment horizontal="right"/>
    </xf>
    <xf numFmtId="0" fontId="11" fillId="0" borderId="0" xfId="100" applyFont="1" applyBorder="1" applyAlignment="1">
      <alignment horizontal="right"/>
    </xf>
    <xf numFmtId="0" fontId="11" fillId="0" borderId="8" xfId="100" applyFont="1" applyBorder="1" applyAlignment="1">
      <alignment horizontal="center"/>
    </xf>
    <xf numFmtId="170" fontId="10" fillId="36" borderId="0" xfId="100" applyNumberFormat="1" applyFont="1" applyFill="1" applyAlignment="1">
      <alignment horizontal="center"/>
    </xf>
    <xf numFmtId="0" fontId="10" fillId="36" borderId="0" xfId="100" applyFont="1" applyFill="1"/>
    <xf numFmtId="164" fontId="10" fillId="36" borderId="0" xfId="100" applyNumberFormat="1" applyFont="1" applyFill="1"/>
    <xf numFmtId="170" fontId="10" fillId="0" borderId="0" xfId="100" applyNumberFormat="1" applyFont="1" applyFill="1" applyAlignment="1">
      <alignment horizontal="center"/>
    </xf>
    <xf numFmtId="0" fontId="10" fillId="0" borderId="0" xfId="100" applyFont="1" applyFill="1"/>
    <xf numFmtId="164" fontId="10" fillId="0" borderId="0" xfId="100" applyNumberFormat="1" applyFont="1" applyFill="1"/>
    <xf numFmtId="170" fontId="10" fillId="36" borderId="0" xfId="100" applyNumberFormat="1" applyFont="1" applyFill="1" applyBorder="1" applyAlignment="1">
      <alignment horizontal="center"/>
    </xf>
    <xf numFmtId="170" fontId="10" fillId="36" borderId="0" xfId="100" quotePrefix="1" applyNumberFormat="1" applyFont="1" applyFill="1" applyAlignment="1">
      <alignment horizontal="center"/>
    </xf>
    <xf numFmtId="170" fontId="10" fillId="0" borderId="0" xfId="100" quotePrefix="1" applyNumberFormat="1" applyFont="1" applyFill="1" applyAlignment="1">
      <alignment horizontal="center"/>
    </xf>
    <xf numFmtId="164" fontId="10" fillId="0" borderId="0" xfId="100" applyNumberFormat="1" applyFont="1"/>
    <xf numFmtId="164" fontId="10" fillId="0" borderId="0" xfId="96" applyNumberFormat="1" applyFont="1" applyBorder="1"/>
    <xf numFmtId="164" fontId="10" fillId="0" borderId="0" xfId="96" applyNumberFormat="1" applyFont="1"/>
    <xf numFmtId="168" fontId="10" fillId="0" borderId="0" xfId="96" applyNumberFormat="1" applyFont="1" applyBorder="1"/>
    <xf numFmtId="164" fontId="10" fillId="0" borderId="14" xfId="96" applyNumberFormat="1" applyFont="1" applyBorder="1"/>
    <xf numFmtId="0" fontId="10" fillId="0" borderId="0" xfId="100" quotePrefix="1" applyFont="1" applyAlignment="1">
      <alignment horizontal="left" indent="1"/>
    </xf>
    <xf numFmtId="164" fontId="10" fillId="36" borderId="0" xfId="96" applyNumberFormat="1" applyFont="1" applyFill="1" applyBorder="1"/>
    <xf numFmtId="164" fontId="10" fillId="0" borderId="0" xfId="96" applyNumberFormat="1" applyFont="1" applyBorder="1" applyAlignment="1">
      <alignment horizontal="left" indent="1"/>
    </xf>
    <xf numFmtId="39" fontId="10" fillId="0" borderId="0" xfId="96" applyNumberFormat="1" applyFont="1" applyBorder="1"/>
    <xf numFmtId="37" fontId="10" fillId="0" borderId="0" xfId="96" applyNumberFormat="1" applyFont="1" applyBorder="1" applyAlignment="1">
      <alignment horizontal="center"/>
    </xf>
    <xf numFmtId="164" fontId="10" fillId="0" borderId="0" xfId="96" applyNumberFormat="1" applyFont="1" applyFill="1" applyBorder="1"/>
    <xf numFmtId="0" fontId="10" fillId="0" borderId="0" xfId="100" applyFont="1" applyBorder="1"/>
    <xf numFmtId="164" fontId="11" fillId="0" borderId="0" xfId="100" applyNumberFormat="1" applyFont="1" applyBorder="1" applyAlignment="1">
      <alignment horizontal="center"/>
    </xf>
    <xf numFmtId="164" fontId="11" fillId="0" borderId="8" xfId="100" applyNumberFormat="1" applyFont="1" applyBorder="1" applyAlignment="1">
      <alignment horizontal="center"/>
    </xf>
    <xf numFmtId="0" fontId="10" fillId="0" borderId="0" xfId="100" quotePrefix="1" applyFont="1"/>
    <xf numFmtId="10" fontId="10" fillId="0" borderId="0" xfId="96" applyNumberFormat="1" applyFont="1" applyBorder="1"/>
    <xf numFmtId="164" fontId="50" fillId="34" borderId="0" xfId="0" applyNumberFormat="1" applyFont="1" applyFill="1"/>
    <xf numFmtId="3" fontId="52" fillId="0" borderId="0" xfId="0" applyNumberFormat="1" applyFont="1"/>
    <xf numFmtId="164" fontId="50" fillId="36" borderId="0" xfId="0" applyNumberFormat="1" applyFont="1" applyFill="1"/>
    <xf numFmtId="164" fontId="61" fillId="36" borderId="0" xfId="0" applyNumberFormat="1" applyFont="1" applyFill="1"/>
    <xf numFmtId="0" fontId="52" fillId="0" borderId="0" xfId="0" applyFont="1" applyFill="1"/>
    <xf numFmtId="0" fontId="14" fillId="0" borderId="0" xfId="100" applyFont="1" applyBorder="1" applyAlignment="1">
      <alignment horizontal="center"/>
    </xf>
    <xf numFmtId="0" fontId="10" fillId="0" borderId="0" xfId="100" applyFont="1" applyBorder="1" applyAlignment="1">
      <alignment horizontal="left"/>
    </xf>
    <xf numFmtId="1" fontId="10" fillId="36" borderId="0" xfId="100" applyNumberFormat="1" applyFont="1" applyFill="1" applyBorder="1" applyAlignment="1">
      <alignment horizontal="center"/>
    </xf>
    <xf numFmtId="164" fontId="10" fillId="0" borderId="0" xfId="0" applyNumberFormat="1" applyFont="1" applyFill="1" applyAlignment="1">
      <alignment horizontal="center"/>
    </xf>
    <xf numFmtId="0" fontId="10" fillId="0" borderId="0" xfId="100" applyNumberFormat="1" applyFont="1" applyFill="1" applyBorder="1" applyAlignment="1">
      <alignment horizontal="left"/>
    </xf>
    <xf numFmtId="1" fontId="10" fillId="0" borderId="0" xfId="100" quotePrefix="1" applyNumberFormat="1" applyFont="1" applyFill="1" applyBorder="1" applyAlignment="1">
      <alignment horizontal="right"/>
    </xf>
    <xf numFmtId="164" fontId="10" fillId="36" borderId="0" xfId="0" quotePrefix="1" applyNumberFormat="1" applyFont="1" applyFill="1" applyAlignment="1">
      <alignment horizontal="center"/>
    </xf>
    <xf numFmtId="164" fontId="10" fillId="0" borderId="0" xfId="0" quotePrefix="1" applyNumberFormat="1" applyFont="1" applyFill="1" applyAlignment="1">
      <alignment horizontal="center"/>
    </xf>
    <xf numFmtId="0" fontId="11" fillId="0" borderId="0" xfId="100" applyFont="1" applyFill="1" applyBorder="1" applyAlignment="1">
      <alignment horizontal="left"/>
    </xf>
    <xf numFmtId="0" fontId="11" fillId="0" borderId="0" xfId="100" applyNumberFormat="1" applyFont="1" applyFill="1" applyBorder="1" applyAlignment="1">
      <alignment horizontal="left"/>
    </xf>
    <xf numFmtId="0" fontId="10" fillId="0" borderId="0" xfId="100"/>
    <xf numFmtId="0" fontId="10" fillId="36" borderId="0" xfId="100" applyFill="1"/>
    <xf numFmtId="0" fontId="14" fillId="0" borderId="0" xfId="100" quotePrefix="1" applyFont="1" applyAlignment="1">
      <alignment horizontal="center"/>
    </xf>
    <xf numFmtId="0" fontId="14" fillId="0" borderId="0" xfId="100" applyFont="1" applyAlignment="1">
      <alignment horizontal="center"/>
    </xf>
    <xf numFmtId="0" fontId="10" fillId="0" borderId="0" xfId="100" quotePrefix="1" applyFont="1" applyAlignment="1">
      <alignment horizontal="center"/>
    </xf>
    <xf numFmtId="0" fontId="10" fillId="0" borderId="0" xfId="100" quotePrefix="1" applyFont="1" applyFill="1" applyAlignment="1">
      <alignment horizontal="center"/>
    </xf>
    <xf numFmtId="0" fontId="10" fillId="0" borderId="0" xfId="100" applyAlignment="1">
      <alignment horizontal="center"/>
    </xf>
    <xf numFmtId="0" fontId="11" fillId="0" borderId="0" xfId="100" applyFont="1" applyAlignment="1">
      <alignment horizontal="center"/>
    </xf>
    <xf numFmtId="0" fontId="11" fillId="0" borderId="0" xfId="100" applyFont="1" applyFill="1" applyAlignment="1">
      <alignment horizontal="center"/>
    </xf>
    <xf numFmtId="0" fontId="14" fillId="0" borderId="0" xfId="100" applyFont="1"/>
    <xf numFmtId="0" fontId="14" fillId="0" borderId="0" xfId="100" applyFont="1" applyFill="1" applyAlignment="1">
      <alignment horizontal="center"/>
    </xf>
    <xf numFmtId="164" fontId="10" fillId="0" borderId="0" xfId="100" applyNumberFormat="1" applyFont="1" applyFill="1" applyAlignment="1"/>
    <xf numFmtId="10" fontId="10" fillId="0" borderId="0" xfId="37" applyNumberFormat="1" applyFont="1" applyFill="1" applyAlignment="1"/>
    <xf numFmtId="167" fontId="10" fillId="0" borderId="0" xfId="100" applyNumberFormat="1"/>
    <xf numFmtId="164" fontId="17" fillId="0" borderId="0" xfId="100" applyNumberFormat="1" applyFont="1"/>
    <xf numFmtId="0" fontId="10" fillId="0" borderId="0" xfId="100" applyFont="1" applyAlignment="1">
      <alignment horizontal="left"/>
    </xf>
    <xf numFmtId="0" fontId="10" fillId="0" borderId="0" xfId="100" applyFont="1" applyAlignment="1">
      <alignment horizontal="right" indent="1"/>
    </xf>
    <xf numFmtId="167" fontId="0" fillId="0" borderId="0" xfId="19" applyNumberFormat="1" applyFont="1"/>
    <xf numFmtId="164" fontId="10" fillId="0" borderId="0" xfId="100" applyNumberFormat="1" applyFont="1" applyFill="1" applyAlignment="1">
      <alignment horizontal="right"/>
    </xf>
    <xf numFmtId="164" fontId="10" fillId="36" borderId="0" xfId="100" applyNumberFormat="1" applyFont="1" applyFill="1" applyAlignment="1">
      <alignment horizontal="right"/>
    </xf>
    <xf numFmtId="0" fontId="10" fillId="0" borderId="0" xfId="100" applyAlignment="1">
      <alignment horizontal="left" indent="1"/>
    </xf>
    <xf numFmtId="10" fontId="0" fillId="0" borderId="0" xfId="37" applyNumberFormat="1" applyFont="1" applyAlignment="1">
      <alignment horizontal="center"/>
    </xf>
    <xf numFmtId="10" fontId="14" fillId="0" borderId="0" xfId="100" applyNumberFormat="1" applyFont="1" applyAlignment="1">
      <alignment horizontal="center"/>
    </xf>
    <xf numFmtId="0" fontId="10" fillId="0" borderId="0" xfId="100" applyNumberFormat="1"/>
    <xf numFmtId="10" fontId="10" fillId="0" borderId="0" xfId="37" applyNumberFormat="1" applyAlignment="1">
      <alignment horizontal="center"/>
    </xf>
    <xf numFmtId="0" fontId="11" fillId="0" borderId="0" xfId="100" applyFont="1" applyFill="1"/>
    <xf numFmtId="0" fontId="14" fillId="0" borderId="0" xfId="0" applyNumberFormat="1" applyFont="1" applyFill="1" applyAlignment="1">
      <alignment horizontal="center"/>
    </xf>
    <xf numFmtId="0" fontId="12" fillId="0" borderId="0" xfId="0" applyFont="1" applyAlignment="1">
      <alignment horizontal="center"/>
    </xf>
    <xf numFmtId="0" fontId="11" fillId="0" borderId="0" xfId="0" applyNumberFormat="1" applyFont="1" applyFill="1" applyAlignment="1">
      <alignment horizontal="center"/>
    </xf>
    <xf numFmtId="0" fontId="11" fillId="0" borderId="0" xfId="0" applyNumberFormat="1" applyFont="1" applyFill="1" applyAlignment="1">
      <alignment horizontal="center" wrapText="1"/>
    </xf>
    <xf numFmtId="164" fontId="11" fillId="0" borderId="0" xfId="0" applyNumberFormat="1" applyFont="1" applyFill="1" applyAlignment="1">
      <alignment horizontal="right" indent="1"/>
    </xf>
    <xf numFmtId="0" fontId="0" fillId="0" borderId="0" xfId="0" applyNumberFormat="1" applyFill="1"/>
    <xf numFmtId="0" fontId="11" fillId="0" borderId="0" xfId="0" applyNumberFormat="1" applyFont="1" applyFill="1" applyAlignment="1">
      <alignment horizontal="left" indent="2"/>
    </xf>
    <xf numFmtId="0" fontId="14" fillId="0" borderId="0" xfId="0" quotePrefix="1" applyNumberFormat="1" applyFont="1" applyFill="1" applyAlignment="1">
      <alignment horizontal="center"/>
    </xf>
    <xf numFmtId="0" fontId="10" fillId="0" borderId="0" xfId="0" quotePrefix="1" applyNumberFormat="1" applyFont="1" applyFill="1" applyAlignment="1">
      <alignment horizontal="center" wrapText="1"/>
    </xf>
    <xf numFmtId="0" fontId="10" fillId="0" borderId="0" xfId="0" quotePrefix="1" applyNumberFormat="1" applyFont="1" applyFill="1" applyAlignment="1">
      <alignment horizontal="center"/>
    </xf>
    <xf numFmtId="0" fontId="12" fillId="0" borderId="0" xfId="0" quotePrefix="1" applyNumberFormat="1" applyFont="1" applyFill="1" applyAlignment="1">
      <alignment horizontal="center"/>
    </xf>
    <xf numFmtId="0" fontId="10" fillId="0" borderId="0" xfId="0" applyNumberFormat="1" applyFont="1" applyFill="1" applyAlignment="1"/>
    <xf numFmtId="0" fontId="0" fillId="0" borderId="0" xfId="0" applyNumberFormat="1" applyFill="1" applyAlignment="1">
      <alignment horizontal="left"/>
    </xf>
    <xf numFmtId="0" fontId="10" fillId="0" borderId="0" xfId="100" applyNumberFormat="1" applyFont="1" applyFill="1" applyBorder="1" applyAlignment="1">
      <alignment horizontal="center"/>
    </xf>
    <xf numFmtId="0" fontId="17" fillId="0" borderId="0" xfId="0" applyNumberFormat="1" applyFont="1" applyFill="1"/>
    <xf numFmtId="0" fontId="10" fillId="0" borderId="0" xfId="100" quotePrefix="1" applyNumberFormat="1" applyFont="1" applyFill="1" applyBorder="1" applyAlignment="1">
      <alignment horizontal="right"/>
    </xf>
    <xf numFmtId="0" fontId="10" fillId="0" borderId="0" xfId="0" applyNumberFormat="1" applyFont="1" applyFill="1" applyAlignment="1">
      <alignment horizontal="right"/>
    </xf>
    <xf numFmtId="0" fontId="11" fillId="0" borderId="0" xfId="0" applyNumberFormat="1" applyFont="1" applyFill="1"/>
    <xf numFmtId="0" fontId="10" fillId="0" borderId="0" xfId="0" applyNumberFormat="1" applyFont="1" applyFill="1"/>
    <xf numFmtId="0" fontId="10" fillId="0" borderId="0" xfId="0" applyNumberFormat="1" applyFont="1" applyFill="1" applyAlignment="1">
      <alignment horizontal="left" indent="1"/>
    </xf>
    <xf numFmtId="0" fontId="11" fillId="0" borderId="0" xfId="100" applyFont="1" applyAlignment="1">
      <alignment horizontal="right"/>
    </xf>
    <xf numFmtId="164" fontId="11" fillId="0" borderId="0" xfId="100" applyNumberFormat="1" applyFont="1"/>
    <xf numFmtId="166" fontId="11" fillId="0" borderId="0" xfId="100" applyNumberFormat="1" applyFont="1"/>
    <xf numFmtId="10" fontId="14" fillId="0" borderId="0" xfId="37" applyNumberFormat="1" applyFont="1" applyAlignment="1">
      <alignment horizontal="center"/>
    </xf>
    <xf numFmtId="0" fontId="10" fillId="0" borderId="0" xfId="100" applyAlignment="1">
      <alignment horizontal="center" wrapText="1"/>
    </xf>
    <xf numFmtId="164" fontId="10" fillId="0" borderId="0" xfId="100" quotePrefix="1" applyNumberFormat="1" applyAlignment="1">
      <alignment horizontal="center"/>
    </xf>
    <xf numFmtId="0" fontId="10" fillId="0" borderId="0" xfId="100" quotePrefix="1" applyAlignment="1">
      <alignment horizontal="center" wrapText="1"/>
    </xf>
    <xf numFmtId="0" fontId="10" fillId="0" borderId="0" xfId="100" quotePrefix="1" applyFont="1" applyAlignment="1">
      <alignment horizontal="center" wrapText="1"/>
    </xf>
    <xf numFmtId="10" fontId="10" fillId="0" borderId="0" xfId="37" quotePrefix="1" applyNumberFormat="1" applyFont="1" applyAlignment="1">
      <alignment horizontal="center" wrapText="1"/>
    </xf>
    <xf numFmtId="5" fontId="10" fillId="0" borderId="0" xfId="19" applyNumberFormat="1" applyFont="1" applyFill="1" applyAlignment="1"/>
    <xf numFmtId="5" fontId="0" fillId="0" borderId="0" xfId="19" applyNumberFormat="1" applyFont="1" applyFill="1"/>
    <xf numFmtId="5" fontId="0" fillId="36" borderId="0" xfId="19" applyNumberFormat="1" applyFont="1" applyFill="1"/>
    <xf numFmtId="179" fontId="10" fillId="0" borderId="0" xfId="23" applyNumberFormat="1" applyFont="1"/>
    <xf numFmtId="10" fontId="10" fillId="0" borderId="0" xfId="100" applyNumberFormat="1"/>
    <xf numFmtId="0" fontId="17" fillId="0" borderId="0" xfId="100" applyFont="1" applyAlignment="1">
      <alignment horizontal="center"/>
    </xf>
    <xf numFmtId="5" fontId="10" fillId="0" borderId="0" xfId="19" applyNumberFormat="1"/>
    <xf numFmtId="5" fontId="10" fillId="0" borderId="0" xfId="100" applyNumberFormat="1"/>
    <xf numFmtId="5" fontId="10" fillId="0" borderId="0" xfId="100" applyNumberFormat="1" applyFont="1"/>
    <xf numFmtId="173" fontId="0" fillId="0" borderId="0" xfId="0" applyNumberFormat="1"/>
    <xf numFmtId="0" fontId="10" fillId="0" borderId="0" xfId="0" applyFont="1" applyFill="1" applyAlignment="1">
      <alignment horizontal="center"/>
    </xf>
    <xf numFmtId="0" fontId="10" fillId="36" borderId="0" xfId="0" applyFont="1" applyFill="1" applyAlignment="1">
      <alignment horizontal="center"/>
    </xf>
    <xf numFmtId="164" fontId="10" fillId="0" borderId="0" xfId="0" applyNumberFormat="1" applyFont="1" applyAlignment="1">
      <alignment horizontal="right"/>
    </xf>
    <xf numFmtId="0" fontId="11" fillId="0" borderId="0" xfId="108" applyFont="1" applyFill="1"/>
    <xf numFmtId="0" fontId="10" fillId="0" borderId="0" xfId="108" applyFill="1"/>
    <xf numFmtId="0" fontId="14" fillId="0" borderId="0" xfId="108" applyFont="1" applyFill="1"/>
    <xf numFmtId="0" fontId="11" fillId="0" borderId="0" xfId="108" applyFont="1" applyFill="1" applyAlignment="1">
      <alignment horizontal="center"/>
    </xf>
    <xf numFmtId="0" fontId="11" fillId="0" borderId="8" xfId="108" applyFont="1" applyFill="1" applyBorder="1" applyAlignment="1">
      <alignment horizontal="center"/>
    </xf>
    <xf numFmtId="0" fontId="11" fillId="0" borderId="0" xfId="108" applyFont="1" applyFill="1" applyBorder="1" applyAlignment="1">
      <alignment horizontal="center"/>
    </xf>
    <xf numFmtId="0" fontId="11" fillId="0" borderId="8" xfId="108" applyFont="1" applyBorder="1" applyAlignment="1">
      <alignment horizontal="center"/>
    </xf>
    <xf numFmtId="0" fontId="31" fillId="0" borderId="0" xfId="0" applyFont="1"/>
    <xf numFmtId="164" fontId="10" fillId="0" borderId="15" xfId="108" applyNumberFormat="1" applyFill="1" applyBorder="1"/>
    <xf numFmtId="0" fontId="11" fillId="0" borderId="0" xfId="108" quotePrefix="1" applyFont="1" applyFill="1" applyAlignment="1">
      <alignment horizontal="center"/>
    </xf>
    <xf numFmtId="0" fontId="29" fillId="0" borderId="0" xfId="0" applyFont="1" applyFill="1" applyAlignment="1">
      <alignment horizontal="center"/>
    </xf>
    <xf numFmtId="164" fontId="10" fillId="0" borderId="0" xfId="108" applyNumberFormat="1" applyFill="1" applyBorder="1"/>
    <xf numFmtId="164" fontId="10" fillId="0" borderId="8" xfId="108" applyNumberFormat="1" applyFont="1" applyFill="1" applyBorder="1" applyAlignment="1">
      <alignment horizontal="right"/>
    </xf>
    <xf numFmtId="164" fontId="10" fillId="0" borderId="0" xfId="108" applyNumberFormat="1" applyFont="1" applyFill="1" applyBorder="1" applyAlignment="1">
      <alignment horizontal="right"/>
    </xf>
    <xf numFmtId="164" fontId="10" fillId="0" borderId="16" xfId="108" applyNumberFormat="1" applyBorder="1"/>
    <xf numFmtId="0" fontId="10" fillId="0" borderId="0" xfId="108" applyFill="1" applyBorder="1"/>
    <xf numFmtId="0" fontId="0" fillId="0" borderId="0" xfId="0" applyFill="1" applyBorder="1" applyAlignment="1">
      <alignment horizontal="center"/>
    </xf>
    <xf numFmtId="0" fontId="10" fillId="0" borderId="8" xfId="0" applyFont="1" applyBorder="1" applyAlignment="1">
      <alignment horizontal="center"/>
    </xf>
    <xf numFmtId="164" fontId="10" fillId="34" borderId="0" xfId="19" applyNumberFormat="1" applyFont="1" applyFill="1"/>
    <xf numFmtId="164" fontId="10" fillId="0" borderId="0" xfId="19" applyNumberFormat="1" applyFont="1" applyFill="1" applyBorder="1"/>
    <xf numFmtId="37" fontId="10" fillId="0" borderId="0" xfId="19" applyNumberFormat="1" applyFont="1" applyFill="1" applyBorder="1"/>
    <xf numFmtId="37" fontId="0" fillId="0" borderId="0" xfId="19" quotePrefix="1" applyNumberFormat="1" applyFont="1" applyFill="1" applyBorder="1"/>
    <xf numFmtId="37" fontId="0" fillId="0" borderId="0" xfId="19" applyNumberFormat="1" applyFont="1" applyFill="1" applyBorder="1"/>
    <xf numFmtId="3" fontId="0" fillId="0" borderId="0" xfId="0" applyNumberFormat="1" applyFill="1" applyBorder="1"/>
    <xf numFmtId="37" fontId="0" fillId="0" borderId="0" xfId="0" applyNumberFormat="1" applyFill="1" applyBorder="1"/>
    <xf numFmtId="165" fontId="0" fillId="0" borderId="0" xfId="37" quotePrefix="1" applyNumberFormat="1" applyFont="1" applyFill="1" applyBorder="1"/>
    <xf numFmtId="165" fontId="0" fillId="0" borderId="8" xfId="37" applyNumberFormat="1" applyFont="1" applyFill="1" applyBorder="1"/>
    <xf numFmtId="165" fontId="0" fillId="0" borderId="0" xfId="37" applyNumberFormat="1" applyFont="1" applyFill="1" applyBorder="1"/>
    <xf numFmtId="164" fontId="0" fillId="0" borderId="15" xfId="19" applyNumberFormat="1" applyFont="1" applyBorder="1"/>
    <xf numFmtId="164" fontId="0" fillId="0" borderId="0" xfId="19" applyNumberFormat="1" applyFont="1" applyFill="1" applyBorder="1"/>
    <xf numFmtId="164" fontId="0" fillId="0" borderId="15" xfId="0" applyNumberFormat="1" applyBorder="1"/>
    <xf numFmtId="0" fontId="31" fillId="0" borderId="0" xfId="0" applyFont="1" applyAlignment="1">
      <alignment wrapText="1"/>
    </xf>
    <xf numFmtId="164" fontId="10" fillId="36" borderId="0" xfId="19" applyNumberFormat="1" applyFont="1" applyFill="1" applyBorder="1"/>
    <xf numFmtId="9" fontId="0" fillId="0" borderId="0" xfId="0" applyNumberFormat="1" applyAlignment="1">
      <alignment horizontal="left"/>
    </xf>
    <xf numFmtId="9" fontId="0" fillId="0" borderId="8" xfId="0" applyNumberFormat="1" applyBorder="1"/>
    <xf numFmtId="164" fontId="0" fillId="0" borderId="0" xfId="0" applyNumberFormat="1" applyFill="1" applyBorder="1"/>
    <xf numFmtId="0" fontId="10" fillId="36" borderId="0" xfId="100" quotePrefix="1" applyNumberFormat="1" applyFont="1" applyFill="1" applyBorder="1" applyAlignment="1">
      <alignment horizontal="left"/>
    </xf>
    <xf numFmtId="0" fontId="10" fillId="36" borderId="0" xfId="100" quotePrefix="1" applyFont="1" applyFill="1" applyBorder="1" applyAlignment="1">
      <alignment horizontal="left"/>
    </xf>
    <xf numFmtId="10" fontId="44" fillId="36" borderId="0" xfId="0" applyNumberFormat="1" applyFont="1" applyFill="1"/>
    <xf numFmtId="0" fontId="10" fillId="0" borderId="0" xfId="0" quotePrefix="1" applyFont="1" applyAlignment="1">
      <alignment horizontal="right"/>
    </xf>
    <xf numFmtId="49" fontId="10" fillId="0" borderId="0" xfId="19" applyNumberFormat="1" applyFont="1" applyBorder="1" applyAlignment="1">
      <alignment horizontal="left" indent="1"/>
    </xf>
    <xf numFmtId="5" fontId="10" fillId="36" borderId="0" xfId="19" applyNumberFormat="1" applyFont="1" applyFill="1" applyBorder="1"/>
    <xf numFmtId="164" fontId="57" fillId="36" borderId="0" xfId="0" applyNumberFormat="1" applyFont="1" applyFill="1"/>
    <xf numFmtId="167" fontId="0" fillId="36" borderId="0" xfId="19" applyNumberFormat="1" applyFont="1" applyFill="1"/>
    <xf numFmtId="164" fontId="10" fillId="34" borderId="0" xfId="96" applyNumberFormat="1" applyFont="1" applyFill="1" applyBorder="1" applyAlignment="1">
      <alignment horizontal="right"/>
    </xf>
    <xf numFmtId="0" fontId="13" fillId="36" borderId="4" xfId="0" applyNumberFormat="1" applyFont="1" applyFill="1" applyBorder="1"/>
    <xf numFmtId="37" fontId="10" fillId="36" borderId="3" xfId="0" applyNumberFormat="1" applyFont="1" applyFill="1" applyBorder="1" applyAlignment="1">
      <alignment horizontal="center"/>
    </xf>
    <xf numFmtId="164" fontId="17" fillId="36" borderId="0" xfId="100" applyNumberFormat="1" applyFont="1" applyFill="1"/>
    <xf numFmtId="164" fontId="44" fillId="36" borderId="0" xfId="125" applyNumberFormat="1" applyFont="1" applyFill="1"/>
    <xf numFmtId="0" fontId="44" fillId="36" borderId="0" xfId="125" applyFont="1" applyFill="1"/>
    <xf numFmtId="0" fontId="43" fillId="36" borderId="0" xfId="0" applyFont="1" applyFill="1"/>
    <xf numFmtId="170" fontId="10" fillId="36" borderId="0" xfId="125" quotePrefix="1" applyNumberFormat="1" applyFont="1" applyFill="1" applyAlignment="1">
      <alignment horizontal="center"/>
    </xf>
    <xf numFmtId="0" fontId="10" fillId="36" borderId="0" xfId="125" applyFont="1" applyFill="1"/>
    <xf numFmtId="164" fontId="44" fillId="36" borderId="0" xfId="96" applyNumberFormat="1" applyFont="1" applyFill="1" applyBorder="1"/>
    <xf numFmtId="0" fontId="10" fillId="36" borderId="0" xfId="125" applyFont="1" applyFill="1" applyBorder="1" applyProtection="1"/>
    <xf numFmtId="170" fontId="10" fillId="36" borderId="0" xfId="125" applyNumberFormat="1" applyFont="1" applyFill="1" applyAlignment="1">
      <alignment horizontal="center"/>
    </xf>
    <xf numFmtId="0" fontId="10" fillId="36" borderId="0" xfId="125" quotePrefix="1" applyFont="1" applyFill="1" applyAlignment="1">
      <alignment horizontal="center"/>
    </xf>
    <xf numFmtId="170" fontId="10" fillId="36" borderId="0" xfId="125" applyNumberFormat="1" applyFont="1" applyFill="1" applyBorder="1" applyAlignment="1" applyProtection="1">
      <alignment horizontal="center"/>
    </xf>
    <xf numFmtId="164" fontId="44" fillId="36" borderId="0" xfId="125" applyNumberFormat="1" applyFont="1" applyFill="1" applyBorder="1" applyProtection="1"/>
    <xf numFmtId="164" fontId="10" fillId="36" borderId="0" xfId="125" applyNumberFormat="1" applyFont="1" applyFill="1" applyBorder="1" applyProtection="1"/>
    <xf numFmtId="170" fontId="10" fillId="36" borderId="0" xfId="125" quotePrefix="1" applyNumberFormat="1" applyFont="1" applyFill="1" applyBorder="1" applyAlignment="1" applyProtection="1">
      <alignment horizontal="center"/>
    </xf>
    <xf numFmtId="39" fontId="10" fillId="0" borderId="0" xfId="0" applyNumberFormat="1" applyFont="1" applyFill="1" applyAlignment="1">
      <alignment horizontal="left" indent="1"/>
    </xf>
    <xf numFmtId="164" fontId="10" fillId="36" borderId="0" xfId="23" applyNumberFormat="1" applyFont="1" applyFill="1" applyAlignment="1">
      <alignment horizontal="right"/>
    </xf>
    <xf numFmtId="164" fontId="2" fillId="36" borderId="0" xfId="23" applyNumberFormat="1" applyFont="1" applyFill="1" applyAlignment="1">
      <alignment horizontal="right"/>
    </xf>
    <xf numFmtId="0" fontId="10" fillId="36" borderId="0" xfId="0" applyFont="1" applyFill="1" applyAlignment="1">
      <alignment wrapText="1"/>
    </xf>
    <xf numFmtId="17" fontId="10" fillId="36" borderId="0" xfId="100" quotePrefix="1" applyNumberFormat="1" applyFont="1" applyFill="1" applyBorder="1" applyAlignment="1">
      <alignment horizontal="left"/>
    </xf>
    <xf numFmtId="164" fontId="10" fillId="36" borderId="0" xfId="28" applyNumberFormat="1" applyFont="1" applyFill="1" applyBorder="1" applyAlignment="1">
      <alignment horizontal="right" vertical="center" wrapText="1"/>
    </xf>
    <xf numFmtId="164" fontId="10" fillId="36" borderId="0" xfId="28" applyNumberFormat="1" applyFont="1" applyFill="1"/>
    <xf numFmtId="164" fontId="10" fillId="36" borderId="0" xfId="20" applyNumberFormat="1" applyFont="1" applyFill="1"/>
    <xf numFmtId="164" fontId="25" fillId="36" borderId="0" xfId="28" applyNumberFormat="1" applyFont="1" applyFill="1"/>
    <xf numFmtId="0" fontId="62" fillId="0" borderId="0" xfId="126" applyFont="1"/>
    <xf numFmtId="0" fontId="10" fillId="0" borderId="0" xfId="126" applyFont="1"/>
    <xf numFmtId="0" fontId="10" fillId="0" borderId="0" xfId="126" applyFont="1" applyBorder="1"/>
    <xf numFmtId="0" fontId="10" fillId="0" borderId="0" xfId="126" applyFill="1" applyAlignment="1">
      <alignment horizontal="center"/>
    </xf>
    <xf numFmtId="0" fontId="10" fillId="0" borderId="0" xfId="126"/>
    <xf numFmtId="0" fontId="14" fillId="0" borderId="0" xfId="126" applyFont="1" applyAlignment="1">
      <alignment horizontal="center"/>
    </xf>
    <xf numFmtId="0" fontId="10" fillId="0" borderId="0" xfId="126" applyBorder="1"/>
    <xf numFmtId="0" fontId="11" fillId="0" borderId="0" xfId="126" applyFont="1" applyAlignment="1">
      <alignment horizontal="right"/>
    </xf>
    <xf numFmtId="167" fontId="10" fillId="0" borderId="0" xfId="19" applyNumberFormat="1" applyFont="1"/>
    <xf numFmtId="0" fontId="10" fillId="0" borderId="0" xfId="126" applyFont="1" applyAlignment="1">
      <alignment horizontal="left" indent="1"/>
    </xf>
    <xf numFmtId="0" fontId="11" fillId="34" borderId="0" xfId="127" applyFont="1" applyFill="1"/>
    <xf numFmtId="0" fontId="10" fillId="36" borderId="0" xfId="127" applyFont="1" applyFill="1"/>
    <xf numFmtId="0" fontId="10" fillId="0" borderId="0" xfId="126" applyFill="1"/>
    <xf numFmtId="164" fontId="10" fillId="0" borderId="0" xfId="126" applyNumberFormat="1"/>
    <xf numFmtId="0" fontId="14" fillId="0" borderId="0" xfId="126" quotePrefix="1" applyFont="1" applyAlignment="1">
      <alignment horizontal="center"/>
    </xf>
    <xf numFmtId="0" fontId="10" fillId="0" borderId="0" xfId="126" applyFont="1" applyAlignment="1">
      <alignment horizontal="center"/>
    </xf>
    <xf numFmtId="0" fontId="10" fillId="0" borderId="0" xfId="126" applyAlignment="1"/>
    <xf numFmtId="0" fontId="10" fillId="0" borderId="0" xfId="126" quotePrefix="1" applyFont="1" applyBorder="1" applyAlignment="1">
      <alignment horizontal="center" wrapText="1"/>
    </xf>
    <xf numFmtId="0" fontId="10" fillId="0" borderId="0" xfId="126" applyFill="1" applyAlignment="1"/>
    <xf numFmtId="0" fontId="10" fillId="0" borderId="0" xfId="126" applyAlignment="1">
      <alignment vertical="center" wrapText="1"/>
    </xf>
    <xf numFmtId="0" fontId="14" fillId="0" borderId="0" xfId="126" quotePrefix="1" applyFont="1" applyAlignment="1">
      <alignment horizontal="center" vertical="center" wrapText="1"/>
    </xf>
    <xf numFmtId="0" fontId="10" fillId="0" borderId="6" xfId="126" quotePrefix="1" applyFont="1" applyBorder="1" applyAlignment="1">
      <alignment horizontal="center" vertical="center" wrapText="1"/>
    </xf>
    <xf numFmtId="0" fontId="10" fillId="0" borderId="5" xfId="126" applyFont="1" applyFill="1" applyBorder="1" applyAlignment="1">
      <alignment horizontal="center" vertical="center" wrapText="1"/>
    </xf>
    <xf numFmtId="0" fontId="10" fillId="0" borderId="0" xfId="126" applyFill="1" applyAlignment="1">
      <alignment horizontal="center" vertical="center" wrapText="1"/>
    </xf>
    <xf numFmtId="0" fontId="10" fillId="0" borderId="0" xfId="126" applyFill="1" applyAlignment="1">
      <alignment vertical="center" wrapText="1"/>
    </xf>
    <xf numFmtId="0" fontId="11" fillId="0" borderId="3" xfId="126" applyFont="1" applyFill="1" applyBorder="1" applyAlignment="1">
      <alignment horizontal="center" wrapText="1"/>
    </xf>
    <xf numFmtId="0" fontId="11" fillId="0" borderId="3" xfId="126" quotePrefix="1" applyFont="1" applyBorder="1" applyAlignment="1">
      <alignment horizontal="center" wrapText="1"/>
    </xf>
    <xf numFmtId="0" fontId="11" fillId="0" borderId="6" xfId="126" applyFont="1" applyBorder="1" applyAlignment="1">
      <alignment horizontal="center" wrapText="1"/>
    </xf>
    <xf numFmtId="0" fontId="11" fillId="0" borderId="3" xfId="126" applyFont="1" applyFill="1" applyBorder="1" applyAlignment="1">
      <alignment horizontal="center"/>
    </xf>
    <xf numFmtId="0" fontId="11" fillId="0" borderId="4" xfId="126" applyFont="1" applyBorder="1" applyAlignment="1">
      <alignment horizontal="center" wrapText="1"/>
    </xf>
    <xf numFmtId="0" fontId="11" fillId="0" borderId="3" xfId="126" applyFont="1" applyBorder="1" applyAlignment="1">
      <alignment horizontal="center" wrapText="1"/>
    </xf>
    <xf numFmtId="0" fontId="11" fillId="0" borderId="0" xfId="126" applyFont="1" applyAlignment="1">
      <alignment horizontal="center"/>
    </xf>
    <xf numFmtId="10" fontId="10" fillId="0" borderId="0" xfId="126" applyNumberFormat="1"/>
    <xf numFmtId="3" fontId="10" fillId="36" borderId="0" xfId="128" applyNumberFormat="1" applyFont="1" applyFill="1"/>
    <xf numFmtId="3" fontId="10" fillId="36" borderId="0" xfId="129" applyNumberFormat="1" applyFont="1" applyFill="1"/>
    <xf numFmtId="3" fontId="10" fillId="36" borderId="0" xfId="130" applyNumberFormat="1" applyFont="1" applyFill="1"/>
    <xf numFmtId="174" fontId="10" fillId="0" borderId="0" xfId="126" applyNumberFormat="1" applyAlignment="1">
      <alignment horizontal="center"/>
    </xf>
    <xf numFmtId="0" fontId="10" fillId="0" borderId="0" xfId="126" quotePrefix="1" applyNumberFormat="1" applyFont="1" applyAlignment="1">
      <alignment horizontal="center"/>
    </xf>
    <xf numFmtId="10" fontId="10" fillId="0" borderId="0" xfId="126" applyNumberFormat="1" applyBorder="1"/>
    <xf numFmtId="10" fontId="10" fillId="36" borderId="0" xfId="126" applyNumberFormat="1" applyFont="1" applyFill="1" applyBorder="1"/>
    <xf numFmtId="0" fontId="10" fillId="0" borderId="0" xfId="126" quotePrefix="1" applyNumberFormat="1" applyFont="1" applyBorder="1" applyAlignment="1">
      <alignment horizontal="center"/>
    </xf>
    <xf numFmtId="166" fontId="10" fillId="0" borderId="17" xfId="126" applyNumberFormat="1" applyBorder="1" applyAlignment="1">
      <alignment horizontal="center"/>
    </xf>
    <xf numFmtId="164" fontId="10" fillId="0" borderId="18" xfId="126" applyNumberFormat="1" applyBorder="1"/>
    <xf numFmtId="0" fontId="10" fillId="0" borderId="19" xfId="126" applyFill="1" applyBorder="1" applyAlignment="1">
      <alignment horizontal="center"/>
    </xf>
    <xf numFmtId="166" fontId="10" fillId="0" borderId="0" xfId="126" applyNumberFormat="1" applyAlignment="1">
      <alignment horizontal="center"/>
    </xf>
    <xf numFmtId="166" fontId="10" fillId="0" borderId="0" xfId="126" applyNumberFormat="1"/>
    <xf numFmtId="3" fontId="10" fillId="36" borderId="0" xfId="128" applyNumberFormat="1" applyFont="1" applyFill="1" applyBorder="1"/>
    <xf numFmtId="3" fontId="10" fillId="36" borderId="0" xfId="129" applyNumberFormat="1" applyFont="1" applyFill="1" applyBorder="1"/>
    <xf numFmtId="3" fontId="10" fillId="36" borderId="0" xfId="130" applyNumberFormat="1" applyFont="1" applyFill="1" applyBorder="1"/>
    <xf numFmtId="3" fontId="33" fillId="0" borderId="0" xfId="131" applyNumberFormat="1" applyFill="1" applyBorder="1"/>
    <xf numFmtId="3" fontId="33" fillId="0" borderId="0" xfId="132" applyNumberFormat="1" applyFill="1"/>
    <xf numFmtId="0" fontId="10" fillId="0" borderId="0" xfId="126" applyFill="1" applyBorder="1"/>
    <xf numFmtId="166" fontId="10" fillId="0" borderId="0" xfId="126" applyNumberFormat="1" applyFill="1"/>
    <xf numFmtId="3" fontId="33" fillId="0" borderId="0" xfId="130" applyNumberFormat="1" applyFill="1" applyBorder="1" applyAlignment="1">
      <alignment horizontal="center"/>
    </xf>
    <xf numFmtId="0" fontId="10" fillId="0" borderId="0" xfId="126" applyFill="1" applyBorder="1" applyAlignment="1">
      <alignment horizontal="center"/>
    </xf>
    <xf numFmtId="0" fontId="10" fillId="0" borderId="0" xfId="126" applyAlignment="1">
      <alignment horizontal="left" indent="1"/>
    </xf>
    <xf numFmtId="164" fontId="10" fillId="0" borderId="0" xfId="126" applyNumberFormat="1" applyFont="1"/>
    <xf numFmtId="180" fontId="10" fillId="34" borderId="0" xfId="35" quotePrefix="1" applyNumberFormat="1" applyFont="1" applyFill="1" applyAlignment="1">
      <alignment horizontal="left"/>
    </xf>
    <xf numFmtId="3" fontId="33" fillId="36" borderId="0" xfId="128" applyNumberFormat="1" applyFill="1"/>
    <xf numFmtId="3" fontId="33" fillId="36" borderId="0" xfId="129" applyNumberFormat="1" applyFill="1"/>
    <xf numFmtId="3" fontId="33" fillId="36" borderId="0" xfId="130" applyNumberFormat="1" applyFill="1"/>
    <xf numFmtId="10" fontId="10" fillId="0" borderId="3" xfId="126" applyNumberFormat="1" applyBorder="1"/>
    <xf numFmtId="164" fontId="10" fillId="0" borderId="3" xfId="126" applyNumberFormat="1" applyFill="1" applyBorder="1"/>
    <xf numFmtId="3" fontId="10" fillId="0" borderId="3" xfId="126" applyNumberFormat="1" applyBorder="1"/>
    <xf numFmtId="0" fontId="10" fillId="0" borderId="0" xfId="126" applyAlignment="1">
      <alignment horizontal="center"/>
    </xf>
    <xf numFmtId="3" fontId="10" fillId="0" borderId="0" xfId="126" applyNumberFormat="1" applyFill="1"/>
    <xf numFmtId="9" fontId="10" fillId="0" borderId="0" xfId="37" applyFont="1"/>
    <xf numFmtId="3" fontId="33" fillId="0" borderId="0" xfId="129" applyNumberFormat="1" applyFill="1"/>
    <xf numFmtId="0" fontId="10" fillId="0" borderId="0" xfId="126" applyFont="1" applyAlignment="1">
      <alignment horizontal="center" vertical="center" wrapText="1"/>
    </xf>
    <xf numFmtId="0" fontId="10" fillId="0" borderId="0" xfId="126" quotePrefix="1" applyFont="1" applyAlignment="1">
      <alignment horizontal="center" vertical="center" wrapText="1"/>
    </xf>
    <xf numFmtId="0" fontId="14" fillId="0" borderId="0" xfId="126" quotePrefix="1" applyFont="1" applyBorder="1" applyAlignment="1">
      <alignment horizontal="center"/>
    </xf>
    <xf numFmtId="2" fontId="11" fillId="0" borderId="5" xfId="126" applyNumberFormat="1" applyFont="1" applyFill="1" applyBorder="1" applyAlignment="1">
      <alignment horizontal="center" wrapText="1"/>
    </xf>
    <xf numFmtId="2" fontId="11" fillId="0" borderId="3" xfId="126" applyNumberFormat="1" applyFont="1" applyFill="1" applyBorder="1" applyAlignment="1">
      <alignment horizontal="center" wrapText="1"/>
    </xf>
    <xf numFmtId="2" fontId="11" fillId="0" borderId="3" xfId="126" applyNumberFormat="1" applyFont="1" applyBorder="1" applyAlignment="1">
      <alignment horizontal="center" wrapText="1"/>
    </xf>
    <xf numFmtId="2" fontId="10" fillId="0" borderId="0" xfId="126" applyNumberFormat="1" applyFont="1" applyAlignment="1">
      <alignment horizontal="center" wrapText="1"/>
    </xf>
    <xf numFmtId="2" fontId="10" fillId="0" borderId="0" xfId="126" applyNumberFormat="1" applyFont="1" applyFill="1" applyAlignment="1">
      <alignment horizontal="center" wrapText="1"/>
    </xf>
    <xf numFmtId="2" fontId="11" fillId="0" borderId="0" xfId="126" applyNumberFormat="1" applyFont="1" applyAlignment="1">
      <alignment horizontal="center"/>
    </xf>
    <xf numFmtId="2" fontId="10" fillId="34" borderId="0" xfId="35" applyNumberFormat="1" applyFont="1" applyFill="1" applyAlignment="1">
      <alignment horizontal="left"/>
    </xf>
    <xf numFmtId="164" fontId="10" fillId="0" borderId="0" xfId="126" applyNumberFormat="1" applyFill="1"/>
    <xf numFmtId="1" fontId="2" fillId="0" borderId="0" xfId="0" applyNumberFormat="1" applyFont="1" applyFill="1" applyAlignment="1">
      <alignment horizontal="right"/>
    </xf>
    <xf numFmtId="2" fontId="10" fillId="0" borderId="0" xfId="126" applyNumberFormat="1" applyFont="1"/>
    <xf numFmtId="1" fontId="10" fillId="0" borderId="0" xfId="126" applyNumberFormat="1" applyFont="1"/>
    <xf numFmtId="2" fontId="10" fillId="0" borderId="0" xfId="126" applyNumberFormat="1" applyFont="1" applyFill="1" applyAlignment="1">
      <alignment horizontal="center"/>
    </xf>
    <xf numFmtId="180" fontId="62" fillId="0" borderId="0" xfId="35" applyNumberFormat="1" applyFont="1" applyFill="1" applyAlignment="1">
      <alignment horizontal="left"/>
    </xf>
    <xf numFmtId="0" fontId="11" fillId="0" borderId="0" xfId="126" applyFont="1" applyAlignment="1">
      <alignment horizontal="center" vertical="center" wrapText="1"/>
    </xf>
    <xf numFmtId="0" fontId="10" fillId="0" borderId="0" xfId="126" quotePrefix="1" applyFont="1" applyAlignment="1">
      <alignment horizontal="center"/>
    </xf>
    <xf numFmtId="0" fontId="10" fillId="0" borderId="0" xfId="126" applyFont="1" applyFill="1" applyAlignment="1">
      <alignment horizontal="center"/>
    </xf>
    <xf numFmtId="180" fontId="11" fillId="0" borderId="3" xfId="35" applyNumberFormat="1" applyFont="1" applyFill="1" applyBorder="1" applyAlignment="1">
      <alignment horizontal="center"/>
    </xf>
    <xf numFmtId="174" fontId="10" fillId="0" borderId="0" xfId="126" quotePrefix="1" applyNumberFormat="1" applyFill="1" applyAlignment="1">
      <alignment horizontal="center"/>
    </xf>
    <xf numFmtId="164" fontId="10" fillId="0" borderId="0" xfId="126" quotePrefix="1" applyNumberFormat="1" applyFill="1" applyAlignment="1">
      <alignment horizontal="center"/>
    </xf>
    <xf numFmtId="164" fontId="10" fillId="0" borderId="0" xfId="126" applyNumberFormat="1" applyAlignment="1">
      <alignment horizontal="right"/>
    </xf>
    <xf numFmtId="166" fontId="10" fillId="0" borderId="17" xfId="126" quotePrefix="1" applyNumberFormat="1" applyFill="1" applyBorder="1" applyAlignment="1">
      <alignment horizontal="center"/>
    </xf>
    <xf numFmtId="166" fontId="10" fillId="0" borderId="18" xfId="126" applyNumberFormat="1" applyFill="1" applyBorder="1" applyAlignment="1">
      <alignment horizontal="center"/>
    </xf>
    <xf numFmtId="0" fontId="10" fillId="0" borderId="19" xfId="126" applyFont="1" applyBorder="1" applyAlignment="1">
      <alignment horizontal="center"/>
    </xf>
    <xf numFmtId="166" fontId="10" fillId="0" borderId="0" xfId="126" quotePrefix="1" applyNumberFormat="1" applyFill="1" applyAlignment="1">
      <alignment horizontal="center"/>
    </xf>
    <xf numFmtId="166" fontId="10" fillId="0" borderId="0" xfId="126" applyNumberFormat="1" applyFill="1" applyAlignment="1">
      <alignment horizontal="center"/>
    </xf>
    <xf numFmtId="164" fontId="10" fillId="0" borderId="0" xfId="126" applyNumberFormat="1" applyBorder="1" applyAlignment="1">
      <alignment horizontal="right"/>
    </xf>
    <xf numFmtId="174" fontId="10" fillId="0" borderId="0" xfId="126" applyNumberFormat="1" applyFill="1" applyAlignment="1">
      <alignment horizontal="center"/>
    </xf>
    <xf numFmtId="166" fontId="10" fillId="0" borderId="17" xfId="126" applyNumberFormat="1" applyFill="1" applyBorder="1" applyAlignment="1">
      <alignment horizontal="center"/>
    </xf>
    <xf numFmtId="164" fontId="10" fillId="0" borderId="0" xfId="126" applyNumberFormat="1" applyBorder="1"/>
    <xf numFmtId="0" fontId="14" fillId="0" borderId="0" xfId="126" applyFont="1"/>
    <xf numFmtId="0" fontId="10" fillId="0" borderId="0" xfId="126" applyFont="1" applyFill="1"/>
    <xf numFmtId="0" fontId="10" fillId="0" borderId="0" xfId="126" applyAlignment="1">
      <alignment horizontal="left"/>
    </xf>
    <xf numFmtId="0" fontId="11" fillId="0" borderId="6" xfId="126" applyFont="1" applyFill="1" applyBorder="1"/>
    <xf numFmtId="0" fontId="10" fillId="0" borderId="9" xfId="126" applyFont="1" applyFill="1" applyBorder="1"/>
    <xf numFmtId="0" fontId="10" fillId="0" borderId="4" xfId="126" applyFont="1" applyFill="1" applyBorder="1"/>
    <xf numFmtId="180" fontId="10" fillId="36" borderId="0" xfId="35" applyNumberFormat="1" applyFont="1" applyFill="1" applyAlignment="1">
      <alignment horizontal="left"/>
    </xf>
    <xf numFmtId="0" fontId="10" fillId="36" borderId="0" xfId="35" applyFont="1" applyFill="1" applyAlignment="1">
      <alignment horizontal="left" vertical="top" indent="1"/>
    </xf>
    <xf numFmtId="0" fontId="10" fillId="36" borderId="0" xfId="126" applyFont="1" applyFill="1"/>
    <xf numFmtId="0" fontId="10" fillId="36" borderId="0" xfId="126" applyFill="1"/>
    <xf numFmtId="180" fontId="10" fillId="36" borderId="0" xfId="35" quotePrefix="1" applyNumberFormat="1" applyFont="1" applyFill="1" applyAlignment="1">
      <alignment horizontal="left"/>
    </xf>
    <xf numFmtId="0" fontId="14" fillId="0" borderId="0" xfId="126" quotePrefix="1" applyFont="1" applyFill="1" applyAlignment="1">
      <alignment horizontal="center"/>
    </xf>
    <xf numFmtId="0" fontId="14" fillId="0" borderId="0" xfId="126" quotePrefix="1" applyFont="1" applyFill="1" applyBorder="1" applyAlignment="1">
      <alignment horizontal="center"/>
    </xf>
    <xf numFmtId="0" fontId="11" fillId="0" borderId="0" xfId="126" applyFont="1" applyAlignment="1">
      <alignment horizontal="center" vertical="center"/>
    </xf>
    <xf numFmtId="0" fontId="14" fillId="0" borderId="0" xfId="126" quotePrefix="1" applyFont="1" applyFill="1" applyAlignment="1">
      <alignment horizontal="center" vertical="center" wrapText="1"/>
    </xf>
    <xf numFmtId="0" fontId="14" fillId="0" borderId="0" xfId="126" quotePrefix="1" applyFont="1" applyFill="1" applyBorder="1" applyAlignment="1">
      <alignment horizontal="center" vertical="center" wrapText="1"/>
    </xf>
    <xf numFmtId="0" fontId="10" fillId="0" borderId="0" xfId="126" applyAlignment="1">
      <alignment wrapText="1"/>
    </xf>
    <xf numFmtId="0" fontId="14" fillId="0" borderId="0" xfId="126" quotePrefix="1" applyFont="1" applyAlignment="1">
      <alignment horizontal="center" wrapText="1"/>
    </xf>
    <xf numFmtId="0" fontId="10" fillId="0" borderId="0" xfId="126" quotePrefix="1" applyFont="1" applyAlignment="1">
      <alignment horizontal="center" vertical="top" wrapText="1"/>
    </xf>
    <xf numFmtId="0" fontId="14" fillId="0" borderId="0" xfId="126" quotePrefix="1" applyFont="1" applyFill="1" applyAlignment="1">
      <alignment horizontal="center" wrapText="1"/>
    </xf>
    <xf numFmtId="0" fontId="14" fillId="0" borderId="0" xfId="126" quotePrefix="1" applyFont="1" applyFill="1" applyBorder="1" applyAlignment="1">
      <alignment horizontal="center" wrapText="1"/>
    </xf>
    <xf numFmtId="0" fontId="10" fillId="0" borderId="0" xfId="126" applyFill="1" applyAlignment="1">
      <alignment horizontal="center" wrapText="1"/>
    </xf>
    <xf numFmtId="0" fontId="10" fillId="0" borderId="7" xfId="126" applyFill="1" applyBorder="1"/>
    <xf numFmtId="0" fontId="11" fillId="34" borderId="7" xfId="126" applyFont="1" applyFill="1" applyBorder="1" applyAlignment="1">
      <alignment horizontal="center" wrapText="1"/>
    </xf>
    <xf numFmtId="0" fontId="10" fillId="0" borderId="7" xfId="126" applyBorder="1"/>
    <xf numFmtId="0" fontId="14" fillId="0" borderId="7" xfId="126" quotePrefix="1" applyFont="1" applyBorder="1" applyAlignment="1">
      <alignment horizontal="center"/>
    </xf>
    <xf numFmtId="0" fontId="10" fillId="0" borderId="0" xfId="126" applyFont="1" applyFill="1" applyBorder="1"/>
    <xf numFmtId="0" fontId="11" fillId="0" borderId="5" xfId="126" applyFont="1" applyFill="1" applyBorder="1" applyAlignment="1">
      <alignment horizontal="center" wrapText="1"/>
    </xf>
    <xf numFmtId="0" fontId="11" fillId="34" borderId="11" xfId="126" applyFont="1" applyFill="1" applyBorder="1" applyAlignment="1">
      <alignment horizontal="center" wrapText="1"/>
    </xf>
    <xf numFmtId="0" fontId="11" fillId="34" borderId="10" xfId="126" applyFont="1" applyFill="1" applyBorder="1" applyAlignment="1">
      <alignment horizontal="center" wrapText="1"/>
    </xf>
    <xf numFmtId="0" fontId="11" fillId="34" borderId="5" xfId="126" applyFont="1" applyFill="1" applyBorder="1" applyAlignment="1">
      <alignment horizontal="center" wrapText="1"/>
    </xf>
    <xf numFmtId="0" fontId="11" fillId="0" borderId="0" xfId="126" applyFont="1" applyFill="1" applyBorder="1" applyAlignment="1">
      <alignment horizontal="center" wrapText="1"/>
    </xf>
    <xf numFmtId="3" fontId="10" fillId="36" borderId="0" xfId="126" applyNumberFormat="1" applyFill="1"/>
    <xf numFmtId="3" fontId="10" fillId="0" borderId="0" xfId="126" applyNumberFormat="1"/>
    <xf numFmtId="175" fontId="0" fillId="36" borderId="0" xfId="0" applyNumberFormat="1" applyFill="1" applyAlignment="1">
      <alignment horizontal="center"/>
    </xf>
    <xf numFmtId="167" fontId="44" fillId="36" borderId="0" xfId="133" applyNumberFormat="1" applyFont="1" applyFill="1"/>
    <xf numFmtId="181" fontId="10" fillId="0" borderId="0" xfId="126" applyNumberFormat="1" applyFill="1"/>
    <xf numFmtId="175" fontId="10" fillId="0" borderId="0" xfId="126" applyNumberFormat="1" applyFill="1" applyAlignment="1">
      <alignment horizontal="center"/>
    </xf>
    <xf numFmtId="167" fontId="44" fillId="36" borderId="0" xfId="133" applyNumberFormat="1" applyFont="1" applyFill="1" applyBorder="1"/>
    <xf numFmtId="3" fontId="10" fillId="36" borderId="0" xfId="126" applyNumberFormat="1" applyFill="1" applyBorder="1"/>
    <xf numFmtId="181" fontId="17" fillId="0" borderId="0" xfId="126" applyNumberFormat="1" applyFont="1" applyFill="1"/>
    <xf numFmtId="10" fontId="0" fillId="0" borderId="3" xfId="134" applyNumberFormat="1" applyFont="1" applyBorder="1"/>
    <xf numFmtId="2" fontId="62" fillId="0" borderId="0" xfId="126" applyNumberFormat="1" applyFont="1"/>
    <xf numFmtId="2" fontId="14" fillId="0" borderId="0" xfId="126" quotePrefix="1" applyNumberFormat="1" applyFont="1" applyAlignment="1">
      <alignment horizontal="center"/>
    </xf>
    <xf numFmtId="2" fontId="14" fillId="0" borderId="0" xfId="126" quotePrefix="1" applyNumberFormat="1" applyFont="1" applyFill="1" applyAlignment="1">
      <alignment horizontal="center"/>
    </xf>
    <xf numFmtId="2" fontId="14" fillId="0" borderId="0" xfId="126" quotePrefix="1" applyNumberFormat="1" applyFont="1" applyFill="1" applyBorder="1" applyAlignment="1">
      <alignment horizontal="center"/>
    </xf>
    <xf numFmtId="2" fontId="10" fillId="0" borderId="0" xfId="126" applyNumberFormat="1" applyFont="1" applyBorder="1"/>
    <xf numFmtId="2" fontId="10" fillId="0" borderId="0" xfId="126" applyNumberFormat="1" applyFont="1" applyAlignment="1">
      <alignment wrapText="1"/>
    </xf>
    <xf numFmtId="2" fontId="14" fillId="0" borderId="0" xfId="126" quotePrefix="1" applyNumberFormat="1" applyFont="1" applyAlignment="1">
      <alignment horizontal="center" wrapText="1"/>
    </xf>
    <xf numFmtId="2" fontId="10" fillId="0" borderId="0" xfId="126" quotePrefix="1" applyNumberFormat="1" applyFont="1" applyAlignment="1">
      <alignment horizontal="center" vertical="top" wrapText="1"/>
    </xf>
    <xf numFmtId="2" fontId="10" fillId="0" borderId="0" xfId="126" quotePrefix="1" applyNumberFormat="1" applyFont="1" applyBorder="1" applyAlignment="1">
      <alignment horizontal="center" vertical="top" wrapText="1"/>
    </xf>
    <xf numFmtId="2" fontId="10" fillId="0" borderId="0" xfId="126" applyNumberFormat="1" applyFont="1" applyBorder="1" applyAlignment="1">
      <alignment wrapText="1"/>
    </xf>
    <xf numFmtId="2" fontId="10" fillId="0" borderId="0" xfId="126" applyNumberFormat="1" applyFont="1" applyBorder="1" applyAlignment="1">
      <alignment horizontal="center" wrapText="1"/>
    </xf>
    <xf numFmtId="175" fontId="2" fillId="36" borderId="0" xfId="0" applyNumberFormat="1" applyFont="1" applyFill="1" applyAlignment="1">
      <alignment horizontal="center"/>
    </xf>
    <xf numFmtId="175" fontId="2" fillId="36" borderId="0" xfId="0" applyNumberFormat="1" applyFont="1" applyFill="1" applyBorder="1" applyAlignment="1">
      <alignment horizontal="center"/>
    </xf>
    <xf numFmtId="3" fontId="10" fillId="0" borderId="0" xfId="126" applyNumberFormat="1" applyBorder="1"/>
    <xf numFmtId="164" fontId="43" fillId="0" borderId="0" xfId="135" applyNumberFormat="1" applyFont="1" applyFill="1"/>
    <xf numFmtId="164" fontId="64" fillId="0" borderId="0" xfId="135" applyNumberFormat="1" applyFont="1" applyFill="1"/>
    <xf numFmtId="164" fontId="17" fillId="0" borderId="0" xfId="0" applyNumberFormat="1" applyFont="1" applyFill="1" applyBorder="1"/>
    <xf numFmtId="0" fontId="12" fillId="0" borderId="0" xfId="0" applyFont="1" applyFill="1" applyAlignment="1">
      <alignment horizontal="center"/>
    </xf>
    <xf numFmtId="164" fontId="48" fillId="0" borderId="0" xfId="135" applyNumberFormat="1" applyFont="1" applyFill="1"/>
    <xf numFmtId="0" fontId="11" fillId="0" borderId="3" xfId="28" applyFont="1" applyFill="1" applyBorder="1" applyAlignment="1">
      <alignment horizontal="center"/>
    </xf>
    <xf numFmtId="0" fontId="10" fillId="0" borderId="0" xfId="28" applyNumberFormat="1" applyFont="1" applyFill="1" applyAlignment="1">
      <alignment horizontal="center" vertical="center"/>
    </xf>
    <xf numFmtId="167" fontId="10" fillId="0" borderId="0" xfId="28" applyNumberFormat="1" applyFont="1" applyFill="1"/>
    <xf numFmtId="43" fontId="10" fillId="0" borderId="0" xfId="0" applyNumberFormat="1" applyFont="1"/>
    <xf numFmtId="0" fontId="10" fillId="0" borderId="0" xfId="0" applyNumberFormat="1" applyFont="1"/>
    <xf numFmtId="0" fontId="10" fillId="0" borderId="0" xfId="28" applyFont="1" applyAlignment="1">
      <alignment horizontal="center"/>
    </xf>
    <xf numFmtId="167" fontId="10" fillId="0" borderId="0" xfId="22" applyNumberFormat="1" applyFont="1"/>
    <xf numFmtId="167" fontId="10" fillId="0" borderId="0" xfId="28" applyNumberFormat="1" applyFont="1"/>
    <xf numFmtId="164" fontId="10" fillId="0" borderId="0" xfId="28" applyNumberFormat="1" applyFont="1" applyFill="1" applyBorder="1"/>
    <xf numFmtId="0" fontId="10" fillId="36" borderId="0" xfId="22" applyNumberFormat="1" applyFont="1" applyFill="1" applyBorder="1" applyAlignment="1">
      <alignment horizontal="center"/>
    </xf>
    <xf numFmtId="164" fontId="10" fillId="0" borderId="0" xfId="28" applyNumberFormat="1" applyFont="1" applyBorder="1" applyAlignment="1">
      <alignment horizontal="center"/>
    </xf>
    <xf numFmtId="0" fontId="10" fillId="36" borderId="0" xfId="22" applyNumberFormat="1" applyFont="1" applyFill="1" applyBorder="1" applyAlignment="1" applyProtection="1">
      <alignment horizontal="center"/>
      <protection locked="0"/>
    </xf>
    <xf numFmtId="164" fontId="10" fillId="0" borderId="0" xfId="28" applyNumberFormat="1" applyFont="1" applyFill="1" applyBorder="1" applyAlignment="1">
      <alignment horizontal="center"/>
    </xf>
    <xf numFmtId="0" fontId="10" fillId="36" borderId="0" xfId="28" applyFont="1" applyFill="1"/>
    <xf numFmtId="0" fontId="10" fillId="36" borderId="0" xfId="28" applyNumberFormat="1" applyFont="1" applyFill="1"/>
    <xf numFmtId="167" fontId="10" fillId="36" borderId="0" xfId="28" quotePrefix="1" applyNumberFormat="1" applyFont="1" applyFill="1" applyBorder="1" applyAlignment="1">
      <alignment horizontal="center"/>
    </xf>
    <xf numFmtId="167" fontId="10" fillId="0" borderId="8" xfId="28" applyNumberFormat="1" applyFont="1" applyBorder="1" applyAlignment="1">
      <alignment horizontal="center"/>
    </xf>
    <xf numFmtId="164" fontId="10" fillId="0" borderId="8" xfId="28" applyNumberFormat="1" applyFont="1" applyFill="1" applyBorder="1" applyAlignment="1">
      <alignment horizontal="center"/>
    </xf>
    <xf numFmtId="5" fontId="10" fillId="0" borderId="8" xfId="28" quotePrefix="1" applyNumberFormat="1" applyFont="1" applyFill="1" applyBorder="1" applyAlignment="1">
      <alignment horizontal="right"/>
    </xf>
    <xf numFmtId="5" fontId="10" fillId="0" borderId="8" xfId="28" applyNumberFormat="1" applyFont="1" applyBorder="1"/>
    <xf numFmtId="164" fontId="10" fillId="0" borderId="0" xfId="22" applyNumberFormat="1" applyFont="1" applyFill="1" applyBorder="1"/>
    <xf numFmtId="164" fontId="10" fillId="0" borderId="0" xfId="22" applyNumberFormat="1" applyFont="1" applyFill="1" applyBorder="1" applyAlignment="1">
      <alignment horizontal="center"/>
    </xf>
    <xf numFmtId="164" fontId="10" fillId="0" borderId="0" xfId="22" applyNumberFormat="1" applyFont="1" applyBorder="1" applyAlignment="1">
      <alignment horizontal="center"/>
    </xf>
    <xf numFmtId="164" fontId="10" fillId="0" borderId="0" xfId="22" applyNumberFormat="1" applyFont="1" applyBorder="1"/>
    <xf numFmtId="0" fontId="10" fillId="0" borderId="0" xfId="28" applyFont="1" applyFill="1" applyBorder="1"/>
    <xf numFmtId="167" fontId="10" fillId="0" borderId="0" xfId="22" applyNumberFormat="1" applyFont="1" applyFill="1" applyBorder="1"/>
    <xf numFmtId="0" fontId="10" fillId="0" borderId="0" xfId="22" applyNumberFormat="1" applyFont="1" applyFill="1" applyBorder="1" applyAlignment="1">
      <alignment horizontal="center"/>
    </xf>
    <xf numFmtId="167" fontId="10" fillId="0" borderId="0" xfId="28" applyNumberFormat="1" applyFont="1" applyBorder="1" applyAlignment="1">
      <alignment horizontal="center"/>
    </xf>
    <xf numFmtId="167" fontId="10" fillId="0" borderId="0" xfId="22" applyNumberFormat="1" applyFont="1" applyBorder="1"/>
    <xf numFmtId="167" fontId="10" fillId="0" borderId="0" xfId="22" applyNumberFormat="1" applyFont="1" applyFill="1" applyBorder="1" applyAlignment="1">
      <alignment horizontal="center"/>
    </xf>
    <xf numFmtId="167" fontId="10" fillId="0" borderId="0" xfId="28" applyNumberFormat="1" applyFont="1" applyFill="1" applyBorder="1"/>
    <xf numFmtId="164" fontId="10" fillId="36" borderId="0" xfId="28" applyNumberFormat="1" applyFont="1" applyFill="1" applyBorder="1"/>
    <xf numFmtId="167" fontId="10" fillId="0" borderId="8" xfId="28" applyNumberFormat="1" applyFont="1" applyFill="1" applyBorder="1" applyAlignment="1">
      <alignment horizontal="center"/>
    </xf>
    <xf numFmtId="167" fontId="10" fillId="0" borderId="8" xfId="28" quotePrefix="1" applyNumberFormat="1" applyFont="1" applyFill="1" applyBorder="1" applyAlignment="1">
      <alignment horizontal="center"/>
    </xf>
    <xf numFmtId="167" fontId="10" fillId="0" borderId="8" xfId="28" applyNumberFormat="1" applyFont="1" applyBorder="1"/>
    <xf numFmtId="0" fontId="10" fillId="0" borderId="0" xfId="22" applyNumberFormat="1" applyFont="1" applyFill="1" applyBorder="1"/>
    <xf numFmtId="0" fontId="10" fillId="0" borderId="0" xfId="28" applyNumberFormat="1" applyFont="1" applyFill="1" applyBorder="1"/>
    <xf numFmtId="0" fontId="10" fillId="0" borderId="0" xfId="28" applyFont="1" applyBorder="1" applyAlignment="1">
      <alignment horizontal="center"/>
    </xf>
    <xf numFmtId="164" fontId="10" fillId="36" borderId="0" xfId="28" applyNumberFormat="1" applyFont="1" applyFill="1" applyBorder="1" applyAlignment="1">
      <alignment vertical="top" wrapText="1"/>
    </xf>
    <xf numFmtId="167" fontId="10" fillId="0" borderId="0" xfId="28" applyNumberFormat="1" applyFont="1" applyFill="1" applyBorder="1" applyAlignment="1"/>
    <xf numFmtId="164" fontId="10" fillId="0" borderId="0" xfId="28" applyNumberFormat="1" applyFont="1" applyFill="1" applyBorder="1" applyAlignment="1">
      <alignment vertical="top" wrapText="1"/>
    </xf>
    <xf numFmtId="167" fontId="10" fillId="0" borderId="0" xfId="22" applyNumberFormat="1" applyFont="1" applyFill="1" applyBorder="1" applyAlignment="1">
      <alignment horizontal="center" wrapText="1"/>
    </xf>
    <xf numFmtId="0" fontId="10" fillId="0" borderId="0" xfId="0" quotePrefix="1" applyFont="1" applyFill="1" applyAlignment="1"/>
    <xf numFmtId="167" fontId="10" fillId="0" borderId="0" xfId="22" applyNumberFormat="1" applyFont="1" applyFill="1" applyBorder="1" applyAlignment="1"/>
    <xf numFmtId="167" fontId="10" fillId="0" borderId="8" xfId="28" applyNumberFormat="1" applyFont="1" applyFill="1" applyBorder="1"/>
    <xf numFmtId="171" fontId="10" fillId="0" borderId="8" xfId="37" applyNumberFormat="1" applyFont="1" applyFill="1" applyBorder="1" applyAlignment="1">
      <alignment horizontal="center" wrapText="1"/>
    </xf>
    <xf numFmtId="167" fontId="10" fillId="0" borderId="8" xfId="22" applyNumberFormat="1" applyFont="1" applyFill="1" applyBorder="1" applyAlignment="1">
      <alignment horizontal="center" wrapText="1"/>
    </xf>
    <xf numFmtId="0" fontId="10" fillId="0" borderId="0" xfId="39" applyNumberFormat="1" applyFont="1" applyFill="1" applyBorder="1" applyAlignment="1">
      <alignment horizontal="center" wrapText="1"/>
    </xf>
    <xf numFmtId="171" fontId="10" fillId="0" borderId="0" xfId="39" applyNumberFormat="1" applyFont="1" applyFill="1" applyBorder="1" applyAlignment="1">
      <alignment horizontal="center" wrapText="1"/>
    </xf>
    <xf numFmtId="0" fontId="10" fillId="0" borderId="0" xfId="28" applyFont="1" applyAlignment="1">
      <alignment vertical="justify"/>
    </xf>
    <xf numFmtId="167" fontId="10" fillId="0" borderId="0" xfId="28" applyNumberFormat="1" applyFont="1" applyBorder="1" applyAlignment="1">
      <alignment vertical="justify"/>
    </xf>
    <xf numFmtId="0" fontId="10" fillId="0" borderId="0" xfId="28" applyNumberFormat="1" applyFont="1" applyFill="1"/>
    <xf numFmtId="0" fontId="10" fillId="0" borderId="0" xfId="28" applyFont="1" applyFill="1" applyBorder="1" applyAlignment="1">
      <alignment vertical="top"/>
    </xf>
    <xf numFmtId="0" fontId="10" fillId="0" borderId="0" xfId="28" applyFont="1" applyFill="1" applyAlignment="1">
      <alignment horizontal="center"/>
    </xf>
    <xf numFmtId="167" fontId="10" fillId="0" borderId="0" xfId="22" applyNumberFormat="1" applyFont="1" applyFill="1"/>
    <xf numFmtId="0" fontId="10" fillId="0" borderId="0" xfId="28" applyFont="1" applyFill="1" applyBorder="1" applyAlignment="1">
      <alignment vertical="top" wrapText="1"/>
    </xf>
    <xf numFmtId="0" fontId="10" fillId="0" borderId="0" xfId="28" applyFont="1" applyFill="1" applyBorder="1" applyAlignment="1" applyProtection="1">
      <alignment horizontal="left" vertical="top" indent="1"/>
      <protection locked="0"/>
    </xf>
    <xf numFmtId="0" fontId="10" fillId="36" borderId="0" xfId="28" applyFont="1" applyFill="1" applyBorder="1" applyAlignment="1" applyProtection="1">
      <alignment horizontal="left" indent="1"/>
      <protection locked="0"/>
    </xf>
    <xf numFmtId="0" fontId="10" fillId="36" borderId="0" xfId="28" applyFont="1" applyFill="1" applyAlignment="1">
      <alignment horizontal="center"/>
    </xf>
    <xf numFmtId="167" fontId="10" fillId="36" borderId="0" xfId="22" applyNumberFormat="1" applyFont="1" applyFill="1"/>
    <xf numFmtId="0" fontId="10" fillId="0" borderId="0" xfId="28" applyFont="1" applyFill="1" applyAlignment="1">
      <alignment horizontal="left" indent="1"/>
    </xf>
    <xf numFmtId="165" fontId="10" fillId="0" borderId="0" xfId="28" applyNumberFormat="1" applyFont="1" applyFill="1"/>
    <xf numFmtId="0" fontId="14" fillId="0" borderId="0" xfId="0" applyFont="1" applyFill="1"/>
    <xf numFmtId="0" fontId="65" fillId="0" borderId="0" xfId="0" applyFont="1" applyAlignment="1">
      <alignment horizontal="center"/>
    </xf>
    <xf numFmtId="10" fontId="10" fillId="0" borderId="0" xfId="0" applyNumberFormat="1" applyFont="1"/>
    <xf numFmtId="0" fontId="10" fillId="36" borderId="0" xfId="28" applyNumberFormat="1" applyFont="1" applyFill="1" applyAlignment="1">
      <alignment horizontal="center"/>
    </xf>
    <xf numFmtId="0" fontId="11" fillId="0" borderId="3" xfId="28" applyFont="1" applyFill="1" applyBorder="1" applyAlignment="1">
      <alignment horizontal="center"/>
    </xf>
    <xf numFmtId="0" fontId="13" fillId="0" borderId="6" xfId="0" applyFont="1" applyFill="1" applyBorder="1" applyAlignment="1">
      <alignment horizontal="left"/>
    </xf>
    <xf numFmtId="0" fontId="10" fillId="36" borderId="0" xfId="100" applyFill="1" applyAlignment="1">
      <alignment horizontal="center"/>
    </xf>
    <xf numFmtId="0" fontId="19" fillId="0" borderId="0" xfId="27" applyFill="1" applyAlignment="1" applyProtection="1"/>
    <xf numFmtId="0" fontId="0" fillId="0" borderId="0" xfId="0" applyFill="1" applyAlignment="1">
      <alignment horizontal="center"/>
    </xf>
    <xf numFmtId="0" fontId="0" fillId="0" borderId="0" xfId="0" applyFill="1" applyAlignment="1">
      <alignment horizontal="left"/>
    </xf>
    <xf numFmtId="168" fontId="13" fillId="0" borderId="0" xfId="0" applyNumberFormat="1" applyFont="1" applyFill="1"/>
    <xf numFmtId="0" fontId="10" fillId="0" borderId="0" xfId="0" applyFont="1" applyFill="1" applyAlignment="1">
      <alignment horizontal="left"/>
    </xf>
    <xf numFmtId="0" fontId="10" fillId="0" borderId="0" xfId="0" applyFont="1" applyFill="1" applyAlignment="1">
      <alignment horizontal="right"/>
    </xf>
    <xf numFmtId="0" fontId="10" fillId="0" borderId="0" xfId="0" quotePrefix="1" applyFont="1" applyFill="1" applyAlignment="1">
      <alignment horizontal="right"/>
    </xf>
    <xf numFmtId="168" fontId="0" fillId="0" borderId="0" xfId="0" applyNumberFormat="1" applyFill="1"/>
    <xf numFmtId="0" fontId="10" fillId="0" borderId="0" xfId="0" applyFont="1" applyFill="1" applyAlignment="1">
      <alignment horizontal="left" indent="2"/>
    </xf>
    <xf numFmtId="0" fontId="10" fillId="0" borderId="0" xfId="0" quotePrefix="1" applyFont="1" applyFill="1" applyAlignment="1">
      <alignment horizontal="left" indent="2"/>
    </xf>
    <xf numFmtId="0" fontId="10" fillId="0" borderId="0" xfId="0" applyFont="1" applyFill="1" applyAlignment="1">
      <alignment horizontal="left" indent="3"/>
    </xf>
    <xf numFmtId="0" fontId="13" fillId="0" borderId="0" xfId="0" applyFont="1" applyFill="1" applyAlignment="1">
      <alignment horizontal="left" indent="4"/>
    </xf>
    <xf numFmtId="0" fontId="44" fillId="0" borderId="0" xfId="0" applyFont="1" applyFill="1" applyAlignment="1">
      <alignment horizontal="left"/>
    </xf>
    <xf numFmtId="0" fontId="13" fillId="0" borderId="0" xfId="0" quotePrefix="1" applyFont="1" applyFill="1" applyAlignment="1">
      <alignment horizontal="left" indent="2"/>
    </xf>
    <xf numFmtId="0" fontId="10" fillId="0" borderId="0" xfId="0" quotePrefix="1" applyFont="1" applyFill="1" applyAlignment="1">
      <alignment horizontal="left" indent="1"/>
    </xf>
    <xf numFmtId="0" fontId="17" fillId="0" borderId="0" xfId="0" applyFont="1" applyFill="1" applyAlignment="1">
      <alignment horizontal="left"/>
    </xf>
    <xf numFmtId="0" fontId="13" fillId="0" borderId="0" xfId="28" applyFont="1" applyFill="1" applyBorder="1" applyAlignment="1">
      <alignment horizontal="left" indent="1"/>
    </xf>
    <xf numFmtId="0" fontId="11" fillId="0" borderId="0" xfId="0" applyNumberFormat="1" applyFont="1" applyFill="1" applyAlignment="1">
      <alignment horizontal="left"/>
    </xf>
    <xf numFmtId="0" fontId="10" fillId="0" borderId="0" xfId="0" applyFont="1" applyFill="1" applyAlignment="1"/>
    <xf numFmtId="0" fontId="11" fillId="0" borderId="0" xfId="0" quotePrefix="1" applyFont="1" applyFill="1" applyAlignment="1">
      <alignment horizontal="center"/>
    </xf>
    <xf numFmtId="10" fontId="10" fillId="0" borderId="0" xfId="0" quotePrefix="1" applyNumberFormat="1" applyFont="1" applyFill="1" applyAlignment="1">
      <alignment horizontal="right"/>
    </xf>
    <xf numFmtId="3" fontId="0" fillId="0" borderId="0" xfId="0" applyNumberFormat="1" applyFill="1" applyAlignment="1">
      <alignment horizontal="center"/>
    </xf>
    <xf numFmtId="0" fontId="43" fillId="0" borderId="0" xfId="0" applyFont="1" applyFill="1"/>
    <xf numFmtId="164" fontId="43" fillId="0" borderId="0" xfId="0" applyNumberFormat="1" applyFont="1" applyFill="1" applyBorder="1"/>
    <xf numFmtId="0" fontId="45" fillId="36" borderId="0" xfId="0" quotePrefix="1" applyFont="1" applyFill="1" applyAlignment="1">
      <alignment horizontal="center"/>
    </xf>
    <xf numFmtId="0" fontId="44" fillId="0" borderId="0" xfId="0" applyFont="1" applyFill="1" applyAlignment="1">
      <alignment horizontal="right"/>
    </xf>
    <xf numFmtId="0" fontId="57" fillId="0" borderId="0" xfId="0" applyFont="1" applyFill="1" applyAlignment="1">
      <alignment horizontal="left" vertical="center"/>
    </xf>
    <xf numFmtId="0" fontId="11" fillId="0" borderId="0" xfId="34" applyFont="1" applyFill="1"/>
    <xf numFmtId="0" fontId="13" fillId="0" borderId="0" xfId="34" applyFont="1" applyFill="1"/>
    <xf numFmtId="0" fontId="10" fillId="0" borderId="0" xfId="34" applyFont="1" applyFill="1" applyAlignment="1">
      <alignment horizontal="right"/>
    </xf>
    <xf numFmtId="0" fontId="46" fillId="0" borderId="0" xfId="0" applyFont="1" applyFill="1" applyAlignment="1">
      <alignment horizontal="left" indent="1"/>
    </xf>
    <xf numFmtId="0" fontId="10" fillId="0" borderId="0" xfId="100" applyFont="1" applyFill="1" applyAlignment="1">
      <alignment horizontal="left" indent="1"/>
    </xf>
    <xf numFmtId="0" fontId="45" fillId="0" borderId="0" xfId="0" applyFont="1" applyFill="1"/>
    <xf numFmtId="0" fontId="44" fillId="0" borderId="0" xfId="0" quotePrefix="1" applyFont="1" applyFill="1" applyAlignment="1">
      <alignment horizontal="center"/>
    </xf>
    <xf numFmtId="0" fontId="10" fillId="0" borderId="0" xfId="0" applyFont="1" applyFill="1" applyBorder="1" applyAlignment="1">
      <alignment horizontal="left" indent="1"/>
    </xf>
    <xf numFmtId="0" fontId="50" fillId="0" borderId="0" xfId="0" applyFont="1" applyFill="1"/>
    <xf numFmtId="0" fontId="50" fillId="0" borderId="0" xfId="0" applyFont="1" applyFill="1" applyAlignment="1">
      <alignment horizontal="left" indent="1"/>
    </xf>
    <xf numFmtId="0" fontId="54" fillId="0" borderId="0" xfId="0" applyFont="1" applyFill="1"/>
    <xf numFmtId="164" fontId="50" fillId="0" borderId="0" xfId="0" applyNumberFormat="1" applyFont="1" applyFill="1"/>
    <xf numFmtId="0" fontId="0" fillId="0" borderId="0" xfId="0" quotePrefix="1" applyFill="1"/>
    <xf numFmtId="166" fontId="13" fillId="0" borderId="0" xfId="20" applyNumberFormat="1" applyFont="1" applyFill="1" applyBorder="1" applyAlignment="1">
      <alignment horizontal="right"/>
    </xf>
    <xf numFmtId="0" fontId="10" fillId="0" borderId="0" xfId="100" applyFont="1" applyFill="1" applyBorder="1" applyAlignment="1"/>
    <xf numFmtId="0" fontId="13" fillId="0" borderId="0" xfId="28" applyFont="1" applyFill="1" applyBorder="1" applyAlignment="1">
      <alignment horizontal="right"/>
    </xf>
    <xf numFmtId="164" fontId="0" fillId="0" borderId="0" xfId="0" applyNumberFormat="1" applyFill="1" applyAlignment="1">
      <alignment horizontal="right"/>
    </xf>
    <xf numFmtId="2" fontId="0" fillId="0" borderId="0" xfId="0" applyNumberFormat="1" applyFill="1"/>
    <xf numFmtId="164" fontId="11" fillId="0" borderId="0" xfId="100" applyNumberFormat="1" applyFont="1" applyFill="1"/>
    <xf numFmtId="0" fontId="10" fillId="0" borderId="0" xfId="100" applyNumberFormat="1" applyFont="1" applyFill="1" applyAlignment="1">
      <alignment horizontal="center"/>
    </xf>
    <xf numFmtId="10" fontId="10" fillId="0" borderId="0" xfId="37" applyNumberFormat="1" applyFont="1" applyFill="1" applyAlignment="1">
      <alignment horizontal="center"/>
    </xf>
    <xf numFmtId="5" fontId="10" fillId="0" borderId="0" xfId="100" applyNumberFormat="1" applyFill="1"/>
    <xf numFmtId="0" fontId="10" fillId="0" borderId="0" xfId="100" quotePrefix="1" applyFill="1"/>
    <xf numFmtId="166" fontId="44" fillId="0" borderId="0" xfId="0" applyNumberFormat="1" applyFont="1" applyFill="1"/>
    <xf numFmtId="167" fontId="10" fillId="0" borderId="0" xfId="28" applyNumberFormat="1" applyFont="1" applyFill="1" applyBorder="1" applyAlignment="1">
      <alignment horizontal="center"/>
    </xf>
    <xf numFmtId="0" fontId="14" fillId="0" borderId="0" xfId="0" quotePrefix="1" applyFont="1" applyFill="1" applyAlignment="1">
      <alignment horizontal="center" vertical="top"/>
    </xf>
    <xf numFmtId="0" fontId="11" fillId="0" borderId="7" xfId="28" applyFont="1" applyFill="1" applyBorder="1" applyAlignment="1">
      <alignment horizontal="center"/>
    </xf>
    <xf numFmtId="0" fontId="10" fillId="0" borderId="0" xfId="28" quotePrefix="1" applyFont="1" applyFill="1"/>
    <xf numFmtId="0" fontId="11" fillId="0" borderId="0" xfId="0" applyFont="1" applyFill="1" applyAlignment="1">
      <alignment horizontal="center" vertical="justify"/>
    </xf>
    <xf numFmtId="0" fontId="10" fillId="0" borderId="0" xfId="28" applyFont="1" applyFill="1" applyBorder="1" applyAlignment="1" applyProtection="1">
      <alignment horizontal="left" indent="2"/>
      <protection locked="0"/>
    </xf>
    <xf numFmtId="0" fontId="10" fillId="0" borderId="0" xfId="28" applyFont="1" applyFill="1" applyAlignment="1">
      <alignment horizontal="right"/>
    </xf>
    <xf numFmtId="10" fontId="10" fillId="0" borderId="0" xfId="28" applyNumberFormat="1" applyFont="1" applyFill="1"/>
    <xf numFmtId="0" fontId="17" fillId="0" borderId="0" xfId="28" applyFont="1" applyFill="1" applyAlignment="1">
      <alignment horizontal="center"/>
    </xf>
    <xf numFmtId="0" fontId="10" fillId="0" borderId="0" xfId="28" applyFont="1" applyFill="1" applyAlignment="1">
      <alignment horizontal="left" indent="2"/>
    </xf>
    <xf numFmtId="171" fontId="10" fillId="0" borderId="0" xfId="28" applyNumberFormat="1" applyFont="1" applyFill="1"/>
    <xf numFmtId="0" fontId="10" fillId="0" borderId="0" xfId="28" applyFont="1" applyFill="1" applyAlignment="1">
      <alignment horizontal="left" indent="3"/>
    </xf>
    <xf numFmtId="171" fontId="10" fillId="0" borderId="0" xfId="39" applyNumberFormat="1" applyFont="1" applyFill="1" applyBorder="1" applyAlignment="1">
      <alignment horizontal="center"/>
    </xf>
    <xf numFmtId="10" fontId="10" fillId="0" borderId="0" xfId="39" applyNumberFormat="1" applyFont="1" applyFill="1" applyAlignment="1">
      <alignment horizontal="center"/>
    </xf>
    <xf numFmtId="10" fontId="10" fillId="0" borderId="0" xfId="39" applyNumberFormat="1" applyFont="1" applyFill="1" applyBorder="1" applyAlignment="1">
      <alignment horizontal="center" vertical="justify" wrapText="1"/>
    </xf>
    <xf numFmtId="10" fontId="10" fillId="0" borderId="8" xfId="39" applyNumberFormat="1" applyFont="1" applyFill="1" applyBorder="1" applyAlignment="1">
      <alignment horizontal="center" wrapText="1"/>
    </xf>
    <xf numFmtId="165" fontId="18" fillId="0" borderId="0" xfId="0" applyNumberFormat="1" applyFont="1" applyFill="1"/>
    <xf numFmtId="0" fontId="56" fillId="0" borderId="0" xfId="0" applyFont="1" applyFill="1"/>
    <xf numFmtId="0" fontId="10" fillId="0" borderId="0" xfId="100" applyFont="1" applyFill="1" applyAlignment="1">
      <alignment horizontal="left" indent="2"/>
    </xf>
    <xf numFmtId="0" fontId="10" fillId="0" borderId="0" xfId="100" applyFont="1" applyFill="1" applyAlignment="1">
      <alignment horizontal="left"/>
    </xf>
    <xf numFmtId="37" fontId="10" fillId="0" borderId="3" xfId="0" applyNumberFormat="1" applyFont="1" applyFill="1" applyBorder="1" applyAlignment="1">
      <alignment horizontal="center"/>
    </xf>
    <xf numFmtId="37" fontId="10" fillId="0" borderId="3" xfId="97" quotePrefix="1" applyNumberFormat="1" applyFont="1" applyFill="1" applyBorder="1" applyAlignment="1">
      <alignment horizontal="center"/>
    </xf>
    <xf numFmtId="0" fontId="10" fillId="0" borderId="3" xfId="0" quotePrefix="1" applyNumberFormat="1" applyFont="1" applyFill="1" applyBorder="1"/>
    <xf numFmtId="0" fontId="10" fillId="0" borderId="3" xfId="0" quotePrefix="1" applyNumberFormat="1" applyFont="1" applyFill="1" applyBorder="1" applyAlignment="1">
      <alignment horizontal="center"/>
    </xf>
    <xf numFmtId="0" fontId="13" fillId="0" borderId="4" xfId="0" applyFont="1" applyFill="1" applyBorder="1" applyAlignment="1">
      <alignment horizontal="left"/>
    </xf>
    <xf numFmtId="49" fontId="10" fillId="0" borderId="0" xfId="22" applyNumberFormat="1" applyFont="1" applyFill="1" applyBorder="1" applyAlignment="1">
      <alignment horizontal="left"/>
    </xf>
    <xf numFmtId="49" fontId="13" fillId="0" borderId="0" xfId="22" quotePrefix="1" applyNumberFormat="1" applyFont="1" applyFill="1" applyBorder="1" applyAlignment="1">
      <alignment horizontal="left"/>
    </xf>
    <xf numFmtId="49" fontId="13" fillId="0" borderId="0" xfId="22" applyNumberFormat="1" applyFont="1" applyFill="1" applyBorder="1" applyAlignment="1">
      <alignment horizontal="left"/>
    </xf>
    <xf numFmtId="49" fontId="13" fillId="0" borderId="0" xfId="0" applyNumberFormat="1" applyFont="1" applyFill="1" applyBorder="1" applyAlignment="1">
      <alignment horizontal="left"/>
    </xf>
    <xf numFmtId="177" fontId="13" fillId="0" borderId="0" xfId="22" applyNumberFormat="1" applyFont="1" applyFill="1" applyBorder="1" applyAlignment="1">
      <alignment horizontal="center"/>
    </xf>
    <xf numFmtId="39" fontId="10" fillId="0" borderId="0" xfId="22" applyNumberFormat="1" applyFont="1" applyFill="1" applyBorder="1" applyAlignment="1">
      <alignment horizontal="right"/>
    </xf>
    <xf numFmtId="0" fontId="14" fillId="0" borderId="0" xfId="108" applyFont="1" applyFill="1" applyAlignment="1">
      <alignment horizontal="center"/>
    </xf>
    <xf numFmtId="0" fontId="14" fillId="0" borderId="0" xfId="108" applyFont="1" applyFill="1" applyAlignment="1">
      <alignment horizontal="left"/>
    </xf>
    <xf numFmtId="0" fontId="42" fillId="0" borderId="0" xfId="0" applyFont="1" applyFill="1"/>
    <xf numFmtId="0" fontId="11" fillId="0" borderId="0" xfId="108" applyFont="1" applyFill="1" applyAlignment="1"/>
    <xf numFmtId="0" fontId="14" fillId="0" borderId="0" xfId="108" applyFont="1" applyFill="1" applyAlignment="1"/>
    <xf numFmtId="0" fontId="10" fillId="0" borderId="0" xfId="108" applyFont="1" applyFill="1" applyAlignment="1">
      <alignment horizontal="left" indent="1"/>
    </xf>
    <xf numFmtId="0" fontId="11" fillId="0" borderId="0" xfId="0" applyFont="1" applyFill="1" applyAlignment="1">
      <alignment horizontal="left" indent="2"/>
    </xf>
    <xf numFmtId="0" fontId="42" fillId="0" borderId="0" xfId="0" applyFont="1" applyFill="1" applyAlignment="1">
      <alignment horizontal="center"/>
    </xf>
    <xf numFmtId="0" fontId="45" fillId="0" borderId="0" xfId="0" applyFont="1" applyFill="1" applyAlignment="1">
      <alignment horizontal="left" indent="1"/>
    </xf>
    <xf numFmtId="0" fontId="44" fillId="0" borderId="0" xfId="0" quotePrefix="1" applyFont="1" applyFill="1"/>
    <xf numFmtId="0" fontId="11" fillId="0" borderId="0" xfId="0" applyFont="1" applyFill="1" applyAlignment="1">
      <alignment horizontal="left" indent="1"/>
    </xf>
    <xf numFmtId="164" fontId="10" fillId="0" borderId="0" xfId="0" applyNumberFormat="1" applyFont="1" applyFill="1" applyAlignment="1"/>
    <xf numFmtId="0" fontId="45" fillId="0" borderId="0" xfId="0" applyFont="1" applyFill="1" applyAlignment="1">
      <alignment horizontal="left"/>
    </xf>
    <xf numFmtId="168" fontId="10" fillId="0" borderId="0" xfId="0" applyNumberFormat="1" applyFont="1" applyFill="1" applyAlignment="1">
      <alignment horizontal="left" indent="1"/>
    </xf>
    <xf numFmtId="0" fontId="10" fillId="0" borderId="0" xfId="0" applyNumberFormat="1" applyFont="1" applyFill="1" applyAlignment="1">
      <alignment horizontal="left"/>
    </xf>
    <xf numFmtId="0" fontId="10" fillId="0" borderId="0" xfId="0" applyFont="1" applyFill="1" applyBorder="1" applyAlignment="1">
      <alignment horizontal="left"/>
    </xf>
    <xf numFmtId="172" fontId="0" fillId="0" borderId="0" xfId="0" applyNumberFormat="1" applyFill="1"/>
    <xf numFmtId="171" fontId="0" fillId="0" borderId="0" xfId="0" applyNumberFormat="1" applyFill="1"/>
    <xf numFmtId="0" fontId="14" fillId="0" borderId="0" xfId="0" applyFont="1" applyFill="1" applyAlignment="1"/>
    <xf numFmtId="173" fontId="0" fillId="0" borderId="0" xfId="0" applyNumberFormat="1" applyFill="1"/>
    <xf numFmtId="0" fontId="11" fillId="0" borderId="0" xfId="28" applyFont="1" applyFill="1" applyAlignment="1">
      <alignment horizontal="right" vertical="center"/>
    </xf>
    <xf numFmtId="0" fontId="11" fillId="0" borderId="0" xfId="28" applyFont="1" applyFill="1" applyAlignment="1">
      <alignment horizontal="right"/>
    </xf>
    <xf numFmtId="42" fontId="13" fillId="0" borderId="0" xfId="20" applyNumberFormat="1" applyFont="1" applyFill="1" applyBorder="1"/>
    <xf numFmtId="164" fontId="13" fillId="0" borderId="0" xfId="20" applyNumberFormat="1" applyFont="1" applyFill="1" applyBorder="1"/>
    <xf numFmtId="0" fontId="26" fillId="0" borderId="0" xfId="28" applyFont="1" applyFill="1" applyAlignment="1">
      <alignment vertical="center"/>
    </xf>
    <xf numFmtId="0" fontId="13" fillId="0" borderId="0" xfId="28" applyFont="1" applyFill="1" applyAlignment="1">
      <alignment vertical="center"/>
    </xf>
    <xf numFmtId="164" fontId="13" fillId="0" borderId="0" xfId="39" applyNumberFormat="1" applyFont="1" applyFill="1"/>
    <xf numFmtId="164" fontId="10" fillId="0" borderId="0" xfId="106" applyNumberFormat="1" applyFont="1" applyFill="1"/>
    <xf numFmtId="0" fontId="21" fillId="0" borderId="0" xfId="100" applyFont="1" applyFill="1"/>
    <xf numFmtId="42" fontId="13" fillId="0" borderId="0" xfId="39" applyNumberFormat="1" applyFont="1" applyFill="1"/>
    <xf numFmtId="42" fontId="13" fillId="0" borderId="0" xfId="28" applyNumberFormat="1" applyFont="1" applyFill="1"/>
    <xf numFmtId="0" fontId="11" fillId="0" borderId="0" xfId="28" applyFont="1" applyFill="1" applyAlignment="1">
      <alignment horizontal="center" wrapText="1"/>
    </xf>
    <xf numFmtId="0" fontId="14" fillId="0" borderId="0" xfId="28" applyFont="1" applyFill="1"/>
    <xf numFmtId="164" fontId="10" fillId="0" borderId="0" xfId="28" applyNumberFormat="1" applyFont="1" applyFill="1"/>
    <xf numFmtId="168" fontId="13" fillId="0" borderId="0" xfId="28" applyNumberFormat="1" applyFont="1" applyFill="1"/>
    <xf numFmtId="0" fontId="10" fillId="0" borderId="0" xfId="28" applyFont="1" applyFill="1" applyAlignment="1">
      <alignment vertical="center"/>
    </xf>
    <xf numFmtId="0" fontId="21" fillId="0" borderId="0" xfId="28" applyFont="1" applyFill="1"/>
    <xf numFmtId="37" fontId="10" fillId="0" borderId="0" xfId="19" quotePrefix="1" applyNumberFormat="1" applyFont="1" applyFill="1" applyBorder="1"/>
    <xf numFmtId="37" fontId="0" fillId="0" borderId="8" xfId="19" applyNumberFormat="1" applyFont="1" applyFill="1" applyBorder="1"/>
    <xf numFmtId="164" fontId="17" fillId="36" borderId="0" xfId="23" applyNumberFormat="1" applyFont="1" applyFill="1" applyAlignment="1">
      <alignment horizontal="right"/>
    </xf>
    <xf numFmtId="164" fontId="10" fillId="36" borderId="0" xfId="125" applyNumberFormat="1" applyFill="1"/>
    <xf numFmtId="0" fontId="10" fillId="36" borderId="0" xfId="125" applyFill="1" applyAlignment="1">
      <alignment horizontal="center"/>
    </xf>
    <xf numFmtId="0" fontId="10" fillId="36" borderId="0" xfId="125" quotePrefix="1" applyFont="1" applyFill="1"/>
    <xf numFmtId="168" fontId="10" fillId="36" borderId="0" xfId="125" applyNumberFormat="1" applyFont="1" applyFill="1" applyAlignment="1">
      <alignment horizontal="left"/>
    </xf>
    <xf numFmtId="182" fontId="10" fillId="36" borderId="0" xfId="125" applyNumberFormat="1" applyFill="1" applyAlignment="1">
      <alignment horizontal="center"/>
    </xf>
    <xf numFmtId="0" fontId="10" fillId="36" borderId="0" xfId="125" applyFont="1" applyFill="1" applyAlignment="1">
      <alignment horizontal="center"/>
    </xf>
    <xf numFmtId="10" fontId="13" fillId="0" borderId="0" xfId="0" applyNumberFormat="1" applyFont="1" applyFill="1"/>
    <xf numFmtId="10" fontId="10" fillId="36" borderId="0" xfId="0" quotePrefix="1" applyNumberFormat="1" applyFont="1" applyFill="1" applyAlignment="1">
      <alignment horizontal="right"/>
    </xf>
    <xf numFmtId="164" fontId="10" fillId="0" borderId="8" xfId="96" applyNumberFormat="1" applyFont="1" applyBorder="1"/>
    <xf numFmtId="3" fontId="10" fillId="36" borderId="0" xfId="128" applyNumberFormat="1" applyFont="1" applyFill="1" applyAlignment="1">
      <alignment horizontal="center"/>
    </xf>
    <xf numFmtId="3" fontId="10" fillId="36" borderId="0" xfId="129" applyNumberFormat="1" applyFont="1" applyFill="1" applyAlignment="1">
      <alignment horizontal="center"/>
    </xf>
    <xf numFmtId="3" fontId="10" fillId="36" borderId="0" xfId="130" applyNumberFormat="1" applyFont="1" applyFill="1" applyAlignment="1">
      <alignment horizontal="center"/>
    </xf>
    <xf numFmtId="3" fontId="10" fillId="36" borderId="0" xfId="126" applyNumberFormat="1" applyFont="1" applyFill="1" applyBorder="1"/>
    <xf numFmtId="41" fontId="11" fillId="0" borderId="0" xfId="0" applyNumberFormat="1" applyFont="1" applyFill="1" applyAlignment="1">
      <alignment horizontal="center"/>
    </xf>
    <xf numFmtId="0" fontId="11" fillId="0" borderId="0" xfId="0" applyFont="1" applyAlignment="1">
      <alignment horizontal="center"/>
    </xf>
    <xf numFmtId="164" fontId="11" fillId="0" borderId="0" xfId="0" applyNumberFormat="1" applyFont="1" applyAlignment="1">
      <alignment horizontal="center"/>
    </xf>
    <xf numFmtId="0" fontId="44" fillId="36" borderId="0" xfId="0" applyFont="1" applyFill="1" applyAlignment="1">
      <alignment horizontal="left" vertical="center" indent="1"/>
    </xf>
    <xf numFmtId="164" fontId="43" fillId="36" borderId="0" xfId="0" applyNumberFormat="1" applyFont="1" applyFill="1"/>
    <xf numFmtId="0" fontId="43" fillId="36" borderId="0" xfId="0" quotePrefix="1" applyFont="1" applyFill="1" applyAlignment="1">
      <alignment horizontal="left" indent="1"/>
    </xf>
    <xf numFmtId="0" fontId="48" fillId="0" borderId="0" xfId="0" quotePrefix="1" applyFont="1" applyAlignment="1">
      <alignment horizontal="center"/>
    </xf>
    <xf numFmtId="0" fontId="42" fillId="0" borderId="0" xfId="0" applyFont="1" applyAlignment="1">
      <alignment horizontal="left" indent="1"/>
    </xf>
    <xf numFmtId="0" fontId="66" fillId="0" borderId="0" xfId="0" applyFont="1"/>
    <xf numFmtId="0" fontId="67" fillId="0" borderId="0" xfId="0" applyFont="1"/>
    <xf numFmtId="0" fontId="68" fillId="0" borderId="0" xfId="0" applyFont="1" applyFill="1"/>
    <xf numFmtId="0" fontId="49" fillId="0" borderId="0" xfId="0" applyFont="1" applyFill="1"/>
    <xf numFmtId="0" fontId="69" fillId="0" borderId="0" xfId="0" applyFont="1" applyFill="1" applyAlignment="1">
      <alignment horizontal="left" indent="1"/>
    </xf>
    <xf numFmtId="0" fontId="40" fillId="0" borderId="0" xfId="0" applyFont="1" applyAlignment="1">
      <alignment horizontal="center"/>
    </xf>
    <xf numFmtId="0" fontId="11" fillId="0" borderId="0" xfId="0" applyFont="1" applyAlignment="1">
      <alignment horizontal="center"/>
    </xf>
    <xf numFmtId="0" fontId="60" fillId="0" borderId="0" xfId="0" applyFont="1" applyAlignment="1">
      <alignment horizontal="center"/>
    </xf>
    <xf numFmtId="0" fontId="10" fillId="36" borderId="0" xfId="0" applyNumberFormat="1" applyFont="1" applyFill="1" applyAlignment="1">
      <alignment horizontal="center"/>
    </xf>
    <xf numFmtId="0" fontId="11" fillId="0" borderId="6" xfId="28" applyFont="1" applyBorder="1" applyAlignment="1">
      <alignment horizontal="center"/>
    </xf>
    <xf numFmtId="0" fontId="11" fillId="0" borderId="9" xfId="28" applyFont="1" applyBorder="1" applyAlignment="1">
      <alignment horizontal="center"/>
    </xf>
    <xf numFmtId="0" fontId="11" fillId="0" borderId="4" xfId="28" applyFont="1" applyBorder="1" applyAlignment="1">
      <alignment horizontal="center"/>
    </xf>
    <xf numFmtId="0" fontId="11" fillId="0" borderId="7" xfId="28" applyFont="1" applyBorder="1" applyAlignment="1">
      <alignment horizontal="center"/>
    </xf>
    <xf numFmtId="0" fontId="11" fillId="0" borderId="5" xfId="28" applyFont="1" applyBorder="1" applyAlignment="1">
      <alignment horizontal="center"/>
    </xf>
    <xf numFmtId="0" fontId="11" fillId="0" borderId="3" xfId="28" applyFont="1" applyFill="1" applyBorder="1" applyAlignment="1">
      <alignment horizontal="center"/>
    </xf>
    <xf numFmtId="0" fontId="11" fillId="0" borderId="6" xfId="28" applyFont="1" applyFill="1" applyBorder="1" applyAlignment="1">
      <alignment horizontal="center"/>
    </xf>
    <xf numFmtId="0" fontId="11" fillId="0" borderId="9" xfId="28" applyFont="1" applyFill="1" applyBorder="1" applyAlignment="1">
      <alignment horizontal="center"/>
    </xf>
    <xf numFmtId="0" fontId="11" fillId="0" borderId="4" xfId="28" applyFont="1" applyFill="1" applyBorder="1" applyAlignment="1">
      <alignment horizontal="center"/>
    </xf>
    <xf numFmtId="0" fontId="11" fillId="0" borderId="3" xfId="28" applyFont="1" applyBorder="1" applyAlignment="1"/>
    <xf numFmtId="0" fontId="10" fillId="0" borderId="0" xfId="0" applyFont="1" applyFill="1" applyBorder="1" applyAlignment="1">
      <alignment vertical="top" wrapText="1"/>
    </xf>
    <xf numFmtId="0" fontId="0" fillId="0" borderId="0" xfId="0" applyFill="1" applyAlignment="1">
      <alignment vertical="top" wrapText="1"/>
    </xf>
    <xf numFmtId="0" fontId="0" fillId="0" borderId="0" xfId="0" applyFill="1" applyAlignment="1">
      <alignment wrapText="1"/>
    </xf>
    <xf numFmtId="0" fontId="11" fillId="0" borderId="6" xfId="0" applyNumberFormat="1" applyFont="1" applyFill="1" applyBorder="1" applyAlignment="1"/>
    <xf numFmtId="0" fontId="0" fillId="0" borderId="9" xfId="0" applyBorder="1" applyAlignment="1"/>
    <xf numFmtId="0" fontId="0" fillId="0" borderId="4" xfId="0" applyBorder="1" applyAlignment="1"/>
    <xf numFmtId="0" fontId="13" fillId="0" borderId="0" xfId="0" applyFont="1" applyFill="1" applyBorder="1" applyAlignment="1">
      <alignment vertical="top" wrapText="1"/>
    </xf>
    <xf numFmtId="0" fontId="0" fillId="0" borderId="0" xfId="0" applyAlignment="1">
      <alignment vertical="top" wrapText="1"/>
    </xf>
    <xf numFmtId="0" fontId="0" fillId="0" borderId="0" xfId="0" applyAlignment="1"/>
    <xf numFmtId="0" fontId="0" fillId="0" borderId="0" xfId="0" applyFill="1" applyAlignment="1"/>
    <xf numFmtId="0" fontId="11" fillId="0" borderId="10" xfId="0" applyNumberFormat="1" applyFont="1" applyFill="1" applyBorder="1" applyAlignment="1">
      <alignment wrapText="1"/>
    </xf>
    <xf numFmtId="0" fontId="0" fillId="0" borderId="8" xfId="0" applyBorder="1" applyAlignment="1">
      <alignment wrapText="1"/>
    </xf>
    <xf numFmtId="0" fontId="0" fillId="0" borderId="11" xfId="0" applyBorder="1" applyAlignment="1">
      <alignment wrapText="1"/>
    </xf>
    <xf numFmtId="0" fontId="11" fillId="0" borderId="6" xfId="0" applyFont="1" applyFill="1" applyBorder="1" applyAlignment="1"/>
    <xf numFmtId="0" fontId="13" fillId="0" borderId="6" xfId="0" applyFont="1" applyFill="1" applyBorder="1" applyAlignment="1">
      <alignment horizontal="left"/>
    </xf>
    <xf numFmtId="0" fontId="13" fillId="0" borderId="4" xfId="0" applyFont="1" applyFill="1" applyBorder="1" applyAlignment="1">
      <alignment horizontal="left"/>
    </xf>
    <xf numFmtId="0" fontId="10" fillId="0" borderId="0" xfId="0" applyFont="1" applyFill="1" applyBorder="1" applyAlignment="1">
      <alignment wrapText="1"/>
    </xf>
    <xf numFmtId="0" fontId="0" fillId="0" borderId="0" xfId="0" applyAlignment="1">
      <alignment wrapText="1"/>
    </xf>
    <xf numFmtId="0" fontId="11" fillId="0" borderId="3" xfId="0" applyFont="1" applyFill="1" applyBorder="1" applyAlignment="1">
      <alignment wrapText="1"/>
    </xf>
    <xf numFmtId="0" fontId="0" fillId="0" borderId="3" xfId="0" applyBorder="1" applyAlignment="1">
      <alignment wrapText="1"/>
    </xf>
    <xf numFmtId="0" fontId="0" fillId="0" borderId="9" xfId="0" applyFill="1" applyBorder="1" applyAlignment="1"/>
    <xf numFmtId="0" fontId="0" fillId="0" borderId="4" xfId="0" applyFill="1" applyBorder="1" applyAlignment="1"/>
    <xf numFmtId="39" fontId="13" fillId="0" borderId="6" xfId="22" applyNumberFormat="1" applyFont="1" applyBorder="1" applyAlignment="1">
      <alignment horizontal="center"/>
    </xf>
    <xf numFmtId="0" fontId="0" fillId="0" borderId="9" xfId="0" applyBorder="1"/>
    <xf numFmtId="0" fontId="0" fillId="0" borderId="4" xfId="0" applyBorder="1"/>
    <xf numFmtId="0" fontId="11" fillId="0" borderId="6" xfId="0" applyNumberFormat="1" applyFont="1" applyFill="1" applyBorder="1" applyAlignment="1">
      <alignment wrapText="1"/>
    </xf>
    <xf numFmtId="0" fontId="0" fillId="0" borderId="9" xfId="0" applyBorder="1" applyAlignment="1">
      <alignment wrapText="1"/>
    </xf>
    <xf numFmtId="0" fontId="0" fillId="0" borderId="4" xfId="0" applyBorder="1" applyAlignment="1">
      <alignment wrapText="1"/>
    </xf>
    <xf numFmtId="0" fontId="11" fillId="0" borderId="3" xfId="0" applyNumberFormat="1" applyFont="1" applyFill="1" applyBorder="1" applyAlignment="1">
      <alignment wrapText="1"/>
    </xf>
    <xf numFmtId="0" fontId="13" fillId="0" borderId="0" xfId="0" applyFont="1" applyAlignment="1">
      <alignment horizontal="left" wrapText="1"/>
    </xf>
    <xf numFmtId="0" fontId="50" fillId="0" borderId="0" xfId="0" applyFont="1" applyAlignment="1">
      <alignment horizontal="left" wrapText="1"/>
    </xf>
    <xf numFmtId="0" fontId="10" fillId="0" borderId="12" xfId="126" applyFont="1" applyFill="1" applyBorder="1" applyAlignment="1">
      <alignment horizontal="center"/>
    </xf>
    <xf numFmtId="0" fontId="10" fillId="0" borderId="14" xfId="126" applyFont="1" applyFill="1" applyBorder="1" applyAlignment="1">
      <alignment horizontal="center"/>
    </xf>
    <xf numFmtId="0" fontId="10" fillId="0" borderId="13" xfId="126" applyFont="1" applyFill="1" applyBorder="1" applyAlignment="1">
      <alignment horizontal="center"/>
    </xf>
    <xf numFmtId="0" fontId="10" fillId="0" borderId="6" xfId="126" applyFont="1" applyFill="1" applyBorder="1" applyAlignment="1">
      <alignment horizontal="center" wrapText="1"/>
    </xf>
    <xf numFmtId="0" fontId="10" fillId="0" borderId="9" xfId="126" applyFont="1" applyFill="1" applyBorder="1" applyAlignment="1">
      <alignment horizontal="center" wrapText="1"/>
    </xf>
    <xf numFmtId="0" fontId="10" fillId="0" borderId="4" xfId="126" applyFont="1" applyFill="1" applyBorder="1" applyAlignment="1">
      <alignment horizontal="center" wrapText="1"/>
    </xf>
    <xf numFmtId="166" fontId="10" fillId="0" borderId="18" xfId="126" applyNumberFormat="1" applyBorder="1" applyAlignment="1">
      <alignment horizontal="center"/>
    </xf>
  </cellXfs>
  <cellStyles count="162">
    <cellStyle name="Accent1 - 20%" xfId="1"/>
    <cellStyle name="Accent1 - 40%" xfId="2"/>
    <cellStyle name="Accent1 - 60%" xfId="3"/>
    <cellStyle name="Accent2 - 20%" xfId="4"/>
    <cellStyle name="Accent2 - 40%" xfId="5"/>
    <cellStyle name="Accent2 - 60%" xfId="6"/>
    <cellStyle name="Accent3 - 20%" xfId="7"/>
    <cellStyle name="Accent3 - 40%" xfId="8"/>
    <cellStyle name="Accent3 - 60%" xfId="9"/>
    <cellStyle name="Accent4 - 20%" xfId="10"/>
    <cellStyle name="Accent4 - 40%" xfId="11"/>
    <cellStyle name="Accent4 - 60%" xfId="12"/>
    <cellStyle name="Accent5 - 20%" xfId="13"/>
    <cellStyle name="Accent5 - 40%" xfId="14"/>
    <cellStyle name="Accent5 - 60%" xfId="15"/>
    <cellStyle name="Accent6 - 20%" xfId="16"/>
    <cellStyle name="Accent6 - 40%" xfId="17"/>
    <cellStyle name="Accent6 - 60%" xfId="18"/>
    <cellStyle name="Comma" xfId="19" builtinId="3"/>
    <cellStyle name="Comma 2" xfId="20"/>
    <cellStyle name="Comma 2 2" xfId="21"/>
    <cellStyle name="Comma 2 2 2" xfId="96"/>
    <cellStyle name="Comma 2 3" xfId="95"/>
    <cellStyle name="Comma 2 4" xfId="83"/>
    <cellStyle name="Comma 3" xfId="22"/>
    <cellStyle name="Comma 3 2" xfId="97"/>
    <cellStyle name="Comma 4" xfId="94"/>
    <cellStyle name="Comma 5" xfId="139"/>
    <cellStyle name="Comma 8" xfId="133"/>
    <cellStyle name="Currency" xfId="23" builtinId="4"/>
    <cellStyle name="Currency 2" xfId="98"/>
    <cellStyle name="Currency 3" xfId="140"/>
    <cellStyle name="Emphasis 1" xfId="24"/>
    <cellStyle name="Emphasis 2" xfId="25"/>
    <cellStyle name="Emphasis 3" xfId="26"/>
    <cellStyle name="Hyperlink" xfId="27" builtinId="8"/>
    <cellStyle name="Normal" xfId="0" builtinId="0"/>
    <cellStyle name="Normal 10" xfId="125"/>
    <cellStyle name="Normal 10 6" xfId="135"/>
    <cellStyle name="Normal 12" xfId="128"/>
    <cellStyle name="Normal 13" xfId="130"/>
    <cellStyle name="Normal 14" xfId="129"/>
    <cellStyle name="Normal 15" xfId="132"/>
    <cellStyle name="Normal 16" xfId="131"/>
    <cellStyle name="Normal 2" xfId="28"/>
    <cellStyle name="Normal 2 2" xfId="29"/>
    <cellStyle name="Normal 2 2 2" xfId="100"/>
    <cellStyle name="Normal 2 3" xfId="30"/>
    <cellStyle name="Normal 2 3 2" xfId="101"/>
    <cellStyle name="Normal 2 4" xfId="31"/>
    <cellStyle name="Normal 2 4 2" xfId="102"/>
    <cellStyle name="Normal 2 5" xfId="99"/>
    <cellStyle name="Normal 2 6" xfId="82"/>
    <cellStyle name="Normal 2 6 2" xfId="110"/>
    <cellStyle name="Normal 2 6 2 2" xfId="116"/>
    <cellStyle name="Normal 2 6 2 2 2" xfId="153"/>
    <cellStyle name="Normal 2 6 2 3" xfId="120"/>
    <cellStyle name="Normal 2 6 2 3 2" xfId="157"/>
    <cellStyle name="Normal 2 6 2 4" xfId="124"/>
    <cellStyle name="Normal 2 6 2 4 2" xfId="161"/>
    <cellStyle name="Normal 2 6 2 5" xfId="147"/>
    <cellStyle name="Normal 2 6 2 6" xfId="143"/>
    <cellStyle name="Normal 2 6 3" xfId="111"/>
    <cellStyle name="Normal 2 6 3 2" xfId="148"/>
    <cellStyle name="Normal 2 6 4" xfId="114"/>
    <cellStyle name="Normal 2 6 4 2" xfId="151"/>
    <cellStyle name="Normal 2 6 5" xfId="118"/>
    <cellStyle name="Normal 2 6 5 2" xfId="155"/>
    <cellStyle name="Normal 2 6 6" xfId="122"/>
    <cellStyle name="Normal 2 6 6 2" xfId="159"/>
    <cellStyle name="Normal 2 6 7" xfId="145"/>
    <cellStyle name="Normal 2 6 8" xfId="137"/>
    <cellStyle name="Normal 2 7" xfId="127"/>
    <cellStyle name="Normal 3" xfId="80"/>
    <cellStyle name="Normal 3 2" xfId="32"/>
    <cellStyle name="Normal 3 2 2" xfId="103"/>
    <cellStyle name="Normal 4" xfId="33"/>
    <cellStyle name="Normal 4 2" xfId="104"/>
    <cellStyle name="Normal 5" xfId="93"/>
    <cellStyle name="Normal 5 2" xfId="107"/>
    <cellStyle name="Normal 6" xfId="81"/>
    <cellStyle name="Normal 6 2" xfId="109"/>
    <cellStyle name="Normal 6 2 2" xfId="115"/>
    <cellStyle name="Normal 6 2 2 2" xfId="152"/>
    <cellStyle name="Normal 6 2 3" xfId="119"/>
    <cellStyle name="Normal 6 2 3 2" xfId="156"/>
    <cellStyle name="Normal 6 2 4" xfId="123"/>
    <cellStyle name="Normal 6 2 4 2" xfId="160"/>
    <cellStyle name="Normal 6 2 5" xfId="146"/>
    <cellStyle name="Normal 6 2 6" xfId="142"/>
    <cellStyle name="Normal 6 3" xfId="112"/>
    <cellStyle name="Normal 6 3 2" xfId="149"/>
    <cellStyle name="Normal 6 4" xfId="113"/>
    <cellStyle name="Normal 6 4 2" xfId="150"/>
    <cellStyle name="Normal 6 5" xfId="117"/>
    <cellStyle name="Normal 6 5 2" xfId="154"/>
    <cellStyle name="Normal 6 6" xfId="121"/>
    <cellStyle name="Normal 6 6 2" xfId="158"/>
    <cellStyle name="Normal 6 7" xfId="144"/>
    <cellStyle name="Normal 6 8" xfId="136"/>
    <cellStyle name="Normal 7" xfId="108"/>
    <cellStyle name="Normal 8" xfId="126"/>
    <cellStyle name="Normal 9" xfId="138"/>
    <cellStyle name="Normal_2008 ISO Transmission Study test v1" xfId="34"/>
    <cellStyle name="Normal_Rate-Design" xfId="35"/>
    <cellStyle name="Normal_Statement AD Period I 2004" xfId="36"/>
    <cellStyle name="Percent" xfId="37" builtinId="5"/>
    <cellStyle name="Percent 2" xfId="38"/>
    <cellStyle name="Percent 3" xfId="39"/>
    <cellStyle name="Percent 3 2" xfId="106"/>
    <cellStyle name="Percent 3 3" xfId="134"/>
    <cellStyle name="Percent 4" xfId="105"/>
    <cellStyle name="Percent 5" xfId="141"/>
    <cellStyle name="SAPBEXaggData" xfId="40"/>
    <cellStyle name="SAPBEXaggDataEmph" xfId="41"/>
    <cellStyle name="SAPBEXaggItem" xfId="42"/>
    <cellStyle name="SAPBEXaggItemX" xfId="43"/>
    <cellStyle name="SAPBEXchaText" xfId="44"/>
    <cellStyle name="SAPBEXexcBad7" xfId="45"/>
    <cellStyle name="SAPBEXexcBad8" xfId="46"/>
    <cellStyle name="SAPBEXexcBad9" xfId="47"/>
    <cellStyle name="SAPBEXexcCritical4" xfId="48"/>
    <cellStyle name="SAPBEXexcCritical5" xfId="49"/>
    <cellStyle name="SAPBEXexcCritical6" xfId="50"/>
    <cellStyle name="SAPBEXexcGood1" xfId="51"/>
    <cellStyle name="SAPBEXexcGood2" xfId="52"/>
    <cellStyle name="SAPBEXexcGood3" xfId="53"/>
    <cellStyle name="SAPBEXfilterDrill" xfId="54"/>
    <cellStyle name="SAPBEXfilterItem" xfId="55"/>
    <cellStyle name="SAPBEXfilterText" xfId="56"/>
    <cellStyle name="SAPBEXformats" xfId="57"/>
    <cellStyle name="SAPBEXheaderItem" xfId="58"/>
    <cellStyle name="SAPBEXheaderText" xfId="59"/>
    <cellStyle name="SAPBEXHLevel0" xfId="60"/>
    <cellStyle name="SAPBEXHLevel0 2" xfId="84"/>
    <cellStyle name="SAPBEXHLevel0X" xfId="61"/>
    <cellStyle name="SAPBEXHLevel0X 2" xfId="85"/>
    <cellStyle name="SAPBEXHLevel1" xfId="62"/>
    <cellStyle name="SAPBEXHLevel1 2" xfId="86"/>
    <cellStyle name="SAPBEXHLevel1X" xfId="63"/>
    <cellStyle name="SAPBEXHLevel1X 2" xfId="87"/>
    <cellStyle name="SAPBEXHLevel2" xfId="64"/>
    <cellStyle name="SAPBEXHLevel2 2" xfId="88"/>
    <cellStyle name="SAPBEXHLevel2X" xfId="65"/>
    <cellStyle name="SAPBEXHLevel2X 2" xfId="89"/>
    <cellStyle name="SAPBEXHLevel3" xfId="66"/>
    <cellStyle name="SAPBEXHLevel3 2" xfId="90"/>
    <cellStyle name="SAPBEXHLevel3X" xfId="67"/>
    <cellStyle name="SAPBEXHLevel3X 2" xfId="91"/>
    <cellStyle name="SAPBEXinputData" xfId="68"/>
    <cellStyle name="SAPBEXinputData 2" xfId="92"/>
    <cellStyle name="SAPBEXresData" xfId="69"/>
    <cellStyle name="SAPBEXresDataEmph" xfId="70"/>
    <cellStyle name="SAPBEXresItem" xfId="71"/>
    <cellStyle name="SAPBEXresItemX" xfId="72"/>
    <cellStyle name="SAPBEXstdData" xfId="73"/>
    <cellStyle name="SAPBEXstdDataEmph" xfId="74"/>
    <cellStyle name="SAPBEXstdItem" xfId="75"/>
    <cellStyle name="SAPBEXstdItemX" xfId="76"/>
    <cellStyle name="SAPBEXtitle" xfId="77"/>
    <cellStyle name="SAPBEXundefined" xfId="78"/>
    <cellStyle name="Sheet Title" xfId="79"/>
  </cellStyles>
  <dxfs count="11">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ill>
        <patternFill>
          <bgColor indexed="42"/>
        </patternFill>
      </fill>
    </dxf>
    <dxf>
      <fill>
        <patternFill>
          <bgColor indexed="42"/>
        </patternFill>
      </fill>
    </dxf>
    <dxf>
      <fill>
        <patternFill>
          <bgColor indexed="42"/>
        </patternFill>
      </fill>
    </dxf>
    <dxf>
      <font>
        <condense val="0"/>
        <extend val="0"/>
        <color auto="1"/>
      </font>
    </dxf>
    <dxf>
      <font>
        <condense val="0"/>
        <extend val="0"/>
        <color auto="1"/>
      </font>
    </dxf>
  </dxfs>
  <tableStyles count="0" defaultTableStyle="TableStyleMedium9" defaultPivotStyle="PivotStyleLight16"/>
  <colors>
    <mruColors>
      <color rgb="FF99FFCC"/>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tabSelected="1" zoomScaleNormal="100" workbookViewId="0"/>
  </sheetViews>
  <sheetFormatPr defaultRowHeight="13.2" x14ac:dyDescent="0.25"/>
  <sheetData>
    <row r="1" spans="1:11" x14ac:dyDescent="0.25">
      <c r="A1" s="1"/>
    </row>
    <row r="2" spans="1:11" ht="21" x14ac:dyDescent="0.4">
      <c r="A2" s="1294" t="s">
        <v>2798</v>
      </c>
      <c r="B2" s="1294"/>
      <c r="C2" s="1294"/>
      <c r="D2" s="1294"/>
      <c r="E2" s="1294"/>
      <c r="F2" s="1294"/>
      <c r="G2" s="1294"/>
      <c r="H2" s="1294"/>
      <c r="I2" s="1294"/>
      <c r="J2" s="1294"/>
      <c r="K2" s="1294"/>
    </row>
    <row r="4" spans="1:11" x14ac:dyDescent="0.25">
      <c r="A4" s="1295" t="s">
        <v>2799</v>
      </c>
      <c r="B4" s="1295"/>
      <c r="C4" s="1295"/>
      <c r="D4" s="1295"/>
      <c r="E4" s="1295"/>
      <c r="F4" s="1295"/>
      <c r="G4" s="1295"/>
      <c r="H4" s="1295"/>
      <c r="I4" s="1295"/>
      <c r="J4" s="1295"/>
      <c r="K4" s="1295"/>
    </row>
    <row r="6" spans="1:11" x14ac:dyDescent="0.25">
      <c r="C6" s="1" t="s">
        <v>2800</v>
      </c>
    </row>
    <row r="7" spans="1:11" x14ac:dyDescent="0.25">
      <c r="C7" s="1" t="s">
        <v>2854</v>
      </c>
    </row>
    <row r="11" spans="1:11" x14ac:dyDescent="0.25">
      <c r="B11" s="551"/>
    </row>
    <row r="13" spans="1:11" x14ac:dyDescent="0.25">
      <c r="B13" s="551"/>
      <c r="K13" s="1"/>
    </row>
    <row r="14" spans="1:11" x14ac:dyDescent="0.25">
      <c r="C14" s="551"/>
      <c r="K14" s="551"/>
    </row>
    <row r="15" spans="1:11" x14ac:dyDescent="0.25">
      <c r="C15" s="551"/>
      <c r="K15" s="551"/>
    </row>
    <row r="16" spans="1:11" x14ac:dyDescent="0.25">
      <c r="C16" s="551"/>
      <c r="K16" s="551"/>
    </row>
    <row r="17" spans="1:14" x14ac:dyDescent="0.25">
      <c r="C17" s="551"/>
      <c r="K17" s="551"/>
    </row>
    <row r="18" spans="1:14" x14ac:dyDescent="0.25">
      <c r="C18" s="551"/>
      <c r="K18" s="551"/>
    </row>
    <row r="19" spans="1:14" x14ac:dyDescent="0.25">
      <c r="C19" s="551"/>
      <c r="K19" s="551"/>
    </row>
    <row r="20" spans="1:14" x14ac:dyDescent="0.25">
      <c r="C20" s="551"/>
      <c r="K20" s="551"/>
    </row>
    <row r="21" spans="1:14" x14ac:dyDescent="0.25">
      <c r="K21" s="551"/>
      <c r="M21" s="1"/>
    </row>
    <row r="23" spans="1:14" x14ac:dyDescent="0.25">
      <c r="C23" s="1"/>
      <c r="K23" s="551"/>
    </row>
    <row r="25" spans="1:14" x14ac:dyDescent="0.25">
      <c r="B25" s="551"/>
      <c r="K25" s="551"/>
    </row>
    <row r="26" spans="1:14" x14ac:dyDescent="0.25">
      <c r="B26" s="551"/>
      <c r="K26" s="551"/>
    </row>
    <row r="27" spans="1:14" x14ac:dyDescent="0.25">
      <c r="B27" s="551"/>
      <c r="K27" s="551"/>
    </row>
    <row r="29" spans="1:14" x14ac:dyDescent="0.25">
      <c r="A29" s="1"/>
    </row>
    <row r="30" spans="1:14" x14ac:dyDescent="0.25">
      <c r="N30" s="1"/>
    </row>
    <row r="31" spans="1:14" x14ac:dyDescent="0.25">
      <c r="N31" s="551"/>
    </row>
    <row r="32" spans="1:14" x14ac:dyDescent="0.25">
      <c r="N32" s="551"/>
    </row>
    <row r="33" spans="2:14" x14ac:dyDescent="0.25">
      <c r="N33" s="551"/>
    </row>
    <row r="34" spans="2:14" x14ac:dyDescent="0.25">
      <c r="C34" s="551"/>
      <c r="N34" s="551"/>
    </row>
    <row r="35" spans="2:14" x14ac:dyDescent="0.25">
      <c r="C35" s="551"/>
      <c r="N35" s="551"/>
    </row>
    <row r="36" spans="2:14" x14ac:dyDescent="0.25">
      <c r="C36" s="551"/>
      <c r="N36" s="551"/>
    </row>
    <row r="37" spans="2:14" x14ac:dyDescent="0.25">
      <c r="C37" s="551"/>
      <c r="D37" s="551"/>
      <c r="N37" s="551"/>
    </row>
    <row r="38" spans="2:14" x14ac:dyDescent="0.25">
      <c r="N38" s="551"/>
    </row>
    <row r="39" spans="2:14" x14ac:dyDescent="0.25">
      <c r="N39" s="551"/>
    </row>
    <row r="40" spans="2:14" x14ac:dyDescent="0.25">
      <c r="N40" s="551"/>
    </row>
    <row r="41" spans="2:14" x14ac:dyDescent="0.25">
      <c r="B41" s="551"/>
      <c r="N41" s="551"/>
    </row>
    <row r="42" spans="2:14" x14ac:dyDescent="0.25">
      <c r="B42" s="551"/>
      <c r="N42" s="551"/>
    </row>
    <row r="43" spans="2:14" x14ac:dyDescent="0.25">
      <c r="B43" s="551"/>
    </row>
    <row r="44" spans="2:14" x14ac:dyDescent="0.25">
      <c r="B44" s="551"/>
      <c r="N44" s="551"/>
    </row>
    <row r="46" spans="2:14" x14ac:dyDescent="0.25">
      <c r="B46" s="551"/>
      <c r="N46" s="551"/>
    </row>
  </sheetData>
  <mergeCells count="2">
    <mergeCell ref="A2:K2"/>
    <mergeCell ref="A4:K4"/>
  </mergeCells>
  <pageMargins left="0.7" right="0.7" top="0.75" bottom="0.75" header="0.3" footer="0.3"/>
  <pageSetup scale="9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8"/>
  <sheetViews>
    <sheetView zoomScale="80" zoomScaleNormal="80" workbookViewId="0">
      <selection activeCell="B38" sqref="B38"/>
    </sheetView>
  </sheetViews>
  <sheetFormatPr defaultRowHeight="13.2" x14ac:dyDescent="0.25"/>
  <cols>
    <col min="1" max="1" width="4.6640625" customWidth="1"/>
    <col min="2" max="2" width="3.6640625" customWidth="1"/>
    <col min="3" max="16" width="14.6640625" customWidth="1"/>
  </cols>
  <sheetData>
    <row r="1" spans="1:16" x14ac:dyDescent="0.25">
      <c r="A1" s="1" t="s">
        <v>1875</v>
      </c>
      <c r="B1" s="1"/>
    </row>
    <row r="2" spans="1:16" x14ac:dyDescent="0.25">
      <c r="A2" s="121" t="s">
        <v>2792</v>
      </c>
      <c r="B2" s="1281">
        <f>'5-ROR-1'!L2</f>
        <v>0</v>
      </c>
    </row>
    <row r="3" spans="1:16" x14ac:dyDescent="0.25">
      <c r="C3" s="92" t="s">
        <v>394</v>
      </c>
      <c r="D3" s="92" t="s">
        <v>378</v>
      </c>
      <c r="E3" s="92" t="s">
        <v>379</v>
      </c>
      <c r="F3" s="92" t="s">
        <v>380</v>
      </c>
      <c r="G3" s="92" t="s">
        <v>381</v>
      </c>
      <c r="H3" s="92" t="s">
        <v>382</v>
      </c>
      <c r="I3" s="92" t="s">
        <v>383</v>
      </c>
      <c r="J3" s="92" t="s">
        <v>597</v>
      </c>
      <c r="K3" s="92" t="s">
        <v>1046</v>
      </c>
      <c r="L3" s="92" t="s">
        <v>1062</v>
      </c>
      <c r="M3" s="92" t="s">
        <v>1065</v>
      </c>
      <c r="N3" s="92" t="s">
        <v>1083</v>
      </c>
      <c r="O3" s="92" t="s">
        <v>1671</v>
      </c>
      <c r="P3" s="92" t="s">
        <v>1672</v>
      </c>
    </row>
    <row r="4" spans="1:16" x14ac:dyDescent="0.25">
      <c r="A4" s="3" t="s">
        <v>350</v>
      </c>
      <c r="B4" s="3" t="s">
        <v>1876</v>
      </c>
      <c r="C4" s="37" t="s">
        <v>10</v>
      </c>
      <c r="D4" s="572" t="s">
        <v>199</v>
      </c>
      <c r="E4" s="560" t="s">
        <v>200</v>
      </c>
      <c r="F4" s="560" t="s">
        <v>201</v>
      </c>
      <c r="G4" s="560" t="s">
        <v>214</v>
      </c>
      <c r="H4" s="560" t="s">
        <v>202</v>
      </c>
      <c r="I4" s="560" t="s">
        <v>203</v>
      </c>
      <c r="J4" s="560" t="s">
        <v>1670</v>
      </c>
      <c r="K4" s="560" t="s">
        <v>205</v>
      </c>
      <c r="L4" s="560" t="s">
        <v>206</v>
      </c>
      <c r="M4" s="560" t="s">
        <v>207</v>
      </c>
      <c r="N4" s="560" t="s">
        <v>210</v>
      </c>
      <c r="O4" s="560" t="s">
        <v>209</v>
      </c>
      <c r="P4" s="560" t="s">
        <v>199</v>
      </c>
    </row>
    <row r="5" spans="1:16" x14ac:dyDescent="0.25">
      <c r="A5" s="3"/>
      <c r="B5" s="135"/>
      <c r="C5" s="635" t="s">
        <v>2793</v>
      </c>
      <c r="D5" s="662"/>
      <c r="E5" s="560"/>
      <c r="F5" s="560"/>
      <c r="G5" s="560"/>
      <c r="H5" s="560"/>
      <c r="I5" s="560"/>
      <c r="J5" s="560"/>
      <c r="K5" s="560"/>
      <c r="L5" s="560"/>
      <c r="M5" s="560"/>
      <c r="N5" s="560"/>
      <c r="O5" s="560"/>
      <c r="P5" s="560"/>
    </row>
    <row r="6" spans="1:16" x14ac:dyDescent="0.25">
      <c r="A6" s="55"/>
      <c r="B6" s="55"/>
      <c r="C6" s="37"/>
      <c r="D6" s="572"/>
      <c r="E6" s="560"/>
      <c r="F6" s="560"/>
      <c r="G6" s="560"/>
      <c r="H6" s="560"/>
      <c r="I6" s="560"/>
      <c r="J6" s="560"/>
      <c r="K6" s="560"/>
      <c r="L6" s="560"/>
      <c r="M6" s="560"/>
      <c r="N6" s="560"/>
      <c r="O6" s="560"/>
      <c r="P6" s="560"/>
    </row>
    <row r="7" spans="1:16" x14ac:dyDescent="0.25">
      <c r="B7" s="45" t="s">
        <v>1877</v>
      </c>
      <c r="D7" s="572"/>
      <c r="E7" s="560"/>
      <c r="F7" s="560"/>
      <c r="G7" s="560"/>
      <c r="H7" s="560"/>
      <c r="I7" s="560"/>
      <c r="J7" s="560"/>
      <c r="K7" s="560"/>
      <c r="L7" s="560"/>
      <c r="M7" s="560"/>
      <c r="N7" s="560"/>
      <c r="O7" s="560"/>
      <c r="P7" s="560"/>
    </row>
    <row r="8" spans="1:16" x14ac:dyDescent="0.25">
      <c r="A8" s="121">
        <v>1</v>
      </c>
      <c r="B8" s="121"/>
      <c r="C8" s="566">
        <f>SUM(D8:P8)/13</f>
        <v>0</v>
      </c>
      <c r="D8" s="567"/>
      <c r="E8" s="567"/>
      <c r="F8" s="567"/>
      <c r="G8" s="567"/>
      <c r="H8" s="567"/>
      <c r="I8" s="567"/>
      <c r="J8" s="567"/>
      <c r="K8" s="567"/>
      <c r="L8" s="567"/>
      <c r="M8" s="567"/>
      <c r="N8" s="567"/>
      <c r="O8" s="567"/>
      <c r="P8" s="567"/>
    </row>
    <row r="9" spans="1:16" x14ac:dyDescent="0.25">
      <c r="A9" s="121"/>
      <c r="B9" s="45" t="s">
        <v>2794</v>
      </c>
      <c r="C9" s="7"/>
      <c r="D9" s="566"/>
      <c r="E9" s="566"/>
      <c r="F9" s="566"/>
      <c r="G9" s="566"/>
      <c r="H9" s="566"/>
      <c r="I9" s="566"/>
      <c r="J9" s="566"/>
      <c r="K9" s="566"/>
      <c r="L9" s="566"/>
      <c r="M9" s="566"/>
      <c r="N9" s="566"/>
      <c r="O9" s="566"/>
      <c r="P9" s="566"/>
    </row>
    <row r="10" spans="1:16" x14ac:dyDescent="0.25">
      <c r="A10" s="121">
        <f>A8+1</f>
        <v>2</v>
      </c>
      <c r="B10" s="121"/>
      <c r="C10" s="566">
        <f t="shared" ref="C10:C14" si="0">SUM(D10:P10)/13</f>
        <v>0</v>
      </c>
      <c r="D10" s="567"/>
      <c r="E10" s="567"/>
      <c r="F10" s="567"/>
      <c r="G10" s="567"/>
      <c r="H10" s="567"/>
      <c r="I10" s="567"/>
      <c r="J10" s="567"/>
      <c r="K10" s="567"/>
      <c r="L10" s="567"/>
      <c r="M10" s="567"/>
      <c r="N10" s="567"/>
      <c r="O10" s="567"/>
      <c r="P10" s="567"/>
    </row>
    <row r="11" spans="1:16" x14ac:dyDescent="0.25">
      <c r="A11" s="121"/>
      <c r="B11" s="45" t="s">
        <v>2208</v>
      </c>
      <c r="C11" s="14"/>
      <c r="D11" s="566"/>
      <c r="E11" s="566"/>
      <c r="F11" s="566"/>
      <c r="G11" s="566"/>
      <c r="H11" s="566"/>
      <c r="I11" s="566"/>
      <c r="J11" s="566"/>
      <c r="K11" s="566"/>
      <c r="L11" s="566"/>
      <c r="M11" s="566"/>
      <c r="N11" s="566"/>
      <c r="O11" s="566"/>
      <c r="P11" s="566"/>
    </row>
    <row r="12" spans="1:16" x14ac:dyDescent="0.25">
      <c r="A12" s="121" t="s">
        <v>569</v>
      </c>
      <c r="B12" s="45"/>
      <c r="C12" s="566">
        <f>SUM(D12:P12)/13</f>
        <v>0</v>
      </c>
      <c r="D12" s="590"/>
      <c r="E12" s="590"/>
      <c r="F12" s="590"/>
      <c r="G12" s="590"/>
      <c r="H12" s="590"/>
      <c r="I12" s="590"/>
      <c r="J12" s="590"/>
      <c r="K12" s="590"/>
      <c r="L12" s="590"/>
      <c r="M12" s="590"/>
      <c r="N12" s="590"/>
      <c r="O12" s="590"/>
      <c r="P12" s="590"/>
    </row>
    <row r="13" spans="1:16" x14ac:dyDescent="0.25">
      <c r="A13" s="121"/>
      <c r="B13" s="45" t="s">
        <v>1878</v>
      </c>
      <c r="D13" s="566"/>
      <c r="E13" s="566"/>
      <c r="F13" s="566"/>
      <c r="G13" s="566"/>
      <c r="H13" s="566"/>
      <c r="I13" s="566"/>
      <c r="J13" s="566"/>
      <c r="K13" s="566"/>
      <c r="L13" s="566"/>
      <c r="M13" s="566"/>
      <c r="N13" s="566"/>
      <c r="O13" s="566"/>
      <c r="P13" s="566"/>
    </row>
    <row r="14" spans="1:16" x14ac:dyDescent="0.25">
      <c r="A14" s="121">
        <f>A10+1</f>
        <v>3</v>
      </c>
      <c r="B14" s="121"/>
      <c r="C14" s="566">
        <f t="shared" si="0"/>
        <v>0</v>
      </c>
      <c r="D14" s="567"/>
      <c r="E14" s="567"/>
      <c r="F14" s="567"/>
      <c r="G14" s="567"/>
      <c r="H14" s="567"/>
      <c r="I14" s="567"/>
      <c r="J14" s="567"/>
      <c r="K14" s="567"/>
      <c r="L14" s="567"/>
      <c r="M14" s="567"/>
      <c r="N14" s="567"/>
      <c r="O14" s="567"/>
      <c r="P14" s="567"/>
    </row>
    <row r="15" spans="1:16" x14ac:dyDescent="0.25">
      <c r="A15" s="121"/>
      <c r="B15" s="45"/>
      <c r="C15" s="14"/>
      <c r="D15" s="566"/>
      <c r="E15" s="566"/>
      <c r="F15" s="566"/>
      <c r="G15" s="566"/>
      <c r="H15" s="566"/>
      <c r="I15" s="566"/>
      <c r="J15" s="566"/>
      <c r="K15" s="566"/>
      <c r="L15" s="566"/>
      <c r="M15" s="566"/>
      <c r="N15" s="566"/>
      <c r="O15" s="566"/>
      <c r="P15" s="566"/>
    </row>
    <row r="16" spans="1:16" x14ac:dyDescent="0.25">
      <c r="A16" s="121">
        <f>A14+1</f>
        <v>4</v>
      </c>
      <c r="B16" s="440" t="s">
        <v>2495</v>
      </c>
      <c r="C16" s="566"/>
      <c r="D16" s="566"/>
      <c r="E16" s="566"/>
      <c r="F16" s="566"/>
      <c r="G16" s="566"/>
      <c r="H16" s="566"/>
      <c r="I16" s="566"/>
      <c r="J16" s="566"/>
      <c r="K16" s="566"/>
      <c r="L16" s="566"/>
      <c r="M16" s="566"/>
      <c r="N16" s="566"/>
      <c r="O16" s="566"/>
      <c r="P16" s="566"/>
    </row>
    <row r="17" spans="1:16" x14ac:dyDescent="0.25">
      <c r="A17" s="121"/>
      <c r="B17" s="45"/>
      <c r="C17" s="14"/>
      <c r="D17" s="566"/>
      <c r="E17" s="566"/>
      <c r="F17" s="566"/>
      <c r="G17" s="566"/>
      <c r="H17" s="566"/>
      <c r="I17" s="566"/>
      <c r="J17" s="566"/>
      <c r="K17" s="566"/>
      <c r="L17" s="566"/>
      <c r="M17" s="566"/>
      <c r="N17" s="566"/>
      <c r="O17" s="566"/>
      <c r="P17" s="566"/>
    </row>
    <row r="18" spans="1:16" x14ac:dyDescent="0.25">
      <c r="A18" s="121">
        <f>A16+1</f>
        <v>5</v>
      </c>
      <c r="B18" s="440" t="s">
        <v>2495</v>
      </c>
      <c r="C18" s="566"/>
      <c r="D18" s="566"/>
      <c r="E18" s="566"/>
      <c r="F18" s="566"/>
      <c r="G18" s="566"/>
      <c r="H18" s="566"/>
      <c r="I18" s="566"/>
      <c r="J18" s="566"/>
      <c r="K18" s="566"/>
      <c r="L18" s="566"/>
      <c r="M18" s="566"/>
      <c r="N18" s="566"/>
      <c r="O18" s="566"/>
      <c r="P18" s="566"/>
    </row>
    <row r="19" spans="1:16" x14ac:dyDescent="0.25">
      <c r="A19" s="14"/>
      <c r="B19" s="45"/>
      <c r="C19" s="14"/>
      <c r="D19" s="14"/>
      <c r="E19" s="14"/>
      <c r="F19" s="14"/>
      <c r="G19" s="14"/>
      <c r="H19" s="14"/>
      <c r="I19" s="14"/>
      <c r="J19" s="14"/>
      <c r="K19" s="14"/>
      <c r="L19" s="14"/>
      <c r="M19" s="14"/>
      <c r="N19" s="14"/>
      <c r="O19" s="14"/>
      <c r="P19" s="14"/>
    </row>
    <row r="20" spans="1:16" x14ac:dyDescent="0.25">
      <c r="A20" s="121">
        <v>6</v>
      </c>
      <c r="B20" s="440" t="s">
        <v>2495</v>
      </c>
      <c r="C20" s="566"/>
      <c r="D20" s="566"/>
      <c r="E20" s="566"/>
      <c r="F20" s="566"/>
      <c r="G20" s="566"/>
      <c r="H20" s="566"/>
      <c r="I20" s="566"/>
      <c r="J20" s="566"/>
      <c r="K20" s="566"/>
      <c r="L20" s="566"/>
      <c r="M20" s="566"/>
      <c r="N20" s="566"/>
      <c r="O20" s="566"/>
      <c r="P20" s="566"/>
    </row>
    <row r="21" spans="1:16" x14ac:dyDescent="0.25">
      <c r="A21" s="121"/>
      <c r="B21" s="45"/>
      <c r="C21" s="14"/>
      <c r="D21" s="566"/>
      <c r="E21" s="566"/>
      <c r="F21" s="566"/>
      <c r="G21" s="566"/>
      <c r="H21" s="566"/>
      <c r="I21" s="566"/>
      <c r="J21" s="566"/>
      <c r="K21" s="566"/>
      <c r="L21" s="566"/>
      <c r="M21" s="566"/>
      <c r="N21" s="566"/>
      <c r="O21" s="566"/>
      <c r="P21" s="566"/>
    </row>
    <row r="22" spans="1:16" x14ac:dyDescent="0.25">
      <c r="A22" s="121">
        <f>A20+1</f>
        <v>7</v>
      </c>
      <c r="B22" s="440" t="s">
        <v>2495</v>
      </c>
      <c r="C22" s="566"/>
      <c r="D22" s="566"/>
      <c r="E22" s="566"/>
      <c r="F22" s="566"/>
      <c r="G22" s="566"/>
      <c r="H22" s="566"/>
      <c r="I22" s="566"/>
      <c r="J22" s="566"/>
      <c r="K22" s="566"/>
      <c r="L22" s="566"/>
      <c r="M22" s="566"/>
      <c r="N22" s="566"/>
      <c r="O22" s="566"/>
      <c r="P22" s="566"/>
    </row>
    <row r="23" spans="1:16" x14ac:dyDescent="0.25">
      <c r="A23" s="14"/>
      <c r="B23" s="45" t="s">
        <v>2470</v>
      </c>
    </row>
    <row r="24" spans="1:16" x14ac:dyDescent="0.25">
      <c r="A24" s="121">
        <v>18</v>
      </c>
      <c r="B24" s="121"/>
      <c r="C24" s="566">
        <f t="shared" ref="C24:C28" si="1">SUM(D24:P24)/13</f>
        <v>0</v>
      </c>
      <c r="D24" s="567"/>
      <c r="E24" s="567"/>
      <c r="F24" s="567"/>
      <c r="G24" s="567"/>
      <c r="H24" s="567"/>
      <c r="I24" s="567"/>
      <c r="J24" s="567"/>
      <c r="K24" s="567"/>
      <c r="L24" s="567"/>
      <c r="M24" s="567"/>
      <c r="N24" s="567"/>
      <c r="O24" s="567"/>
      <c r="P24" s="567"/>
    </row>
    <row r="25" spans="1:16" x14ac:dyDescent="0.25">
      <c r="A25" s="121"/>
      <c r="B25" s="45" t="s">
        <v>2795</v>
      </c>
      <c r="D25" s="566"/>
      <c r="E25" s="566"/>
      <c r="F25" s="566"/>
      <c r="G25" s="566"/>
      <c r="H25" s="566"/>
      <c r="I25" s="566"/>
      <c r="J25" s="566"/>
      <c r="K25" s="566"/>
      <c r="L25" s="566"/>
      <c r="M25" s="566"/>
      <c r="N25" s="566"/>
      <c r="O25" s="566"/>
      <c r="P25" s="566"/>
    </row>
    <row r="26" spans="1:16" x14ac:dyDescent="0.25">
      <c r="A26" s="121">
        <f>A24+1</f>
        <v>19</v>
      </c>
      <c r="B26" s="121"/>
      <c r="C26" s="566">
        <f t="shared" si="1"/>
        <v>0</v>
      </c>
      <c r="D26" s="567"/>
      <c r="E26" s="567"/>
      <c r="F26" s="567"/>
      <c r="G26" s="567"/>
      <c r="H26" s="567"/>
      <c r="I26" s="567"/>
      <c r="J26" s="567"/>
      <c r="K26" s="567"/>
      <c r="L26" s="567"/>
      <c r="M26" s="567"/>
      <c r="N26" s="567"/>
      <c r="O26" s="567"/>
      <c r="P26" s="567"/>
    </row>
    <row r="27" spans="1:16" x14ac:dyDescent="0.25">
      <c r="A27" s="121"/>
      <c r="B27" s="45" t="s">
        <v>2474</v>
      </c>
      <c r="D27" s="566"/>
      <c r="E27" s="566"/>
      <c r="F27" s="566"/>
      <c r="G27" s="566"/>
      <c r="H27" s="566"/>
      <c r="I27" s="566"/>
      <c r="J27" s="566"/>
      <c r="K27" s="566"/>
      <c r="L27" s="566"/>
      <c r="M27" s="566"/>
      <c r="N27" s="566"/>
      <c r="O27" s="566"/>
      <c r="P27" s="566"/>
    </row>
    <row r="28" spans="1:16" x14ac:dyDescent="0.25">
      <c r="A28" s="121">
        <f>A26+1</f>
        <v>20</v>
      </c>
      <c r="B28" s="121"/>
      <c r="C28" s="566">
        <f t="shared" si="1"/>
        <v>0</v>
      </c>
      <c r="D28" s="567"/>
      <c r="E28" s="567"/>
      <c r="F28" s="567"/>
      <c r="G28" s="567"/>
      <c r="H28" s="567"/>
      <c r="I28" s="567"/>
      <c r="J28" s="567"/>
      <c r="K28" s="567"/>
      <c r="L28" s="567"/>
      <c r="M28" s="567"/>
      <c r="N28" s="567"/>
      <c r="O28" s="567"/>
      <c r="P28" s="567"/>
    </row>
    <row r="29" spans="1:16" x14ac:dyDescent="0.25">
      <c r="A29" s="14"/>
      <c r="B29" s="45" t="s">
        <v>2475</v>
      </c>
    </row>
    <row r="30" spans="1:16" x14ac:dyDescent="0.25">
      <c r="A30" s="121">
        <v>27</v>
      </c>
      <c r="B30" s="121"/>
      <c r="C30" s="566">
        <f t="shared" ref="C30" si="2">SUM(D30:P30)/13</f>
        <v>0</v>
      </c>
      <c r="D30" s="567"/>
      <c r="E30" s="567"/>
      <c r="F30" s="567"/>
      <c r="G30" s="567"/>
      <c r="H30" s="567"/>
      <c r="I30" s="567"/>
      <c r="J30" s="567"/>
      <c r="K30" s="567"/>
      <c r="L30" s="567"/>
      <c r="M30" s="567"/>
      <c r="N30" s="567"/>
      <c r="O30" s="567"/>
      <c r="P30" s="567"/>
    </row>
    <row r="31" spans="1:16" x14ac:dyDescent="0.25">
      <c r="A31" s="121"/>
      <c r="B31" s="45" t="s">
        <v>2796</v>
      </c>
      <c r="D31" s="566"/>
      <c r="E31" s="566"/>
      <c r="F31" s="566"/>
      <c r="G31" s="566"/>
      <c r="H31" s="566"/>
      <c r="I31" s="566"/>
      <c r="J31" s="566"/>
      <c r="K31" s="566"/>
      <c r="L31" s="566"/>
      <c r="M31" s="566"/>
      <c r="N31" s="566"/>
      <c r="O31" s="566"/>
      <c r="P31" s="566"/>
    </row>
    <row r="32" spans="1:16" x14ac:dyDescent="0.25">
      <c r="A32" s="121">
        <v>30</v>
      </c>
      <c r="B32" s="121"/>
      <c r="C32" s="566">
        <f t="shared" ref="C32:C34" si="3">SUM(D32:P32)/13</f>
        <v>0</v>
      </c>
      <c r="D32" s="567"/>
      <c r="E32" s="567"/>
      <c r="F32" s="567"/>
      <c r="G32" s="567"/>
      <c r="H32" s="567"/>
      <c r="I32" s="567"/>
      <c r="J32" s="567"/>
      <c r="K32" s="567"/>
      <c r="L32" s="567"/>
      <c r="M32" s="567"/>
      <c r="N32" s="567"/>
      <c r="O32" s="567"/>
      <c r="P32" s="567"/>
    </row>
    <row r="33" spans="1:16" x14ac:dyDescent="0.25">
      <c r="A33" s="121"/>
      <c r="B33" s="45" t="s">
        <v>2797</v>
      </c>
      <c r="D33" s="566"/>
      <c r="E33" s="566"/>
      <c r="F33" s="566"/>
      <c r="G33" s="566"/>
      <c r="H33" s="566"/>
      <c r="I33" s="566"/>
      <c r="J33" s="566"/>
      <c r="K33" s="566"/>
      <c r="L33" s="566"/>
      <c r="M33" s="566"/>
      <c r="N33" s="566"/>
      <c r="O33" s="566"/>
      <c r="P33" s="566"/>
    </row>
    <row r="34" spans="1:16" x14ac:dyDescent="0.25">
      <c r="A34" s="121">
        <f>A32+1</f>
        <v>31</v>
      </c>
      <c r="B34" s="121"/>
      <c r="C34" s="566">
        <f t="shared" si="3"/>
        <v>0</v>
      </c>
      <c r="D34" s="567"/>
      <c r="E34" s="567"/>
      <c r="F34" s="567"/>
      <c r="G34" s="567"/>
      <c r="H34" s="567"/>
      <c r="I34" s="567"/>
      <c r="J34" s="567"/>
      <c r="K34" s="567"/>
      <c r="L34" s="567"/>
      <c r="M34" s="567"/>
      <c r="N34" s="567"/>
      <c r="O34" s="567"/>
      <c r="P34" s="567"/>
    </row>
    <row r="35" spans="1:16" x14ac:dyDescent="0.25">
      <c r="A35" s="121"/>
      <c r="B35" s="121"/>
      <c r="C35" s="566"/>
      <c r="D35" s="566"/>
      <c r="E35" s="566"/>
      <c r="F35" s="566"/>
      <c r="G35" s="566"/>
      <c r="H35" s="566"/>
      <c r="I35" s="566"/>
      <c r="J35" s="566"/>
      <c r="K35" s="566"/>
      <c r="L35" s="566"/>
      <c r="M35" s="566"/>
      <c r="N35" s="566"/>
      <c r="O35" s="566"/>
      <c r="P35" s="566"/>
    </row>
    <row r="36" spans="1:16" x14ac:dyDescent="0.25">
      <c r="A36" s="121"/>
      <c r="B36" s="53" t="s">
        <v>420</v>
      </c>
      <c r="C36" s="566"/>
      <c r="D36" s="566"/>
      <c r="E36" s="566"/>
      <c r="F36" s="566"/>
      <c r="G36" s="566"/>
      <c r="H36" s="566"/>
      <c r="I36" s="566"/>
      <c r="J36" s="566"/>
      <c r="K36" s="566"/>
      <c r="L36" s="566"/>
      <c r="M36" s="566"/>
      <c r="N36" s="566"/>
      <c r="O36" s="566"/>
      <c r="P36" s="566"/>
    </row>
    <row r="37" spans="1:16" x14ac:dyDescent="0.25">
      <c r="A37" s="121"/>
      <c r="B37" s="551" t="s">
        <v>1879</v>
      </c>
      <c r="C37" s="566"/>
      <c r="D37" s="566"/>
      <c r="E37" s="566"/>
      <c r="F37" s="566"/>
      <c r="G37" s="566"/>
      <c r="H37" s="566"/>
      <c r="I37" s="566"/>
      <c r="J37" s="566"/>
      <c r="K37" s="566"/>
      <c r="L37" s="566"/>
      <c r="M37" s="566"/>
      <c r="N37" s="566"/>
      <c r="O37" s="566"/>
      <c r="P37" s="566"/>
    </row>
    <row r="38" spans="1:16" x14ac:dyDescent="0.25">
      <c r="A38" s="121"/>
      <c r="B38" s="555" t="s">
        <v>1896</v>
      </c>
      <c r="C38" s="566"/>
      <c r="D38" s="566"/>
      <c r="E38" s="566"/>
      <c r="F38" s="566"/>
      <c r="G38" s="566"/>
      <c r="H38" s="566"/>
      <c r="I38" s="566"/>
      <c r="J38" s="566"/>
      <c r="K38" s="566"/>
      <c r="L38" s="566"/>
      <c r="M38" s="566"/>
      <c r="N38" s="566"/>
      <c r="O38" s="566"/>
      <c r="P38" s="566"/>
    </row>
    <row r="39" spans="1:16" x14ac:dyDescent="0.25">
      <c r="A39" s="121"/>
      <c r="B39" s="553" t="s">
        <v>2558</v>
      </c>
      <c r="C39" s="440" t="s">
        <v>2495</v>
      </c>
      <c r="D39" s="566"/>
      <c r="E39" s="566"/>
      <c r="F39" s="566"/>
      <c r="G39" s="566"/>
      <c r="H39" s="566"/>
      <c r="I39" s="566"/>
      <c r="J39" s="566"/>
      <c r="K39" s="566"/>
      <c r="L39" s="566"/>
      <c r="M39" s="566"/>
      <c r="N39" s="566"/>
      <c r="O39" s="566"/>
      <c r="P39" s="566"/>
    </row>
    <row r="40" spans="1:16" x14ac:dyDescent="0.25">
      <c r="A40" s="14"/>
      <c r="B40" s="1164" t="s">
        <v>2559</v>
      </c>
      <c r="C40" s="14"/>
      <c r="D40" s="14"/>
      <c r="E40" s="14"/>
      <c r="F40" s="14"/>
      <c r="G40" s="14"/>
      <c r="H40" s="14"/>
      <c r="I40" s="14"/>
      <c r="J40" s="14"/>
      <c r="K40" s="14"/>
      <c r="L40" s="14"/>
    </row>
    <row r="41" spans="1:16" x14ac:dyDescent="0.25">
      <c r="A41" s="14"/>
      <c r="B41" s="550"/>
      <c r="C41" s="14"/>
      <c r="D41" s="14"/>
      <c r="E41" s="14"/>
      <c r="F41" s="14"/>
      <c r="G41" s="14"/>
      <c r="H41" s="14"/>
      <c r="I41" s="14"/>
      <c r="J41" s="14"/>
      <c r="K41" s="14"/>
      <c r="L41" s="14"/>
    </row>
    <row r="42" spans="1:16" x14ac:dyDescent="0.25">
      <c r="A42" s="14"/>
      <c r="B42" s="45" t="s">
        <v>256</v>
      </c>
      <c r="C42" s="14"/>
      <c r="D42" s="14"/>
      <c r="E42" s="14"/>
      <c r="F42" s="14"/>
      <c r="G42" s="14"/>
      <c r="H42" s="14"/>
      <c r="I42" s="14"/>
      <c r="J42" s="14"/>
      <c r="K42" s="14"/>
      <c r="L42" s="14"/>
    </row>
    <row r="43" spans="1:16" x14ac:dyDescent="0.25">
      <c r="A43" s="14"/>
      <c r="B43" s="553" t="s">
        <v>2040</v>
      </c>
      <c r="C43" s="14"/>
      <c r="D43" s="14"/>
      <c r="E43" s="14"/>
      <c r="F43" s="14"/>
      <c r="G43" s="14"/>
      <c r="H43" s="14"/>
      <c r="I43" s="14"/>
      <c r="J43" s="14"/>
      <c r="K43" s="14"/>
      <c r="L43" s="14"/>
    </row>
    <row r="44" spans="1:16" x14ac:dyDescent="0.25">
      <c r="A44" s="14"/>
      <c r="B44" s="553" t="s">
        <v>2041</v>
      </c>
      <c r="C44" s="14"/>
      <c r="D44" s="14"/>
      <c r="E44" s="14"/>
      <c r="F44" s="14"/>
      <c r="G44" s="14"/>
      <c r="H44" s="14"/>
      <c r="I44" s="14"/>
      <c r="J44" s="14"/>
      <c r="K44" s="14"/>
      <c r="L44" s="14"/>
    </row>
    <row r="45" spans="1:16" x14ac:dyDescent="0.25">
      <c r="A45" s="14"/>
      <c r="B45" s="553" t="s">
        <v>2212</v>
      </c>
      <c r="C45" s="14"/>
      <c r="D45" s="14"/>
      <c r="E45" s="14"/>
      <c r="F45" s="14"/>
      <c r="G45" s="14"/>
      <c r="H45" s="14"/>
      <c r="I45" s="14"/>
      <c r="J45" s="14"/>
      <c r="K45" s="14"/>
      <c r="L45" s="14"/>
    </row>
    <row r="46" spans="1:16" x14ac:dyDescent="0.25">
      <c r="A46" s="14"/>
      <c r="B46" s="553" t="s">
        <v>2042</v>
      </c>
      <c r="C46" s="14"/>
      <c r="D46" s="14"/>
      <c r="E46" s="14"/>
      <c r="F46" s="14"/>
      <c r="G46" s="14"/>
      <c r="H46" s="14"/>
      <c r="I46" s="14"/>
      <c r="J46" s="14"/>
      <c r="K46" s="14"/>
      <c r="L46" s="14"/>
    </row>
    <row r="47" spans="1:16" x14ac:dyDescent="0.25">
      <c r="A47" s="14"/>
      <c r="B47" s="553" t="s">
        <v>2496</v>
      </c>
      <c r="C47" s="440" t="s">
        <v>2495</v>
      </c>
      <c r="D47" s="14"/>
      <c r="E47" s="14"/>
      <c r="F47" s="14"/>
      <c r="G47" s="14"/>
      <c r="H47" s="14"/>
      <c r="I47" s="14"/>
      <c r="J47" s="14"/>
      <c r="K47" s="14"/>
      <c r="L47" s="14"/>
    </row>
    <row r="48" spans="1:16" x14ac:dyDescent="0.25">
      <c r="A48" s="14"/>
      <c r="B48" s="553" t="s">
        <v>2493</v>
      </c>
      <c r="C48" s="440" t="s">
        <v>2495</v>
      </c>
      <c r="D48" s="14"/>
      <c r="E48" s="14"/>
      <c r="F48" s="14"/>
      <c r="G48" s="14"/>
      <c r="H48" s="14"/>
      <c r="I48" s="14"/>
      <c r="J48" s="14"/>
      <c r="K48" s="14"/>
      <c r="L48" s="14"/>
    </row>
    <row r="49" spans="1:13" x14ac:dyDescent="0.25">
      <c r="A49" s="14"/>
      <c r="B49" s="553" t="s">
        <v>2556</v>
      </c>
      <c r="C49" s="440" t="s">
        <v>2495</v>
      </c>
      <c r="D49" s="14"/>
      <c r="E49" s="14"/>
      <c r="F49" s="14"/>
      <c r="G49" s="14"/>
      <c r="H49" s="14"/>
      <c r="I49" s="14"/>
      <c r="J49" s="14"/>
      <c r="K49" s="14"/>
      <c r="L49" s="14"/>
    </row>
    <row r="50" spans="1:13" x14ac:dyDescent="0.25">
      <c r="A50" s="14"/>
      <c r="B50" s="553" t="s">
        <v>2557</v>
      </c>
      <c r="C50" s="440" t="s">
        <v>2495</v>
      </c>
      <c r="D50" s="14"/>
      <c r="E50" s="14"/>
      <c r="F50" s="14"/>
      <c r="G50" s="14"/>
      <c r="H50" s="14"/>
      <c r="I50" s="14"/>
      <c r="J50" s="14"/>
      <c r="K50" s="14"/>
      <c r="L50" s="14"/>
    </row>
    <row r="51" spans="1:13" x14ac:dyDescent="0.25">
      <c r="A51" s="14"/>
      <c r="B51" s="553" t="s">
        <v>2471</v>
      </c>
      <c r="C51" s="14"/>
      <c r="D51" s="14"/>
      <c r="E51" s="14"/>
      <c r="F51" s="14"/>
      <c r="G51" s="14"/>
      <c r="H51" s="14"/>
      <c r="I51" s="14"/>
      <c r="J51" s="14"/>
      <c r="K51" s="14"/>
      <c r="L51" s="14"/>
    </row>
    <row r="52" spans="1:13" x14ac:dyDescent="0.25">
      <c r="A52" s="14"/>
      <c r="B52" s="553" t="s">
        <v>2472</v>
      </c>
      <c r="C52" s="14"/>
      <c r="D52" s="14"/>
      <c r="E52" s="14"/>
      <c r="F52" s="14"/>
      <c r="G52" s="14"/>
      <c r="H52" s="14"/>
      <c r="I52" s="14"/>
      <c r="J52" s="14"/>
      <c r="K52" s="14"/>
      <c r="L52" s="14"/>
    </row>
    <row r="53" spans="1:13" x14ac:dyDescent="0.25">
      <c r="A53" s="14"/>
      <c r="B53" s="550" t="s">
        <v>2094</v>
      </c>
      <c r="C53" s="14"/>
      <c r="D53" s="14"/>
      <c r="E53" s="14"/>
      <c r="F53" s="14"/>
      <c r="G53" s="14"/>
      <c r="H53" s="14"/>
      <c r="I53" s="14"/>
      <c r="J53" s="14"/>
      <c r="K53" s="14"/>
      <c r="L53" s="14"/>
    </row>
    <row r="54" spans="1:13" x14ac:dyDescent="0.25">
      <c r="A54" s="14"/>
      <c r="B54" s="14"/>
      <c r="C54" s="14"/>
      <c r="D54" s="14"/>
      <c r="E54" s="14"/>
      <c r="F54" s="14"/>
      <c r="G54" s="14"/>
      <c r="H54" s="121" t="s">
        <v>1167</v>
      </c>
      <c r="I54" s="14"/>
      <c r="J54" s="14"/>
      <c r="K54" s="14"/>
      <c r="L54" s="14"/>
    </row>
    <row r="55" spans="1:13" x14ac:dyDescent="0.25">
      <c r="A55" s="14"/>
      <c r="B55" s="14"/>
      <c r="C55" s="121"/>
      <c r="D55" s="14"/>
      <c r="E55" s="121" t="s">
        <v>1849</v>
      </c>
      <c r="F55" s="121" t="s">
        <v>1850</v>
      </c>
      <c r="G55" s="121" t="s">
        <v>1850</v>
      </c>
      <c r="H55" s="121" t="s">
        <v>218</v>
      </c>
      <c r="I55" s="121" t="s">
        <v>1530</v>
      </c>
      <c r="J55" s="14"/>
      <c r="K55" s="14"/>
      <c r="L55" s="14"/>
    </row>
    <row r="56" spans="1:13" x14ac:dyDescent="0.25">
      <c r="A56" s="14"/>
      <c r="B56" s="14"/>
      <c r="C56" s="135" t="s">
        <v>1851</v>
      </c>
      <c r="D56" s="14"/>
      <c r="E56" s="135" t="s">
        <v>194</v>
      </c>
      <c r="F56" s="135" t="s">
        <v>1852</v>
      </c>
      <c r="G56" s="135" t="s">
        <v>1921</v>
      </c>
      <c r="H56" s="388" t="s">
        <v>2090</v>
      </c>
      <c r="I56" s="135" t="s">
        <v>1167</v>
      </c>
      <c r="J56" s="135" t="s">
        <v>187</v>
      </c>
      <c r="K56" s="14"/>
      <c r="L56" s="14"/>
    </row>
    <row r="57" spans="1:13" x14ac:dyDescent="0.25">
      <c r="A57" s="14"/>
      <c r="B57" s="14"/>
      <c r="C57" s="678"/>
      <c r="D57" s="623"/>
      <c r="E57" s="117"/>
      <c r="F57" s="679"/>
      <c r="G57" s="117"/>
      <c r="H57" s="165"/>
      <c r="I57" s="718"/>
      <c r="J57" s="434"/>
      <c r="K57" s="105"/>
      <c r="L57" s="105"/>
      <c r="M57" s="105"/>
    </row>
    <row r="58" spans="1:13" x14ac:dyDescent="0.25">
      <c r="A58" s="14"/>
      <c r="B58" s="14"/>
      <c r="C58" s="678"/>
      <c r="D58" s="623"/>
      <c r="E58" s="117"/>
      <c r="F58" s="679"/>
      <c r="G58" s="117"/>
      <c r="H58" s="165"/>
      <c r="I58" s="117"/>
      <c r="J58" s="434"/>
      <c r="K58" s="105"/>
      <c r="L58" s="105"/>
      <c r="M58" s="105"/>
    </row>
    <row r="59" spans="1:13" x14ac:dyDescent="0.25">
      <c r="A59" s="14"/>
      <c r="B59" s="14"/>
      <c r="C59" s="678"/>
      <c r="D59" s="623"/>
      <c r="E59" s="117"/>
      <c r="F59" s="679"/>
      <c r="G59" s="117"/>
      <c r="H59" s="165"/>
      <c r="I59" s="117"/>
      <c r="J59" s="434"/>
      <c r="K59" s="105"/>
      <c r="L59" s="105"/>
      <c r="M59" s="105"/>
    </row>
    <row r="60" spans="1:13" x14ac:dyDescent="0.25">
      <c r="A60" s="14"/>
      <c r="B60" s="14"/>
      <c r="C60" s="1271"/>
      <c r="D60" s="1270"/>
      <c r="E60" s="1268"/>
      <c r="F60" s="1272"/>
      <c r="G60" s="1268"/>
      <c r="H60" s="1269"/>
      <c r="I60" s="117"/>
      <c r="J60" s="434"/>
      <c r="K60" s="105"/>
      <c r="L60" s="105"/>
      <c r="M60" s="105"/>
    </row>
    <row r="61" spans="1:13" x14ac:dyDescent="0.25">
      <c r="A61" s="14"/>
      <c r="B61" s="14"/>
      <c r="C61" s="1271"/>
      <c r="D61" s="1270"/>
      <c r="E61" s="1268"/>
      <c r="F61" s="1272"/>
      <c r="G61" s="1268"/>
      <c r="H61" s="1273"/>
      <c r="I61" s="117"/>
      <c r="J61" s="434"/>
      <c r="K61" s="105"/>
      <c r="L61" s="105"/>
      <c r="M61" s="105"/>
    </row>
    <row r="62" spans="1:13" x14ac:dyDescent="0.25">
      <c r="A62" s="14"/>
      <c r="B62" s="14"/>
      <c r="C62" s="1271"/>
      <c r="D62" s="1270"/>
      <c r="E62" s="1268"/>
      <c r="F62" s="1272"/>
      <c r="G62" s="1268"/>
      <c r="H62" s="1269"/>
      <c r="I62" s="117"/>
      <c r="J62" s="620"/>
      <c r="K62" s="105"/>
      <c r="L62" s="105"/>
      <c r="M62" s="105"/>
    </row>
    <row r="63" spans="1:13" x14ac:dyDescent="0.25">
      <c r="A63" s="14"/>
      <c r="B63" s="14"/>
      <c r="C63" s="623" t="s">
        <v>565</v>
      </c>
      <c r="D63" s="623"/>
      <c r="E63" s="117"/>
      <c r="F63" s="679"/>
      <c r="G63" s="117"/>
      <c r="H63" s="165"/>
      <c r="I63" s="105"/>
      <c r="J63" s="434"/>
      <c r="K63" s="105"/>
      <c r="L63" s="105"/>
      <c r="M63" s="105"/>
    </row>
    <row r="64" spans="1:13" x14ac:dyDescent="0.25">
      <c r="A64" s="14"/>
      <c r="B64" s="14"/>
      <c r="C64" s="717"/>
      <c r="D64" s="717"/>
      <c r="E64" s="14"/>
      <c r="F64" s="14"/>
      <c r="G64" s="14"/>
      <c r="H64" s="14"/>
      <c r="I64" s="546">
        <f>SUM(I58:I63)</f>
        <v>0</v>
      </c>
      <c r="J64" s="553" t="s">
        <v>2093</v>
      </c>
      <c r="K64" s="14"/>
      <c r="L64" s="14"/>
      <c r="M64" s="14"/>
    </row>
    <row r="65" spans="1:13" x14ac:dyDescent="0.25">
      <c r="A65" s="14"/>
      <c r="B65" s="553" t="s">
        <v>2473</v>
      </c>
      <c r="G65" s="14"/>
      <c r="H65" s="14"/>
      <c r="I65" s="14"/>
      <c r="J65" s="14"/>
      <c r="K65" s="14"/>
      <c r="L65" s="14"/>
      <c r="M65" s="14"/>
    </row>
    <row r="66" spans="1:13" x14ac:dyDescent="0.25">
      <c r="A66" s="14"/>
      <c r="B66" s="550" t="s">
        <v>2091</v>
      </c>
      <c r="G66" s="14"/>
      <c r="H66" s="14"/>
      <c r="I66" s="14"/>
      <c r="J66" s="14"/>
      <c r="K66" s="14"/>
      <c r="L66" s="14"/>
      <c r="M66" s="14"/>
    </row>
    <row r="67" spans="1:13" x14ac:dyDescent="0.25">
      <c r="A67" s="14"/>
      <c r="B67" s="14"/>
      <c r="G67" s="121" t="s">
        <v>1167</v>
      </c>
      <c r="H67" s="14"/>
      <c r="I67" s="14"/>
      <c r="J67" s="14"/>
      <c r="K67" s="14"/>
      <c r="L67" s="14"/>
      <c r="M67" s="14"/>
    </row>
    <row r="68" spans="1:13" x14ac:dyDescent="0.25">
      <c r="A68" s="14"/>
      <c r="B68" s="14"/>
      <c r="C68" s="121"/>
      <c r="E68" s="677" t="s">
        <v>1922</v>
      </c>
      <c r="F68" s="121" t="s">
        <v>1167</v>
      </c>
      <c r="G68" s="121" t="s">
        <v>218</v>
      </c>
      <c r="H68" s="121" t="s">
        <v>1530</v>
      </c>
      <c r="I68" s="121"/>
      <c r="J68" s="14"/>
      <c r="K68" s="14"/>
      <c r="L68" s="14"/>
      <c r="M68" s="14"/>
    </row>
    <row r="69" spans="1:13" x14ac:dyDescent="0.25">
      <c r="A69" s="14"/>
      <c r="B69" s="14"/>
      <c r="C69" s="135" t="s">
        <v>1923</v>
      </c>
      <c r="E69" s="135" t="s">
        <v>1852</v>
      </c>
      <c r="F69" s="135" t="s">
        <v>194</v>
      </c>
      <c r="G69" s="388" t="s">
        <v>2090</v>
      </c>
      <c r="H69" s="135" t="s">
        <v>1167</v>
      </c>
      <c r="I69" s="135" t="s">
        <v>187</v>
      </c>
      <c r="J69" s="14"/>
      <c r="K69" s="14"/>
      <c r="L69" s="14"/>
      <c r="M69" s="14"/>
    </row>
    <row r="70" spans="1:13" x14ac:dyDescent="0.25">
      <c r="A70" s="14"/>
      <c r="B70" s="14"/>
      <c r="C70" s="678"/>
      <c r="D70" s="623"/>
      <c r="E70" s="680"/>
      <c r="F70" s="117"/>
      <c r="G70" s="165"/>
      <c r="H70" s="117"/>
      <c r="I70" s="105"/>
      <c r="J70" s="105"/>
      <c r="K70" s="105"/>
      <c r="L70" s="105"/>
      <c r="M70" s="105"/>
    </row>
    <row r="71" spans="1:13" x14ac:dyDescent="0.25">
      <c r="A71" s="14"/>
      <c r="B71" s="14"/>
      <c r="C71" s="678"/>
      <c r="D71" s="623"/>
      <c r="E71" s="681"/>
      <c r="F71" s="117"/>
      <c r="G71" s="165"/>
      <c r="H71" s="117"/>
      <c r="I71" s="105"/>
      <c r="J71" s="105"/>
      <c r="K71" s="105"/>
      <c r="L71" s="105"/>
      <c r="M71" s="105"/>
    </row>
    <row r="72" spans="1:13" x14ac:dyDescent="0.25">
      <c r="A72" s="14"/>
      <c r="B72" s="14"/>
      <c r="C72" s="678"/>
      <c r="D72" s="623"/>
      <c r="E72" s="681"/>
      <c r="F72" s="117"/>
      <c r="G72" s="165"/>
      <c r="H72" s="117"/>
      <c r="I72" s="105"/>
      <c r="J72" s="105"/>
      <c r="K72" s="105"/>
      <c r="L72" s="105"/>
      <c r="M72" s="105"/>
    </row>
    <row r="73" spans="1:13" x14ac:dyDescent="0.25">
      <c r="A73" s="14"/>
      <c r="B73" s="14"/>
      <c r="C73" s="623" t="s">
        <v>565</v>
      </c>
      <c r="D73" s="623"/>
      <c r="E73" s="681"/>
      <c r="F73" s="117"/>
      <c r="G73" s="165"/>
      <c r="H73" s="117"/>
      <c r="I73" s="561"/>
      <c r="J73" s="105"/>
      <c r="K73" s="105"/>
      <c r="L73" s="105"/>
      <c r="M73" s="105"/>
    </row>
    <row r="74" spans="1:13" x14ac:dyDescent="0.25">
      <c r="A74" s="14"/>
      <c r="B74" s="14"/>
      <c r="C74" s="717"/>
      <c r="D74" s="717"/>
      <c r="E74" s="14"/>
      <c r="F74" s="14"/>
      <c r="G74" s="14"/>
      <c r="H74" s="546">
        <f>SUM(H70:H73)</f>
        <v>0</v>
      </c>
      <c r="I74" s="553" t="s">
        <v>2092</v>
      </c>
      <c r="J74" s="14"/>
      <c r="K74" s="14"/>
      <c r="L74" s="14"/>
      <c r="M74" s="14"/>
    </row>
    <row r="75" spans="1:13" x14ac:dyDescent="0.25">
      <c r="A75" s="14"/>
      <c r="B75" s="14"/>
      <c r="C75" s="14"/>
      <c r="D75" s="14"/>
      <c r="E75" s="14"/>
      <c r="F75" s="14"/>
      <c r="G75" s="14"/>
      <c r="H75" s="14"/>
      <c r="I75" s="14"/>
      <c r="J75" s="14"/>
      <c r="K75" s="14"/>
      <c r="L75" s="14"/>
      <c r="M75" s="14"/>
    </row>
    <row r="76" spans="1:13" x14ac:dyDescent="0.25">
      <c r="A76" s="14"/>
      <c r="B76" s="553" t="s">
        <v>2476</v>
      </c>
      <c r="C76" s="14"/>
      <c r="D76" s="14"/>
      <c r="E76" s="14"/>
      <c r="F76" s="14"/>
      <c r="G76" s="14"/>
      <c r="H76" s="14"/>
      <c r="I76" s="14"/>
      <c r="J76" s="14"/>
      <c r="K76" s="14"/>
      <c r="L76" s="14"/>
      <c r="M76" s="14"/>
    </row>
    <row r="77" spans="1:13" x14ac:dyDescent="0.25">
      <c r="A77" s="14"/>
      <c r="B77" s="553" t="s">
        <v>2477</v>
      </c>
      <c r="C77" s="14"/>
      <c r="D77" s="14"/>
      <c r="E77" s="14"/>
      <c r="F77" s="14"/>
      <c r="G77" s="14"/>
      <c r="H77" s="14"/>
      <c r="I77" s="14"/>
      <c r="J77" s="14"/>
      <c r="K77" s="14"/>
      <c r="L77" s="14"/>
      <c r="M77" s="14"/>
    </row>
    <row r="78" spans="1:13" x14ac:dyDescent="0.25">
      <c r="A78" s="14"/>
      <c r="B78" s="553" t="s">
        <v>2478</v>
      </c>
      <c r="C78" s="14"/>
      <c r="D78" s="14"/>
      <c r="E78" s="14"/>
      <c r="F78" s="14"/>
      <c r="G78" s="14"/>
      <c r="H78" s="14"/>
      <c r="I78" s="14"/>
      <c r="J78" s="14"/>
      <c r="K78" s="14"/>
      <c r="L78" s="14"/>
      <c r="M78" s="14"/>
    </row>
  </sheetData>
  <pageMargins left="0.7" right="0.7" top="0.75" bottom="0.75" header="0.3" footer="0.3"/>
  <pageSetup scale="58" fitToHeight="0" orientation="landscape" cellComments="asDisplayed" r:id="rId1"/>
  <headerFooter>
    <oddHeader>&amp;CSchedule 5 ROR-2
Return and Capitalization
&amp;"Arial,Bold"Attachment 5</oddHeader>
    <oddFooter>&amp;R5-ROR-2</oddFooter>
  </headerFooter>
  <rowBreaks count="1" manualBreakCount="1">
    <brk id="41"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82"/>
  <sheetViews>
    <sheetView topLeftCell="A163" zoomScaleNormal="100" workbookViewId="0">
      <selection activeCell="B179" sqref="B179"/>
    </sheetView>
  </sheetViews>
  <sheetFormatPr defaultRowHeight="13.2" x14ac:dyDescent="0.25"/>
  <cols>
    <col min="1" max="1" width="4.6640625" customWidth="1"/>
    <col min="2" max="2" width="10.6640625" customWidth="1"/>
    <col min="3" max="13" width="13.6640625" customWidth="1"/>
  </cols>
  <sheetData>
    <row r="1" spans="1:13" x14ac:dyDescent="0.25">
      <c r="A1" s="449" t="s">
        <v>1327</v>
      </c>
      <c r="B1" s="251"/>
      <c r="C1" s="251"/>
      <c r="D1" s="251"/>
      <c r="E1" s="251"/>
      <c r="F1" s="251"/>
      <c r="G1" s="251"/>
      <c r="H1" s="251"/>
      <c r="I1" s="561" t="s">
        <v>17</v>
      </c>
      <c r="J1" s="450"/>
      <c r="K1" s="251"/>
      <c r="L1" s="251"/>
    </row>
    <row r="2" spans="1:13" x14ac:dyDescent="0.25">
      <c r="A2" s="449"/>
      <c r="B2" s="251"/>
      <c r="C2" s="251"/>
      <c r="D2" s="251"/>
      <c r="E2" s="251"/>
      <c r="F2" s="251"/>
      <c r="G2" s="251"/>
      <c r="H2" s="251"/>
      <c r="I2" s="251"/>
      <c r="J2" s="251"/>
      <c r="K2" s="251"/>
      <c r="L2" s="251"/>
    </row>
    <row r="3" spans="1:13" x14ac:dyDescent="0.25">
      <c r="A3" s="449"/>
      <c r="B3" s="449" t="s">
        <v>351</v>
      </c>
      <c r="C3" s="251"/>
      <c r="D3" s="251"/>
      <c r="E3" s="251"/>
      <c r="F3" s="251"/>
      <c r="G3" s="251"/>
      <c r="H3" s="251"/>
      <c r="I3" s="251"/>
      <c r="J3" s="251"/>
      <c r="K3" s="251"/>
      <c r="L3" s="251"/>
    </row>
    <row r="4" spans="1:13" x14ac:dyDescent="0.25">
      <c r="A4" s="449"/>
      <c r="B4" s="449"/>
      <c r="C4" s="251"/>
      <c r="D4" s="251"/>
      <c r="E4" s="251"/>
      <c r="F4" s="251"/>
      <c r="G4" s="251"/>
      <c r="H4" s="251"/>
      <c r="I4" s="251"/>
      <c r="J4" s="251"/>
      <c r="K4" s="251"/>
      <c r="L4" s="251"/>
    </row>
    <row r="5" spans="1:13" x14ac:dyDescent="0.25">
      <c r="A5" s="449"/>
      <c r="B5" s="551" t="s">
        <v>1742</v>
      </c>
      <c r="C5" s="251"/>
      <c r="D5" s="251"/>
      <c r="E5" s="251"/>
      <c r="F5" s="251"/>
      <c r="G5" s="251"/>
      <c r="H5" s="551"/>
      <c r="I5" s="1171" t="s">
        <v>1996</v>
      </c>
      <c r="J5" s="1170"/>
      <c r="K5" s="251"/>
      <c r="L5" s="251"/>
    </row>
    <row r="6" spans="1:13" x14ac:dyDescent="0.25">
      <c r="A6" s="449"/>
      <c r="B6" s="551"/>
      <c r="C6" s="251"/>
      <c r="D6" s="251"/>
      <c r="E6" s="251"/>
      <c r="F6" s="251"/>
      <c r="G6" s="251"/>
      <c r="H6" s="251"/>
      <c r="I6" s="251"/>
      <c r="J6" s="251"/>
      <c r="K6" s="251"/>
      <c r="L6" s="251"/>
    </row>
    <row r="7" spans="1:13" x14ac:dyDescent="0.25">
      <c r="A7" s="449"/>
      <c r="B7" s="92" t="s">
        <v>394</v>
      </c>
      <c r="C7" s="92" t="s">
        <v>378</v>
      </c>
      <c r="D7" s="92" t="s">
        <v>379</v>
      </c>
      <c r="E7" s="92" t="s">
        <v>380</v>
      </c>
      <c r="F7" s="92" t="s">
        <v>381</v>
      </c>
      <c r="G7" s="92" t="s">
        <v>382</v>
      </c>
      <c r="H7" s="92" t="s">
        <v>383</v>
      </c>
      <c r="I7" s="92" t="s">
        <v>597</v>
      </c>
      <c r="J7" s="92" t="s">
        <v>1046</v>
      </c>
      <c r="K7" s="92" t="s">
        <v>1062</v>
      </c>
      <c r="L7" s="92" t="s">
        <v>1065</v>
      </c>
      <c r="M7" s="92" t="s">
        <v>1083</v>
      </c>
    </row>
    <row r="8" spans="1:13" x14ac:dyDescent="0.25">
      <c r="A8" s="251"/>
      <c r="B8" s="518"/>
      <c r="C8" s="251"/>
      <c r="D8" s="251"/>
      <c r="E8" s="251"/>
      <c r="F8" s="251"/>
      <c r="G8" s="251"/>
      <c r="H8" s="251"/>
      <c r="I8" s="251"/>
      <c r="J8" s="251"/>
      <c r="K8" s="251"/>
      <c r="M8" s="272" t="s">
        <v>1369</v>
      </c>
    </row>
    <row r="9" spans="1:13" x14ac:dyDescent="0.25">
      <c r="A9" s="251"/>
      <c r="B9" s="121"/>
      <c r="C9" s="92"/>
      <c r="D9" s="92"/>
      <c r="E9" s="251"/>
      <c r="F9" s="251"/>
      <c r="G9" s="251"/>
      <c r="H9" s="251"/>
      <c r="I9" s="251"/>
      <c r="J9" s="251"/>
      <c r="K9" s="251"/>
      <c r="L9" s="251"/>
    </row>
    <row r="10" spans="1:13" x14ac:dyDescent="0.25">
      <c r="A10" s="53" t="s">
        <v>360</v>
      </c>
      <c r="B10" s="135" t="s">
        <v>2044</v>
      </c>
      <c r="C10" s="92">
        <v>350.1</v>
      </c>
      <c r="D10" s="92">
        <v>350.2</v>
      </c>
      <c r="E10" s="92">
        <v>352</v>
      </c>
      <c r="F10" s="92">
        <v>353</v>
      </c>
      <c r="G10" s="92">
        <v>354</v>
      </c>
      <c r="H10" s="92">
        <v>355</v>
      </c>
      <c r="I10" s="92">
        <v>356</v>
      </c>
      <c r="J10" s="92">
        <v>357</v>
      </c>
      <c r="K10" s="92">
        <v>358</v>
      </c>
      <c r="L10" s="92">
        <v>359</v>
      </c>
      <c r="M10" s="3" t="s">
        <v>215</v>
      </c>
    </row>
    <row r="11" spans="1:13" x14ac:dyDescent="0.25">
      <c r="A11" s="588">
        <v>1</v>
      </c>
      <c r="B11" s="711"/>
      <c r="C11" s="590"/>
      <c r="D11" s="682"/>
      <c r="E11" s="256"/>
      <c r="F11" s="590"/>
      <c r="G11" s="590"/>
      <c r="H11" s="590"/>
      <c r="I11" s="590"/>
      <c r="J11" s="590"/>
      <c r="K11" s="590"/>
      <c r="L11" s="590"/>
      <c r="M11" s="253">
        <f t="shared" ref="M11:M23" si="0">SUM(C11:L11)</f>
        <v>0</v>
      </c>
    </row>
    <row r="12" spans="1:13" x14ac:dyDescent="0.25">
      <c r="A12" s="588">
        <f>A11+1</f>
        <v>2</v>
      </c>
      <c r="B12" s="712"/>
      <c r="C12" s="255" t="e">
        <f t="shared" ref="C12:C22" si="1">C146+C94 +C11</f>
        <v>#DIV/0!</v>
      </c>
      <c r="D12" s="267" t="e">
        <f t="shared" ref="D12:D22" si="2">D146+D94 +D11</f>
        <v>#DIV/0!</v>
      </c>
      <c r="E12" s="255" t="e">
        <f t="shared" ref="E12:E22" si="3">E146+E94 +E11</f>
        <v>#DIV/0!</v>
      </c>
      <c r="F12" s="255" t="e">
        <f t="shared" ref="F12:F22" si="4">F146+F94 +F11</f>
        <v>#DIV/0!</v>
      </c>
      <c r="G12" s="255" t="e">
        <f t="shared" ref="G12:G22" si="5">G146+G94 +G11</f>
        <v>#DIV/0!</v>
      </c>
      <c r="H12" s="255" t="e">
        <f t="shared" ref="H12:H22" si="6">H146+H94 +H11</f>
        <v>#DIV/0!</v>
      </c>
      <c r="I12" s="255" t="e">
        <f t="shared" ref="I12:I22" si="7">I146+I94 +I11</f>
        <v>#DIV/0!</v>
      </c>
      <c r="J12" s="255" t="e">
        <f t="shared" ref="J12:J22" si="8">J146+J94 +J11</f>
        <v>#DIV/0!</v>
      </c>
      <c r="K12" s="255" t="e">
        <f t="shared" ref="K12:K22" si="9">K146+K94 +K11</f>
        <v>#DIV/0!</v>
      </c>
      <c r="L12" s="255" t="e">
        <f t="shared" ref="L12:L22" si="10">L146+L94 +L11</f>
        <v>#DIV/0!</v>
      </c>
      <c r="M12" s="253" t="e">
        <f t="shared" si="0"/>
        <v>#DIV/0!</v>
      </c>
    </row>
    <row r="13" spans="1:13" x14ac:dyDescent="0.25">
      <c r="A13" s="588">
        <f t="shared" ref="A13:A24" si="11">A12+1</f>
        <v>3</v>
      </c>
      <c r="B13" s="711"/>
      <c r="C13" s="255" t="e">
        <f t="shared" si="1"/>
        <v>#DIV/0!</v>
      </c>
      <c r="D13" s="267" t="e">
        <f t="shared" si="2"/>
        <v>#DIV/0!</v>
      </c>
      <c r="E13" s="255" t="e">
        <f t="shared" si="3"/>
        <v>#DIV/0!</v>
      </c>
      <c r="F13" s="255" t="e">
        <f t="shared" si="4"/>
        <v>#DIV/0!</v>
      </c>
      <c r="G13" s="255" t="e">
        <f t="shared" si="5"/>
        <v>#DIV/0!</v>
      </c>
      <c r="H13" s="255" t="e">
        <f t="shared" si="6"/>
        <v>#DIV/0!</v>
      </c>
      <c r="I13" s="255" t="e">
        <f t="shared" si="7"/>
        <v>#DIV/0!</v>
      </c>
      <c r="J13" s="255" t="e">
        <f t="shared" si="8"/>
        <v>#DIV/0!</v>
      </c>
      <c r="K13" s="255" t="e">
        <f t="shared" si="9"/>
        <v>#DIV/0!</v>
      </c>
      <c r="L13" s="255" t="e">
        <f t="shared" si="10"/>
        <v>#DIV/0!</v>
      </c>
      <c r="M13" s="253" t="e">
        <f t="shared" si="0"/>
        <v>#DIV/0!</v>
      </c>
    </row>
    <row r="14" spans="1:13" x14ac:dyDescent="0.25">
      <c r="A14" s="588">
        <f t="shared" si="11"/>
        <v>4</v>
      </c>
      <c r="B14" s="711"/>
      <c r="C14" s="255" t="e">
        <f t="shared" si="1"/>
        <v>#DIV/0!</v>
      </c>
      <c r="D14" s="267" t="e">
        <f t="shared" si="2"/>
        <v>#DIV/0!</v>
      </c>
      <c r="E14" s="255" t="e">
        <f t="shared" si="3"/>
        <v>#DIV/0!</v>
      </c>
      <c r="F14" s="255" t="e">
        <f t="shared" si="4"/>
        <v>#DIV/0!</v>
      </c>
      <c r="G14" s="255" t="e">
        <f t="shared" si="5"/>
        <v>#DIV/0!</v>
      </c>
      <c r="H14" s="255" t="e">
        <f t="shared" si="6"/>
        <v>#DIV/0!</v>
      </c>
      <c r="I14" s="255" t="e">
        <f t="shared" si="7"/>
        <v>#DIV/0!</v>
      </c>
      <c r="J14" s="255" t="e">
        <f t="shared" si="8"/>
        <v>#DIV/0!</v>
      </c>
      <c r="K14" s="255" t="e">
        <f t="shared" si="9"/>
        <v>#DIV/0!</v>
      </c>
      <c r="L14" s="255" t="e">
        <f t="shared" si="10"/>
        <v>#DIV/0!</v>
      </c>
      <c r="M14" s="253" t="e">
        <f t="shared" si="0"/>
        <v>#DIV/0!</v>
      </c>
    </row>
    <row r="15" spans="1:13" x14ac:dyDescent="0.25">
      <c r="A15" s="588">
        <f t="shared" si="11"/>
        <v>5</v>
      </c>
      <c r="B15" s="712"/>
      <c r="C15" s="255" t="e">
        <f t="shared" si="1"/>
        <v>#DIV/0!</v>
      </c>
      <c r="D15" s="267" t="e">
        <f t="shared" si="2"/>
        <v>#DIV/0!</v>
      </c>
      <c r="E15" s="255" t="e">
        <f t="shared" si="3"/>
        <v>#DIV/0!</v>
      </c>
      <c r="F15" s="255" t="e">
        <f t="shared" si="4"/>
        <v>#DIV/0!</v>
      </c>
      <c r="G15" s="255" t="e">
        <f t="shared" si="5"/>
        <v>#DIV/0!</v>
      </c>
      <c r="H15" s="255" t="e">
        <f t="shared" si="6"/>
        <v>#DIV/0!</v>
      </c>
      <c r="I15" s="255" t="e">
        <f t="shared" si="7"/>
        <v>#DIV/0!</v>
      </c>
      <c r="J15" s="255" t="e">
        <f t="shared" si="8"/>
        <v>#DIV/0!</v>
      </c>
      <c r="K15" s="255" t="e">
        <f t="shared" si="9"/>
        <v>#DIV/0!</v>
      </c>
      <c r="L15" s="255" t="e">
        <f t="shared" si="10"/>
        <v>#DIV/0!</v>
      </c>
      <c r="M15" s="253" t="e">
        <f t="shared" si="0"/>
        <v>#DIV/0!</v>
      </c>
    </row>
    <row r="16" spans="1:13" x14ac:dyDescent="0.25">
      <c r="A16" s="588">
        <f t="shared" si="11"/>
        <v>6</v>
      </c>
      <c r="B16" s="711"/>
      <c r="C16" s="255" t="e">
        <f t="shared" si="1"/>
        <v>#DIV/0!</v>
      </c>
      <c r="D16" s="267" t="e">
        <f t="shared" si="2"/>
        <v>#DIV/0!</v>
      </c>
      <c r="E16" s="255" t="e">
        <f t="shared" si="3"/>
        <v>#DIV/0!</v>
      </c>
      <c r="F16" s="255" t="e">
        <f t="shared" si="4"/>
        <v>#DIV/0!</v>
      </c>
      <c r="G16" s="255" t="e">
        <f t="shared" si="5"/>
        <v>#DIV/0!</v>
      </c>
      <c r="H16" s="255" t="e">
        <f t="shared" si="6"/>
        <v>#DIV/0!</v>
      </c>
      <c r="I16" s="255" t="e">
        <f t="shared" si="7"/>
        <v>#DIV/0!</v>
      </c>
      <c r="J16" s="255" t="e">
        <f t="shared" si="8"/>
        <v>#DIV/0!</v>
      </c>
      <c r="K16" s="255" t="e">
        <f t="shared" si="9"/>
        <v>#DIV/0!</v>
      </c>
      <c r="L16" s="255" t="e">
        <f t="shared" si="10"/>
        <v>#DIV/0!</v>
      </c>
      <c r="M16" s="253" t="e">
        <f t="shared" si="0"/>
        <v>#DIV/0!</v>
      </c>
    </row>
    <row r="17" spans="1:15" x14ac:dyDescent="0.25">
      <c r="A17" s="588">
        <f t="shared" si="11"/>
        <v>7</v>
      </c>
      <c r="B17" s="711"/>
      <c r="C17" s="255" t="e">
        <f t="shared" si="1"/>
        <v>#DIV/0!</v>
      </c>
      <c r="D17" s="267" t="e">
        <f t="shared" si="2"/>
        <v>#DIV/0!</v>
      </c>
      <c r="E17" s="255" t="e">
        <f t="shared" si="3"/>
        <v>#DIV/0!</v>
      </c>
      <c r="F17" s="255" t="e">
        <f t="shared" si="4"/>
        <v>#DIV/0!</v>
      </c>
      <c r="G17" s="255" t="e">
        <f t="shared" si="5"/>
        <v>#DIV/0!</v>
      </c>
      <c r="H17" s="255" t="e">
        <f t="shared" si="6"/>
        <v>#DIV/0!</v>
      </c>
      <c r="I17" s="255" t="e">
        <f t="shared" si="7"/>
        <v>#DIV/0!</v>
      </c>
      <c r="J17" s="255" t="e">
        <f t="shared" si="8"/>
        <v>#DIV/0!</v>
      </c>
      <c r="K17" s="255" t="e">
        <f t="shared" si="9"/>
        <v>#DIV/0!</v>
      </c>
      <c r="L17" s="255" t="e">
        <f t="shared" si="10"/>
        <v>#DIV/0!</v>
      </c>
      <c r="M17" s="253" t="e">
        <f t="shared" si="0"/>
        <v>#DIV/0!</v>
      </c>
    </row>
    <row r="18" spans="1:15" x14ac:dyDescent="0.25">
      <c r="A18" s="588">
        <f t="shared" si="11"/>
        <v>8</v>
      </c>
      <c r="B18" s="712"/>
      <c r="C18" s="255" t="e">
        <f t="shared" si="1"/>
        <v>#DIV/0!</v>
      </c>
      <c r="D18" s="267" t="e">
        <f t="shared" si="2"/>
        <v>#DIV/0!</v>
      </c>
      <c r="E18" s="255" t="e">
        <f t="shared" si="3"/>
        <v>#DIV/0!</v>
      </c>
      <c r="F18" s="255" t="e">
        <f t="shared" si="4"/>
        <v>#DIV/0!</v>
      </c>
      <c r="G18" s="255" t="e">
        <f t="shared" si="5"/>
        <v>#DIV/0!</v>
      </c>
      <c r="H18" s="255" t="e">
        <f t="shared" si="6"/>
        <v>#DIV/0!</v>
      </c>
      <c r="I18" s="255" t="e">
        <f t="shared" si="7"/>
        <v>#DIV/0!</v>
      </c>
      <c r="J18" s="255" t="e">
        <f t="shared" si="8"/>
        <v>#DIV/0!</v>
      </c>
      <c r="K18" s="255" t="e">
        <f t="shared" si="9"/>
        <v>#DIV/0!</v>
      </c>
      <c r="L18" s="255" t="e">
        <f t="shared" si="10"/>
        <v>#DIV/0!</v>
      </c>
      <c r="M18" s="253" t="e">
        <f t="shared" si="0"/>
        <v>#DIV/0!</v>
      </c>
    </row>
    <row r="19" spans="1:15" x14ac:dyDescent="0.25">
      <c r="A19" s="588">
        <f t="shared" si="11"/>
        <v>9</v>
      </c>
      <c r="B19" s="711"/>
      <c r="C19" s="255" t="e">
        <f t="shared" si="1"/>
        <v>#DIV/0!</v>
      </c>
      <c r="D19" s="267" t="e">
        <f t="shared" si="2"/>
        <v>#DIV/0!</v>
      </c>
      <c r="E19" s="255" t="e">
        <f t="shared" si="3"/>
        <v>#DIV/0!</v>
      </c>
      <c r="F19" s="255" t="e">
        <f t="shared" si="4"/>
        <v>#DIV/0!</v>
      </c>
      <c r="G19" s="255" t="e">
        <f t="shared" si="5"/>
        <v>#DIV/0!</v>
      </c>
      <c r="H19" s="255" t="e">
        <f t="shared" si="6"/>
        <v>#DIV/0!</v>
      </c>
      <c r="I19" s="255" t="e">
        <f t="shared" si="7"/>
        <v>#DIV/0!</v>
      </c>
      <c r="J19" s="255" t="e">
        <f t="shared" si="8"/>
        <v>#DIV/0!</v>
      </c>
      <c r="K19" s="255" t="e">
        <f t="shared" si="9"/>
        <v>#DIV/0!</v>
      </c>
      <c r="L19" s="255" t="e">
        <f t="shared" si="10"/>
        <v>#DIV/0!</v>
      </c>
      <c r="M19" s="253" t="e">
        <f t="shared" si="0"/>
        <v>#DIV/0!</v>
      </c>
    </row>
    <row r="20" spans="1:15" x14ac:dyDescent="0.25">
      <c r="A20" s="588">
        <f t="shared" si="11"/>
        <v>10</v>
      </c>
      <c r="B20" s="711"/>
      <c r="C20" s="255" t="e">
        <f t="shared" si="1"/>
        <v>#DIV/0!</v>
      </c>
      <c r="D20" s="267" t="e">
        <f t="shared" si="2"/>
        <v>#DIV/0!</v>
      </c>
      <c r="E20" s="255" t="e">
        <f t="shared" si="3"/>
        <v>#DIV/0!</v>
      </c>
      <c r="F20" s="255" t="e">
        <f t="shared" si="4"/>
        <v>#DIV/0!</v>
      </c>
      <c r="G20" s="255" t="e">
        <f t="shared" si="5"/>
        <v>#DIV/0!</v>
      </c>
      <c r="H20" s="255" t="e">
        <f t="shared" si="6"/>
        <v>#DIV/0!</v>
      </c>
      <c r="I20" s="255" t="e">
        <f t="shared" si="7"/>
        <v>#DIV/0!</v>
      </c>
      <c r="J20" s="255" t="e">
        <f t="shared" si="8"/>
        <v>#DIV/0!</v>
      </c>
      <c r="K20" s="255" t="e">
        <f t="shared" si="9"/>
        <v>#DIV/0!</v>
      </c>
      <c r="L20" s="708" t="e">
        <f t="shared" si="10"/>
        <v>#DIV/0!</v>
      </c>
      <c r="M20" s="253" t="e">
        <f t="shared" si="0"/>
        <v>#DIV/0!</v>
      </c>
    </row>
    <row r="21" spans="1:15" x14ac:dyDescent="0.25">
      <c r="A21" s="588">
        <f t="shared" si="11"/>
        <v>11</v>
      </c>
      <c r="B21" s="712"/>
      <c r="C21" s="255" t="e">
        <f t="shared" si="1"/>
        <v>#DIV/0!</v>
      </c>
      <c r="D21" s="267" t="e">
        <f t="shared" si="2"/>
        <v>#DIV/0!</v>
      </c>
      <c r="E21" s="255" t="e">
        <f t="shared" si="3"/>
        <v>#DIV/0!</v>
      </c>
      <c r="F21" s="255" t="e">
        <f t="shared" si="4"/>
        <v>#DIV/0!</v>
      </c>
      <c r="G21" s="255" t="e">
        <f t="shared" si="5"/>
        <v>#DIV/0!</v>
      </c>
      <c r="H21" s="255" t="e">
        <f t="shared" si="6"/>
        <v>#DIV/0!</v>
      </c>
      <c r="I21" s="255" t="e">
        <f t="shared" si="7"/>
        <v>#DIV/0!</v>
      </c>
      <c r="J21" s="255" t="e">
        <f t="shared" si="8"/>
        <v>#DIV/0!</v>
      </c>
      <c r="K21" s="255" t="e">
        <f t="shared" si="9"/>
        <v>#DIV/0!</v>
      </c>
      <c r="L21" s="255" t="e">
        <f t="shared" si="10"/>
        <v>#DIV/0!</v>
      </c>
      <c r="M21" s="253" t="e">
        <f t="shared" si="0"/>
        <v>#DIV/0!</v>
      </c>
    </row>
    <row r="22" spans="1:15" x14ac:dyDescent="0.25">
      <c r="A22" s="588">
        <f t="shared" si="11"/>
        <v>12</v>
      </c>
      <c r="B22" s="712"/>
      <c r="C22" s="255" t="e">
        <f t="shared" si="1"/>
        <v>#DIV/0!</v>
      </c>
      <c r="D22" s="267" t="e">
        <f t="shared" si="2"/>
        <v>#DIV/0!</v>
      </c>
      <c r="E22" s="255" t="e">
        <f t="shared" si="3"/>
        <v>#DIV/0!</v>
      </c>
      <c r="F22" s="255" t="e">
        <f t="shared" si="4"/>
        <v>#DIV/0!</v>
      </c>
      <c r="G22" s="255" t="e">
        <f t="shared" si="5"/>
        <v>#DIV/0!</v>
      </c>
      <c r="H22" s="255" t="e">
        <f t="shared" si="6"/>
        <v>#DIV/0!</v>
      </c>
      <c r="I22" s="255" t="e">
        <f t="shared" si="7"/>
        <v>#DIV/0!</v>
      </c>
      <c r="J22" s="255" t="e">
        <f t="shared" si="8"/>
        <v>#DIV/0!</v>
      </c>
      <c r="K22" s="255" t="e">
        <f t="shared" si="9"/>
        <v>#DIV/0!</v>
      </c>
      <c r="L22" s="255" t="e">
        <f t="shared" si="10"/>
        <v>#DIV/0!</v>
      </c>
      <c r="M22" s="253" t="e">
        <f t="shared" si="0"/>
        <v>#DIV/0!</v>
      </c>
    </row>
    <row r="23" spans="1:15" x14ac:dyDescent="0.25">
      <c r="A23" s="588">
        <f t="shared" si="11"/>
        <v>13</v>
      </c>
      <c r="B23" s="711"/>
      <c r="C23" s="127"/>
      <c r="D23" s="127"/>
      <c r="E23" s="525">
        <f>'7-PlantStudy'!E10</f>
        <v>0</v>
      </c>
      <c r="F23" s="525">
        <f>'7-PlantStudy'!E11</f>
        <v>0</v>
      </c>
      <c r="G23" s="525">
        <f>'7-PlantStudy'!E20</f>
        <v>0</v>
      </c>
      <c r="H23" s="525">
        <f>'7-PlantStudy'!E21</f>
        <v>0</v>
      </c>
      <c r="I23" s="525">
        <f>'7-PlantStudy'!E22</f>
        <v>0</v>
      </c>
      <c r="J23" s="525">
        <f>'7-PlantStudy'!E23</f>
        <v>0</v>
      </c>
      <c r="K23" s="525">
        <f>'7-PlantStudy'!E24</f>
        <v>0</v>
      </c>
      <c r="L23" s="525">
        <f>'7-PlantStudy'!E25</f>
        <v>0</v>
      </c>
      <c r="M23" s="397">
        <f t="shared" si="0"/>
        <v>0</v>
      </c>
      <c r="O23" s="1"/>
    </row>
    <row r="24" spans="1:15" x14ac:dyDescent="0.25">
      <c r="A24" s="588">
        <f t="shared" si="11"/>
        <v>14</v>
      </c>
      <c r="B24" s="592" t="s">
        <v>1328</v>
      </c>
      <c r="C24" s="253" t="e">
        <f t="shared" ref="C24:M24" si="12">AVERAGE(C11:C23)</f>
        <v>#DIV/0!</v>
      </c>
      <c r="D24" s="253" t="e">
        <f t="shared" si="12"/>
        <v>#DIV/0!</v>
      </c>
      <c r="E24" s="253" t="e">
        <f t="shared" si="12"/>
        <v>#DIV/0!</v>
      </c>
      <c r="F24" s="253" t="e">
        <f t="shared" si="12"/>
        <v>#DIV/0!</v>
      </c>
      <c r="G24" s="253" t="e">
        <f t="shared" si="12"/>
        <v>#DIV/0!</v>
      </c>
      <c r="H24" s="253" t="e">
        <f t="shared" si="12"/>
        <v>#DIV/0!</v>
      </c>
      <c r="I24" s="253" t="e">
        <f t="shared" si="12"/>
        <v>#DIV/0!</v>
      </c>
      <c r="J24" s="253" t="e">
        <f t="shared" si="12"/>
        <v>#DIV/0!</v>
      </c>
      <c r="K24" s="253" t="e">
        <f t="shared" si="12"/>
        <v>#DIV/0!</v>
      </c>
      <c r="L24" s="253" t="e">
        <f t="shared" si="12"/>
        <v>#DIV/0!</v>
      </c>
      <c r="M24" s="253" t="e">
        <f t="shared" si="12"/>
        <v>#DIV/0!</v>
      </c>
    </row>
    <row r="25" spans="1:15" x14ac:dyDescent="0.25">
      <c r="A25" s="551"/>
      <c r="B25" s="551"/>
      <c r="C25" s="551"/>
      <c r="D25" s="551"/>
      <c r="E25" s="551"/>
      <c r="F25" s="551"/>
      <c r="G25" s="551"/>
      <c r="H25" s="551"/>
      <c r="I25" s="551"/>
      <c r="J25" s="551"/>
      <c r="K25" s="551"/>
      <c r="L25" s="551"/>
    </row>
    <row r="26" spans="1:15" x14ac:dyDescent="0.25">
      <c r="A26" s="551"/>
      <c r="B26" s="449" t="s">
        <v>352</v>
      </c>
      <c r="C26" s="551"/>
      <c r="D26" s="551"/>
      <c r="E26" s="551"/>
      <c r="F26" s="551"/>
      <c r="G26" s="551"/>
      <c r="H26" s="551"/>
      <c r="I26" s="551"/>
      <c r="J26" s="551"/>
      <c r="K26" s="551"/>
      <c r="L26" s="551"/>
    </row>
    <row r="27" spans="1:15" x14ac:dyDescent="0.25">
      <c r="A27" s="551"/>
      <c r="B27" s="449"/>
      <c r="C27" s="551"/>
      <c r="D27" s="551"/>
      <c r="E27" s="551"/>
      <c r="F27" s="551"/>
      <c r="G27" s="551"/>
      <c r="H27" s="551"/>
      <c r="I27" s="551"/>
      <c r="J27" s="551"/>
      <c r="K27" s="551"/>
      <c r="L27" s="551"/>
    </row>
    <row r="28" spans="1:15" x14ac:dyDescent="0.25">
      <c r="A28" s="551"/>
      <c r="B28" s="261" t="s">
        <v>1997</v>
      </c>
      <c r="C28" s="553"/>
      <c r="D28" s="553"/>
      <c r="E28" s="553"/>
      <c r="F28" s="553"/>
      <c r="G28" s="553"/>
      <c r="H28" s="553"/>
      <c r="I28" s="551"/>
      <c r="J28" s="551"/>
      <c r="K28" s="551"/>
      <c r="L28" s="551"/>
    </row>
    <row r="29" spans="1:15" x14ac:dyDescent="0.25">
      <c r="A29" s="551"/>
      <c r="B29" s="449"/>
      <c r="C29" s="551"/>
      <c r="D29" s="551"/>
      <c r="E29" s="551"/>
      <c r="F29" s="551"/>
      <c r="G29" s="551"/>
      <c r="H29" s="551"/>
      <c r="I29" s="551"/>
      <c r="J29" s="551"/>
      <c r="K29" s="551"/>
      <c r="L29" s="551"/>
    </row>
    <row r="30" spans="1:15" x14ac:dyDescent="0.25">
      <c r="A30" s="449"/>
      <c r="B30" s="92" t="s">
        <v>394</v>
      </c>
      <c r="C30" s="92" t="s">
        <v>378</v>
      </c>
      <c r="D30" s="92" t="s">
        <v>379</v>
      </c>
      <c r="E30" s="92" t="s">
        <v>380</v>
      </c>
      <c r="F30" s="92" t="s">
        <v>381</v>
      </c>
      <c r="G30" s="551"/>
      <c r="H30" s="551"/>
      <c r="I30" s="551"/>
      <c r="J30" s="551"/>
      <c r="K30" s="551"/>
      <c r="L30" s="551"/>
    </row>
    <row r="31" spans="1:15" x14ac:dyDescent="0.25">
      <c r="A31" s="251"/>
      <c r="B31" s="272"/>
      <c r="C31" s="251"/>
      <c r="D31" s="251"/>
      <c r="E31" s="251"/>
      <c r="F31" s="272" t="s">
        <v>1329</v>
      </c>
      <c r="G31" s="551"/>
      <c r="H31" s="551"/>
      <c r="K31" s="551"/>
      <c r="L31" s="551"/>
    </row>
    <row r="32" spans="1:15" x14ac:dyDescent="0.25">
      <c r="A32" s="251"/>
      <c r="B32" s="121"/>
      <c r="C32" s="92"/>
      <c r="D32" s="92"/>
      <c r="E32" s="251"/>
      <c r="F32" s="251"/>
      <c r="G32" s="551"/>
      <c r="H32" s="551"/>
      <c r="K32" s="551"/>
      <c r="L32" s="551"/>
    </row>
    <row r="33" spans="1:12" ht="12.75" customHeight="1" x14ac:dyDescent="0.25">
      <c r="A33" s="53" t="s">
        <v>360</v>
      </c>
      <c r="B33" s="135" t="s">
        <v>2044</v>
      </c>
      <c r="C33" s="398">
        <v>360</v>
      </c>
      <c r="D33" s="398">
        <v>361</v>
      </c>
      <c r="E33" s="398">
        <v>362</v>
      </c>
      <c r="F33" s="3" t="s">
        <v>215</v>
      </c>
      <c r="G33" s="551"/>
      <c r="H33" s="551"/>
      <c r="K33" s="551"/>
      <c r="L33" s="551"/>
    </row>
    <row r="34" spans="1:12" ht="12.75" customHeight="1" x14ac:dyDescent="0.25">
      <c r="A34" s="588">
        <f>A24+1</f>
        <v>15</v>
      </c>
      <c r="B34" s="711"/>
      <c r="C34" s="256"/>
      <c r="D34" s="256"/>
      <c r="E34" s="256"/>
      <c r="F34" s="253">
        <f>SUM(C34:E34)</f>
        <v>0</v>
      </c>
      <c r="G34" s="551"/>
      <c r="H34" s="551"/>
      <c r="K34" s="551"/>
      <c r="L34" s="551"/>
    </row>
    <row r="35" spans="1:12" ht="12.75" customHeight="1" x14ac:dyDescent="0.25">
      <c r="A35" s="588">
        <f>A34+1</f>
        <v>16</v>
      </c>
      <c r="B35" s="711"/>
      <c r="C35" s="454"/>
      <c r="D35" s="454"/>
      <c r="E35" s="454"/>
      <c r="F35" s="397">
        <f>SUM(C35:E35)</f>
        <v>0</v>
      </c>
      <c r="G35" s="551"/>
      <c r="H35" s="551"/>
      <c r="K35" s="551"/>
      <c r="L35" s="551"/>
    </row>
    <row r="36" spans="1:12" ht="12.75" customHeight="1" x14ac:dyDescent="0.25">
      <c r="A36" s="588">
        <f>A35+1</f>
        <v>17</v>
      </c>
      <c r="B36" s="592" t="s">
        <v>1330</v>
      </c>
      <c r="C36" s="253" t="e">
        <f>AVERAGE(C34:C35)</f>
        <v>#DIV/0!</v>
      </c>
      <c r="D36" s="253" t="e">
        <f>AVERAGE(D34:D35)</f>
        <v>#DIV/0!</v>
      </c>
      <c r="E36" s="253" t="e">
        <f>AVERAGE(E34:E35)</f>
        <v>#DIV/0!</v>
      </c>
      <c r="F36" s="253">
        <f>AVERAGE(F34:F35)</f>
        <v>0</v>
      </c>
      <c r="G36" s="551"/>
      <c r="H36" s="551"/>
      <c r="K36" s="551"/>
      <c r="L36" s="551"/>
    </row>
    <row r="37" spans="1:12" ht="12.75" customHeight="1" x14ac:dyDescent="0.25">
      <c r="A37" s="551"/>
      <c r="B37" s="551"/>
      <c r="C37" s="551"/>
      <c r="D37" s="551"/>
      <c r="E37" s="551"/>
      <c r="F37" s="551"/>
      <c r="G37" s="551"/>
      <c r="H37" s="551"/>
      <c r="K37" s="551"/>
      <c r="L37" s="551"/>
    </row>
    <row r="38" spans="1:12" x14ac:dyDescent="0.25">
      <c r="A38" s="551"/>
      <c r="B38" s="1" t="s">
        <v>1148</v>
      </c>
      <c r="C38" s="22"/>
      <c r="D38" s="22"/>
      <c r="E38" s="593"/>
      <c r="F38" s="594"/>
      <c r="G38" s="595"/>
      <c r="H38" s="551"/>
      <c r="K38" s="551"/>
      <c r="L38" s="551"/>
    </row>
    <row r="39" spans="1:12" x14ac:dyDescent="0.25">
      <c r="A39" s="551"/>
      <c r="B39" s="551" t="s">
        <v>1149</v>
      </c>
      <c r="C39" s="22"/>
      <c r="D39" s="22"/>
      <c r="E39" s="593"/>
      <c r="F39" s="594"/>
      <c r="G39" s="595"/>
      <c r="H39" s="551"/>
      <c r="K39" s="551"/>
      <c r="L39" s="551"/>
    </row>
    <row r="40" spans="1:12" x14ac:dyDescent="0.25">
      <c r="A40" s="551"/>
      <c r="B40" s="551"/>
      <c r="C40" s="22"/>
      <c r="D40" s="22"/>
      <c r="E40" s="593"/>
      <c r="F40" s="594"/>
      <c r="G40" s="595"/>
      <c r="H40" s="551"/>
      <c r="K40" s="551"/>
      <c r="L40" s="551"/>
    </row>
    <row r="41" spans="1:12" x14ac:dyDescent="0.25">
      <c r="A41" s="551"/>
      <c r="B41" s="551"/>
      <c r="C41" s="22"/>
      <c r="D41" s="451" t="s">
        <v>194</v>
      </c>
      <c r="E41" s="452" t="s">
        <v>198</v>
      </c>
      <c r="F41" s="594"/>
      <c r="G41" s="595"/>
      <c r="H41" s="551"/>
      <c r="K41" s="551"/>
      <c r="L41" s="551"/>
    </row>
    <row r="42" spans="1:12" x14ac:dyDescent="0.25">
      <c r="A42" s="588">
        <f>A36+1</f>
        <v>18</v>
      </c>
      <c r="B42" s="551"/>
      <c r="C42" s="593" t="s">
        <v>353</v>
      </c>
      <c r="D42" s="594" t="e">
        <f>M24+F36</f>
        <v>#DIV/0!</v>
      </c>
      <c r="E42" s="596" t="str">
        <f>"Sum of Line "&amp;A24&amp;", "&amp;M7&amp;" and Line "&amp;A36&amp;", "&amp;F30&amp;""</f>
        <v>Sum of Line 14, Col 12 and Line 17, Col 5</v>
      </c>
      <c r="F42" s="551"/>
      <c r="G42" s="551"/>
      <c r="H42" s="551"/>
      <c r="K42" s="551"/>
      <c r="L42" s="551"/>
    </row>
    <row r="43" spans="1:12" x14ac:dyDescent="0.25">
      <c r="A43" s="588">
        <f>A42+1</f>
        <v>19</v>
      </c>
      <c r="B43" s="551"/>
      <c r="C43" s="593" t="s">
        <v>173</v>
      </c>
      <c r="D43" s="594">
        <f>M23+F35</f>
        <v>0</v>
      </c>
      <c r="E43" s="596" t="str">
        <f>"Sum of Line "&amp;A23&amp;", "&amp;M7&amp;" and Line "&amp;A35&amp;", "&amp;F30&amp;""</f>
        <v>Sum of Line 13, Col 12 and Line 16, Col 5</v>
      </c>
      <c r="F43" s="551"/>
      <c r="G43" s="551"/>
      <c r="H43" s="551"/>
      <c r="I43" s="551"/>
      <c r="J43" s="551"/>
      <c r="K43" s="551"/>
      <c r="L43" s="551"/>
    </row>
    <row r="44" spans="1:12" x14ac:dyDescent="0.25">
      <c r="A44" s="551"/>
      <c r="B44" s="551"/>
      <c r="C44" s="22"/>
      <c r="D44" s="22"/>
      <c r="E44" s="597"/>
      <c r="F44" s="598"/>
      <c r="G44" s="599"/>
      <c r="H44" s="551"/>
      <c r="I44" s="551"/>
      <c r="J44" s="551"/>
      <c r="K44" s="551"/>
      <c r="L44" s="551"/>
    </row>
    <row r="45" spans="1:12" x14ac:dyDescent="0.25">
      <c r="A45" s="551"/>
      <c r="B45" s="1" t="s">
        <v>1998</v>
      </c>
      <c r="C45" s="551"/>
      <c r="D45" s="551"/>
      <c r="E45" s="597"/>
      <c r="F45" s="598"/>
      <c r="G45" s="599"/>
      <c r="H45" s="551"/>
      <c r="I45" s="551"/>
      <c r="J45" s="551"/>
      <c r="K45" s="551"/>
      <c r="L45" s="551"/>
    </row>
    <row r="46" spans="1:12" x14ac:dyDescent="0.25">
      <c r="A46" s="551"/>
      <c r="B46" s="555" t="s">
        <v>334</v>
      </c>
      <c r="C46" s="551"/>
      <c r="D46" s="551"/>
      <c r="E46" s="597"/>
      <c r="F46" s="598"/>
      <c r="G46" s="599"/>
      <c r="H46" s="551"/>
      <c r="I46" s="551"/>
      <c r="J46" s="551"/>
      <c r="K46" s="551"/>
      <c r="L46" s="551"/>
    </row>
    <row r="47" spans="1:12" ht="12.75" customHeight="1" x14ac:dyDescent="0.25">
      <c r="A47" s="551"/>
      <c r="B47" s="555"/>
      <c r="C47" s="551"/>
      <c r="D47" s="551"/>
      <c r="E47" s="597"/>
      <c r="F47" s="598"/>
      <c r="G47" s="599"/>
      <c r="H47" s="551"/>
      <c r="I47" s="551"/>
      <c r="J47" s="551"/>
      <c r="K47" s="551"/>
      <c r="L47" s="551"/>
    </row>
    <row r="48" spans="1:12" x14ac:dyDescent="0.25">
      <c r="A48" s="551"/>
      <c r="B48" s="1"/>
      <c r="C48" s="272" t="s">
        <v>395</v>
      </c>
      <c r="D48" s="551"/>
      <c r="E48" s="597"/>
      <c r="F48" s="92" t="s">
        <v>394</v>
      </c>
      <c r="G48" s="92" t="s">
        <v>378</v>
      </c>
      <c r="H48" s="92" t="s">
        <v>379</v>
      </c>
      <c r="I48" s="551"/>
      <c r="J48" s="551"/>
      <c r="K48" s="551"/>
      <c r="L48" s="551"/>
    </row>
    <row r="49" spans="1:12" x14ac:dyDescent="0.25">
      <c r="A49" s="551"/>
      <c r="B49" s="1"/>
      <c r="C49" s="588" t="s">
        <v>446</v>
      </c>
      <c r="D49" s="597"/>
      <c r="F49" s="588" t="s">
        <v>1352</v>
      </c>
      <c r="G49" s="588" t="s">
        <v>1353</v>
      </c>
      <c r="H49" s="81" t="s">
        <v>215</v>
      </c>
      <c r="I49" s="599"/>
      <c r="J49" s="551"/>
      <c r="K49" s="551"/>
      <c r="L49" s="551"/>
    </row>
    <row r="50" spans="1:12" x14ac:dyDescent="0.25">
      <c r="A50" s="551"/>
      <c r="B50" s="551"/>
      <c r="C50" s="588" t="s">
        <v>212</v>
      </c>
      <c r="D50" s="26" t="s">
        <v>213</v>
      </c>
      <c r="F50" s="26" t="s">
        <v>414</v>
      </c>
      <c r="G50" s="26" t="s">
        <v>414</v>
      </c>
      <c r="H50" s="26" t="s">
        <v>1331</v>
      </c>
      <c r="I50" s="26"/>
      <c r="J50" s="551"/>
      <c r="K50" s="551"/>
      <c r="L50" s="551"/>
    </row>
    <row r="51" spans="1:12" x14ac:dyDescent="0.25">
      <c r="A51" s="551"/>
      <c r="B51" s="551"/>
      <c r="C51" s="3" t="s">
        <v>211</v>
      </c>
      <c r="D51" s="25" t="s">
        <v>198</v>
      </c>
      <c r="F51" s="31" t="s">
        <v>2</v>
      </c>
      <c r="G51" s="31" t="s">
        <v>2</v>
      </c>
      <c r="H51" s="31" t="s">
        <v>2</v>
      </c>
      <c r="I51" s="29" t="s">
        <v>187</v>
      </c>
      <c r="J51" s="551"/>
      <c r="K51" s="551"/>
      <c r="L51" s="551"/>
    </row>
    <row r="52" spans="1:12" x14ac:dyDescent="0.25">
      <c r="A52" s="588">
        <f>A43+1</f>
        <v>20</v>
      </c>
      <c r="B52" s="551"/>
      <c r="C52" s="600" t="s">
        <v>199</v>
      </c>
      <c r="D52" s="601" t="s">
        <v>1354</v>
      </c>
      <c r="F52" s="117"/>
      <c r="G52" s="590"/>
      <c r="H52" s="594">
        <f>SUM(F52:G52)</f>
        <v>0</v>
      </c>
      <c r="I52" s="601" t="s">
        <v>1999</v>
      </c>
      <c r="J52" s="553"/>
      <c r="K52" s="551"/>
      <c r="L52" s="551"/>
    </row>
    <row r="53" spans="1:12" ht="12.75" customHeight="1" x14ac:dyDescent="0.25">
      <c r="A53" s="588">
        <f>A52+1</f>
        <v>21</v>
      </c>
      <c r="B53" s="551"/>
      <c r="C53" s="589" t="s">
        <v>199</v>
      </c>
      <c r="D53" s="601" t="s">
        <v>2038</v>
      </c>
      <c r="E53" s="14"/>
      <c r="F53" s="117"/>
      <c r="G53" s="590"/>
      <c r="H53" s="594">
        <f>SUM(F53:G53)</f>
        <v>0</v>
      </c>
      <c r="I53" s="550" t="s">
        <v>2000</v>
      </c>
      <c r="J53" s="553"/>
      <c r="K53" s="551"/>
      <c r="L53" s="551"/>
    </row>
    <row r="54" spans="1:12" ht="12.75" customHeight="1" x14ac:dyDescent="0.25">
      <c r="A54" s="551"/>
      <c r="B54" s="551"/>
      <c r="C54" s="589"/>
      <c r="D54" s="602"/>
      <c r="E54" s="603"/>
      <c r="F54" s="594"/>
      <c r="G54" s="555"/>
      <c r="H54" s="551"/>
      <c r="I54" s="551"/>
      <c r="J54" s="551"/>
      <c r="K54" s="551"/>
      <c r="L54" s="551"/>
    </row>
    <row r="55" spans="1:12" ht="12.75" customHeight="1" x14ac:dyDescent="0.25">
      <c r="A55" s="551"/>
      <c r="B55" s="551"/>
      <c r="C55" s="22" t="s">
        <v>1356</v>
      </c>
      <c r="D55" s="22"/>
      <c r="E55" s="597"/>
      <c r="F55" s="452" t="s">
        <v>194</v>
      </c>
      <c r="G55" s="453" t="s">
        <v>198</v>
      </c>
      <c r="H55" s="551"/>
      <c r="I55" s="551"/>
      <c r="J55" s="551"/>
      <c r="K55" s="551"/>
      <c r="L55" s="551"/>
    </row>
    <row r="56" spans="1:12" x14ac:dyDescent="0.25">
      <c r="A56" s="588">
        <f>A53+1</f>
        <v>22</v>
      </c>
      <c r="B56" s="551"/>
      <c r="C56" s="22"/>
      <c r="D56" s="22"/>
      <c r="E56" s="593" t="s">
        <v>94</v>
      </c>
      <c r="F56" s="594">
        <f>(H52+H53)/2</f>
        <v>0</v>
      </c>
      <c r="G56" s="604" t="str">
        <f>"Average of Line "&amp;A52&amp;" and "&amp;A53&amp;"."</f>
        <v>Average of Line 20 and 21.</v>
      </c>
      <c r="H56" s="551"/>
      <c r="I56" s="551"/>
      <c r="J56" s="551"/>
      <c r="K56" s="551"/>
      <c r="L56" s="551"/>
    </row>
    <row r="57" spans="1:12" x14ac:dyDescent="0.25">
      <c r="A57" s="588">
        <f>A56+1</f>
        <v>23</v>
      </c>
      <c r="B57" s="551"/>
      <c r="C57" s="22"/>
      <c r="D57" s="22"/>
      <c r="E57" s="605" t="s">
        <v>265</v>
      </c>
      <c r="F57" s="36" t="e">
        <f>'27-Allocators'!G15</f>
        <v>#DIV/0!</v>
      </c>
      <c r="G57" s="604" t="str">
        <f>"27-Allocators, Line "&amp;'27-Allocators'!A15&amp;""</f>
        <v>27-Allocators, Line 9</v>
      </c>
      <c r="H57" s="551"/>
      <c r="I57" s="551"/>
      <c r="J57" s="551"/>
      <c r="K57" s="551"/>
      <c r="L57" s="551"/>
    </row>
    <row r="58" spans="1:12" x14ac:dyDescent="0.25">
      <c r="A58" s="588">
        <f>A57+1</f>
        <v>24</v>
      </c>
      <c r="B58" s="551"/>
      <c r="C58" s="22"/>
      <c r="D58" s="22"/>
      <c r="E58" s="605" t="s">
        <v>335</v>
      </c>
      <c r="F58" s="594" t="e">
        <f>F56*F57</f>
        <v>#DIV/0!</v>
      </c>
      <c r="G58" s="604" t="str">
        <f>"Line "&amp;A56&amp;" * Line "&amp;A57&amp;"."</f>
        <v>Line 22 * Line 23.</v>
      </c>
      <c r="H58" s="551"/>
      <c r="I58" s="551"/>
      <c r="J58" s="551"/>
      <c r="K58" s="551"/>
      <c r="L58" s="551"/>
    </row>
    <row r="59" spans="1:12" x14ac:dyDescent="0.25">
      <c r="A59" s="551"/>
      <c r="B59" s="551"/>
      <c r="C59" s="22"/>
      <c r="D59" s="22"/>
      <c r="E59" s="605"/>
      <c r="F59" s="594"/>
      <c r="G59" s="595"/>
      <c r="H59" s="551"/>
      <c r="I59" s="551"/>
      <c r="J59" s="551"/>
      <c r="K59" s="551"/>
      <c r="L59" s="551"/>
    </row>
    <row r="60" spans="1:12" x14ac:dyDescent="0.25">
      <c r="A60" s="551"/>
      <c r="B60" s="551"/>
      <c r="C60" s="22" t="s">
        <v>1355</v>
      </c>
      <c r="D60" s="22"/>
      <c r="E60" s="597"/>
      <c r="F60" s="452" t="s">
        <v>194</v>
      </c>
      <c r="G60" s="453" t="s">
        <v>198</v>
      </c>
      <c r="H60" s="551"/>
      <c r="I60" s="551"/>
      <c r="J60" s="551"/>
      <c r="K60" s="551"/>
      <c r="L60" s="551"/>
    </row>
    <row r="61" spans="1:12" x14ac:dyDescent="0.25">
      <c r="A61" s="588">
        <f>A58+1</f>
        <v>25</v>
      </c>
      <c r="B61" s="551"/>
      <c r="C61" s="22"/>
      <c r="D61" s="22"/>
      <c r="E61" s="593" t="s">
        <v>173</v>
      </c>
      <c r="F61" s="594">
        <f>H53</f>
        <v>0</v>
      </c>
      <c r="G61" s="604" t="str">
        <f>"Line "&amp;A53&amp;"."</f>
        <v>Line 21.</v>
      </c>
      <c r="H61" s="551"/>
      <c r="I61" s="551"/>
      <c r="J61" s="551"/>
      <c r="K61" s="551"/>
      <c r="L61" s="551"/>
    </row>
    <row r="62" spans="1:12" x14ac:dyDescent="0.25">
      <c r="A62" s="588">
        <f>A61+1</f>
        <v>26</v>
      </c>
      <c r="B62" s="551"/>
      <c r="C62" s="22"/>
      <c r="D62" s="22"/>
      <c r="E62" s="605" t="s">
        <v>265</v>
      </c>
      <c r="F62" s="36" t="e">
        <f>'27-Allocators'!G15</f>
        <v>#DIV/0!</v>
      </c>
      <c r="G62" s="604" t="str">
        <f>"27-Allocators, Line "&amp;'27-Allocators'!A15&amp;""</f>
        <v>27-Allocators, Line 9</v>
      </c>
      <c r="H62" s="551"/>
      <c r="I62" s="551"/>
      <c r="J62" s="551"/>
      <c r="K62" s="551"/>
      <c r="L62" s="551"/>
    </row>
    <row r="63" spans="1:12" x14ac:dyDescent="0.25">
      <c r="A63" s="588">
        <f>A62+1</f>
        <v>27</v>
      </c>
      <c r="B63" s="551"/>
      <c r="C63" s="22"/>
      <c r="D63" s="22"/>
      <c r="E63" s="605" t="s">
        <v>335</v>
      </c>
      <c r="F63" s="594" t="e">
        <f>F61*F62</f>
        <v>#DIV/0!</v>
      </c>
      <c r="G63" s="604" t="str">
        <f>"Line "&amp;A61&amp;" * Line "&amp;A62&amp;"."</f>
        <v>Line 25 * Line 26.</v>
      </c>
      <c r="H63" s="551"/>
      <c r="I63" s="551"/>
      <c r="J63" s="551"/>
      <c r="K63" s="551"/>
      <c r="L63" s="551"/>
    </row>
    <row r="64" spans="1:12" x14ac:dyDescent="0.25">
      <c r="A64" s="551"/>
      <c r="B64" s="551"/>
      <c r="C64" s="551"/>
      <c r="D64" s="551"/>
      <c r="E64" s="551"/>
      <c r="F64" s="551"/>
      <c r="G64" s="551"/>
      <c r="H64" s="551"/>
      <c r="I64" s="551"/>
      <c r="J64" s="551"/>
      <c r="K64" s="551"/>
      <c r="L64" s="551"/>
    </row>
    <row r="65" spans="1:13" x14ac:dyDescent="0.25">
      <c r="A65" s="551"/>
      <c r="B65" s="551"/>
      <c r="C65" s="551"/>
      <c r="D65" s="551"/>
      <c r="E65" s="551"/>
      <c r="F65" s="551"/>
      <c r="G65" s="551"/>
      <c r="H65" s="551"/>
      <c r="I65" s="551"/>
      <c r="J65" s="551"/>
      <c r="K65" s="551"/>
      <c r="L65" s="551"/>
    </row>
    <row r="66" spans="1:13" x14ac:dyDescent="0.25">
      <c r="A66" s="551"/>
      <c r="B66" s="1" t="s">
        <v>1743</v>
      </c>
      <c r="C66" s="551"/>
      <c r="D66" s="551"/>
      <c r="E66" s="551"/>
      <c r="F66" s="551"/>
      <c r="G66" s="551"/>
      <c r="H66" s="551"/>
      <c r="I66" s="551"/>
      <c r="J66" s="551"/>
      <c r="K66" s="551"/>
      <c r="L66" s="551"/>
    </row>
    <row r="67" spans="1:13" x14ac:dyDescent="0.25">
      <c r="A67" s="551"/>
      <c r="C67" s="551"/>
      <c r="D67" s="551"/>
      <c r="E67" s="551"/>
      <c r="F67" s="551"/>
      <c r="G67" s="551"/>
      <c r="H67" s="551"/>
      <c r="I67" s="551"/>
      <c r="J67" s="551"/>
      <c r="K67" s="551"/>
      <c r="L67" s="551"/>
    </row>
    <row r="68" spans="1:13" x14ac:dyDescent="0.25">
      <c r="B68" s="1" t="s">
        <v>1744</v>
      </c>
      <c r="C68" s="551"/>
      <c r="D68" s="551"/>
      <c r="E68" s="551"/>
      <c r="F68" s="551"/>
      <c r="G68" s="551"/>
      <c r="H68" s="551"/>
      <c r="I68" s="551"/>
      <c r="J68" s="551"/>
      <c r="K68" s="551"/>
      <c r="L68" s="551"/>
    </row>
    <row r="69" spans="1:13" x14ac:dyDescent="0.25">
      <c r="A69" s="551"/>
      <c r="C69" s="551"/>
      <c r="D69" s="551"/>
      <c r="E69" s="551"/>
      <c r="F69" s="551"/>
      <c r="G69" s="551"/>
      <c r="H69" s="551"/>
      <c r="I69" s="551"/>
      <c r="J69" s="551"/>
      <c r="K69" s="551"/>
      <c r="L69" s="551"/>
    </row>
    <row r="70" spans="1:13" x14ac:dyDescent="0.25">
      <c r="A70" s="449"/>
      <c r="B70" s="92" t="s">
        <v>394</v>
      </c>
      <c r="C70" s="92" t="s">
        <v>378</v>
      </c>
      <c r="D70" s="92" t="s">
        <v>379</v>
      </c>
      <c r="E70" s="92" t="s">
        <v>380</v>
      </c>
      <c r="F70" s="92" t="s">
        <v>381</v>
      </c>
      <c r="G70" s="92" t="s">
        <v>382</v>
      </c>
      <c r="H70" s="92" t="s">
        <v>383</v>
      </c>
      <c r="I70" s="92" t="s">
        <v>597</v>
      </c>
      <c r="J70" s="92" t="s">
        <v>1046</v>
      </c>
      <c r="K70" s="92" t="s">
        <v>1062</v>
      </c>
      <c r="L70" s="92" t="s">
        <v>1065</v>
      </c>
      <c r="M70" s="92" t="s">
        <v>1083</v>
      </c>
    </row>
    <row r="71" spans="1:13" x14ac:dyDescent="0.25">
      <c r="A71" s="251"/>
      <c r="B71" s="272"/>
      <c r="C71" s="251"/>
      <c r="D71" s="251"/>
      <c r="E71" s="251"/>
      <c r="F71" s="251"/>
      <c r="G71" s="251"/>
      <c r="H71" s="251"/>
      <c r="I71" s="251"/>
      <c r="J71" s="251"/>
      <c r="K71" s="251"/>
      <c r="M71" s="272" t="s">
        <v>1369</v>
      </c>
    </row>
    <row r="72" spans="1:13" x14ac:dyDescent="0.25">
      <c r="A72" s="251"/>
      <c r="B72" s="121"/>
      <c r="C72" s="92"/>
      <c r="D72" s="92"/>
      <c r="E72" s="251"/>
      <c r="F72" s="251"/>
      <c r="G72" s="251"/>
      <c r="H72" s="251"/>
      <c r="I72" s="251"/>
      <c r="J72" s="251"/>
      <c r="K72" s="251"/>
      <c r="L72" s="251"/>
    </row>
    <row r="73" spans="1:13" x14ac:dyDescent="0.25">
      <c r="A73" s="53"/>
      <c r="B73" s="135" t="s">
        <v>2044</v>
      </c>
      <c r="C73" s="92">
        <v>350.1</v>
      </c>
      <c r="D73" s="92">
        <v>350.2</v>
      </c>
      <c r="E73" s="92">
        <v>352</v>
      </c>
      <c r="F73" s="92">
        <v>353</v>
      </c>
      <c r="G73" s="92">
        <v>354</v>
      </c>
      <c r="H73" s="92">
        <v>355</v>
      </c>
      <c r="I73" s="92">
        <v>356</v>
      </c>
      <c r="J73" s="92">
        <v>357</v>
      </c>
      <c r="K73" s="92">
        <v>358</v>
      </c>
      <c r="L73" s="92">
        <v>359</v>
      </c>
      <c r="M73" s="3" t="s">
        <v>215</v>
      </c>
    </row>
    <row r="74" spans="1:13" x14ac:dyDescent="0.25">
      <c r="A74" s="588">
        <f>A63+1</f>
        <v>28</v>
      </c>
      <c r="B74" s="883"/>
      <c r="C74" s="590"/>
      <c r="D74" s="590"/>
      <c r="E74" s="256"/>
      <c r="F74" s="256"/>
      <c r="G74" s="256"/>
      <c r="H74" s="256"/>
      <c r="I74" s="256"/>
      <c r="J74" s="256"/>
      <c r="K74" s="256"/>
      <c r="L74" s="256"/>
      <c r="M74" s="253">
        <f t="shared" ref="M74:M85" si="13">SUM(C74:L74)</f>
        <v>0</v>
      </c>
    </row>
    <row r="75" spans="1:13" x14ac:dyDescent="0.25">
      <c r="A75" s="588">
        <f t="shared" ref="A75:A86" si="14">A74+1</f>
        <v>29</v>
      </c>
      <c r="B75" s="882"/>
      <c r="C75" s="590"/>
      <c r="D75" s="590"/>
      <c r="E75" s="256"/>
      <c r="F75" s="256"/>
      <c r="G75" s="256"/>
      <c r="H75" s="256"/>
      <c r="I75" s="256"/>
      <c r="J75" s="256"/>
      <c r="K75" s="256"/>
      <c r="L75" s="256"/>
      <c r="M75" s="253">
        <f t="shared" si="13"/>
        <v>0</v>
      </c>
    </row>
    <row r="76" spans="1:13" x14ac:dyDescent="0.25">
      <c r="A76" s="588">
        <f t="shared" si="14"/>
        <v>30</v>
      </c>
      <c r="B76" s="882"/>
      <c r="C76" s="590"/>
      <c r="D76" s="590"/>
      <c r="E76" s="256"/>
      <c r="F76" s="256"/>
      <c r="G76" s="256"/>
      <c r="H76" s="256"/>
      <c r="I76" s="256"/>
      <c r="J76" s="256"/>
      <c r="K76" s="256"/>
      <c r="L76" s="256"/>
      <c r="M76" s="253">
        <f t="shared" si="13"/>
        <v>0</v>
      </c>
    </row>
    <row r="77" spans="1:13" x14ac:dyDescent="0.25">
      <c r="A77" s="588">
        <f t="shared" si="14"/>
        <v>31</v>
      </c>
      <c r="B77" s="883"/>
      <c r="C77" s="590"/>
      <c r="D77" s="590"/>
      <c r="E77" s="256"/>
      <c r="F77" s="256"/>
      <c r="G77" s="256"/>
      <c r="H77" s="256"/>
      <c r="I77" s="256"/>
      <c r="J77" s="256"/>
      <c r="K77" s="256"/>
      <c r="L77" s="256"/>
      <c r="M77" s="253">
        <f t="shared" si="13"/>
        <v>0</v>
      </c>
    </row>
    <row r="78" spans="1:13" x14ac:dyDescent="0.25">
      <c r="A78" s="588">
        <f t="shared" si="14"/>
        <v>32</v>
      </c>
      <c r="B78" s="882"/>
      <c r="C78" s="590"/>
      <c r="D78" s="590"/>
      <c r="E78" s="256"/>
      <c r="F78" s="256"/>
      <c r="G78" s="256"/>
      <c r="H78" s="256"/>
      <c r="I78" s="256"/>
      <c r="J78" s="256"/>
      <c r="K78" s="256"/>
      <c r="L78" s="256"/>
      <c r="M78" s="253">
        <f t="shared" si="13"/>
        <v>0</v>
      </c>
    </row>
    <row r="79" spans="1:13" x14ac:dyDescent="0.25">
      <c r="A79" s="588">
        <f t="shared" si="14"/>
        <v>33</v>
      </c>
      <c r="B79" s="882"/>
      <c r="C79" s="590"/>
      <c r="D79" s="590"/>
      <c r="E79" s="256"/>
      <c r="F79" s="256"/>
      <c r="G79" s="256"/>
      <c r="H79" s="256"/>
      <c r="I79" s="256"/>
      <c r="J79" s="256"/>
      <c r="K79" s="256"/>
      <c r="L79" s="256"/>
      <c r="M79" s="253">
        <f t="shared" si="13"/>
        <v>0</v>
      </c>
    </row>
    <row r="80" spans="1:13" x14ac:dyDescent="0.25">
      <c r="A80" s="588">
        <f t="shared" si="14"/>
        <v>34</v>
      </c>
      <c r="B80" s="883"/>
      <c r="C80" s="590"/>
      <c r="D80" s="590"/>
      <c r="E80" s="256"/>
      <c r="F80" s="256"/>
      <c r="G80" s="256"/>
      <c r="H80" s="256"/>
      <c r="I80" s="256"/>
      <c r="J80" s="256"/>
      <c r="K80" s="256"/>
      <c r="L80" s="256"/>
      <c r="M80" s="253">
        <f t="shared" si="13"/>
        <v>0</v>
      </c>
    </row>
    <row r="81" spans="1:13" x14ac:dyDescent="0.25">
      <c r="A81" s="588">
        <f t="shared" si="14"/>
        <v>35</v>
      </c>
      <c r="B81" s="882"/>
      <c r="C81" s="590"/>
      <c r="D81" s="590"/>
      <c r="E81" s="256"/>
      <c r="F81" s="256"/>
      <c r="G81" s="256"/>
      <c r="H81" s="256"/>
      <c r="I81" s="256"/>
      <c r="J81" s="256"/>
      <c r="K81" s="256"/>
      <c r="L81" s="256"/>
      <c r="M81" s="253">
        <f t="shared" si="13"/>
        <v>0</v>
      </c>
    </row>
    <row r="82" spans="1:13" x14ac:dyDescent="0.25">
      <c r="A82" s="588">
        <f t="shared" si="14"/>
        <v>36</v>
      </c>
      <c r="B82" s="882"/>
      <c r="C82" s="590"/>
      <c r="D82" s="590"/>
      <c r="E82" s="256"/>
      <c r="F82" s="256"/>
      <c r="G82" s="256"/>
      <c r="H82" s="256"/>
      <c r="I82" s="256"/>
      <c r="J82" s="256"/>
      <c r="K82" s="256"/>
      <c r="L82" s="256"/>
      <c r="M82" s="253">
        <f t="shared" si="13"/>
        <v>0</v>
      </c>
    </row>
    <row r="83" spans="1:13" x14ac:dyDescent="0.25">
      <c r="A83" s="588">
        <f t="shared" si="14"/>
        <v>37</v>
      </c>
      <c r="B83" s="883"/>
      <c r="C83" s="590"/>
      <c r="D83" s="590"/>
      <c r="E83" s="256"/>
      <c r="F83" s="256"/>
      <c r="G83" s="256"/>
      <c r="H83" s="256"/>
      <c r="I83" s="256"/>
      <c r="J83" s="256"/>
      <c r="K83" s="256"/>
      <c r="L83" s="256"/>
      <c r="M83" s="253">
        <f t="shared" si="13"/>
        <v>0</v>
      </c>
    </row>
    <row r="84" spans="1:13" x14ac:dyDescent="0.25">
      <c r="A84" s="588">
        <f t="shared" si="14"/>
        <v>38</v>
      </c>
      <c r="B84" s="883"/>
      <c r="C84" s="590"/>
      <c r="D84" s="590"/>
      <c r="E84" s="256"/>
      <c r="F84" s="256"/>
      <c r="G84" s="256"/>
      <c r="H84" s="256"/>
      <c r="I84" s="256"/>
      <c r="J84" s="256"/>
      <c r="K84" s="256"/>
      <c r="L84" s="256"/>
      <c r="M84" s="253">
        <f t="shared" si="13"/>
        <v>0</v>
      </c>
    </row>
    <row r="85" spans="1:13" x14ac:dyDescent="0.25">
      <c r="A85" s="588">
        <f t="shared" si="14"/>
        <v>39</v>
      </c>
      <c r="B85" s="882"/>
      <c r="C85" s="127"/>
      <c r="D85" s="127"/>
      <c r="E85" s="454"/>
      <c r="F85" s="454"/>
      <c r="G85" s="454"/>
      <c r="H85" s="454"/>
      <c r="I85" s="454"/>
      <c r="J85" s="454"/>
      <c r="K85" s="454"/>
      <c r="L85" s="454"/>
      <c r="M85" s="397">
        <f t="shared" si="13"/>
        <v>0</v>
      </c>
    </row>
    <row r="86" spans="1:13" x14ac:dyDescent="0.25">
      <c r="A86" s="588">
        <f t="shared" si="14"/>
        <v>40</v>
      </c>
      <c r="B86" s="592" t="s">
        <v>4</v>
      </c>
      <c r="C86" s="253">
        <f>SUM(C74:C85)</f>
        <v>0</v>
      </c>
      <c r="D86" s="253">
        <f t="shared" ref="D86:L86" si="15">SUM(D74:D85)</f>
        <v>0</v>
      </c>
      <c r="E86" s="253">
        <f t="shared" si="15"/>
        <v>0</v>
      </c>
      <c r="F86" s="253">
        <f t="shared" si="15"/>
        <v>0</v>
      </c>
      <c r="G86" s="253">
        <f t="shared" si="15"/>
        <v>0</v>
      </c>
      <c r="H86" s="253">
        <f t="shared" si="15"/>
        <v>0</v>
      </c>
      <c r="I86" s="253">
        <f t="shared" si="15"/>
        <v>0</v>
      </c>
      <c r="J86" s="253">
        <f t="shared" si="15"/>
        <v>0</v>
      </c>
      <c r="K86" s="253">
        <f t="shared" si="15"/>
        <v>0</v>
      </c>
      <c r="L86" s="253">
        <f t="shared" si="15"/>
        <v>0</v>
      </c>
      <c r="M86" s="253">
        <f>SUM(M74:M85)</f>
        <v>0</v>
      </c>
    </row>
    <row r="88" spans="1:13" x14ac:dyDescent="0.25">
      <c r="B88" s="45" t="s">
        <v>1993</v>
      </c>
      <c r="C88" s="14"/>
      <c r="D88" s="14"/>
      <c r="E88" s="14"/>
    </row>
    <row r="89" spans="1:13" x14ac:dyDescent="0.25">
      <c r="B89" s="14"/>
      <c r="C89" s="14"/>
      <c r="D89" s="14"/>
    </row>
    <row r="90" spans="1:13" x14ac:dyDescent="0.25">
      <c r="A90" s="449"/>
      <c r="B90" s="388" t="s">
        <v>394</v>
      </c>
      <c r="C90" s="388" t="s">
        <v>378</v>
      </c>
      <c r="D90" s="388" t="s">
        <v>379</v>
      </c>
      <c r="E90" s="92" t="s">
        <v>380</v>
      </c>
      <c r="F90" s="92" t="s">
        <v>381</v>
      </c>
      <c r="G90" s="92" t="s">
        <v>382</v>
      </c>
      <c r="H90" s="92" t="s">
        <v>383</v>
      </c>
      <c r="I90" s="92" t="s">
        <v>597</v>
      </c>
      <c r="J90" s="92" t="s">
        <v>1046</v>
      </c>
      <c r="K90" s="92" t="s">
        <v>1062</v>
      </c>
      <c r="L90" s="92" t="s">
        <v>1065</v>
      </c>
      <c r="M90" s="92" t="s">
        <v>1083</v>
      </c>
    </row>
    <row r="91" spans="1:13" x14ac:dyDescent="0.25">
      <c r="A91" s="251"/>
      <c r="B91" s="520"/>
      <c r="C91" s="261"/>
      <c r="D91" s="261"/>
      <c r="E91" s="251"/>
      <c r="F91" s="251"/>
      <c r="G91" s="251"/>
      <c r="H91" s="251"/>
      <c r="I91" s="251"/>
      <c r="J91" s="251"/>
      <c r="K91" s="251"/>
      <c r="M91" s="272" t="s">
        <v>1369</v>
      </c>
    </row>
    <row r="92" spans="1:13" x14ac:dyDescent="0.25">
      <c r="A92" s="251"/>
      <c r="B92" s="121"/>
      <c r="C92" s="388"/>
      <c r="D92" s="388"/>
      <c r="E92" s="251"/>
      <c r="F92" s="251"/>
      <c r="G92" s="251"/>
      <c r="H92" s="251"/>
      <c r="I92" s="251"/>
      <c r="J92" s="251"/>
      <c r="K92" s="251"/>
      <c r="L92" s="251"/>
    </row>
    <row r="93" spans="1:13" x14ac:dyDescent="0.25">
      <c r="A93" s="53"/>
      <c r="B93" s="135" t="s">
        <v>2044</v>
      </c>
      <c r="C93" s="388">
        <v>350.1</v>
      </c>
      <c r="D93" s="388">
        <v>350.2</v>
      </c>
      <c r="E93" s="92">
        <v>352</v>
      </c>
      <c r="F93" s="92">
        <v>353</v>
      </c>
      <c r="G93" s="92">
        <v>354</v>
      </c>
      <c r="H93" s="92">
        <v>355</v>
      </c>
      <c r="I93" s="92">
        <v>356</v>
      </c>
      <c r="J93" s="92">
        <v>357</v>
      </c>
      <c r="K93" s="92">
        <v>358</v>
      </c>
      <c r="L93" s="92">
        <v>359</v>
      </c>
      <c r="M93" s="3" t="s">
        <v>215</v>
      </c>
    </row>
    <row r="94" spans="1:13" x14ac:dyDescent="0.25">
      <c r="A94" s="588">
        <f>A86+1</f>
        <v>41</v>
      </c>
      <c r="B94" s="712"/>
      <c r="C94" s="590"/>
      <c r="D94" s="590"/>
      <c r="E94" s="256"/>
      <c r="F94" s="256"/>
      <c r="G94" s="256"/>
      <c r="H94" s="256"/>
      <c r="I94" s="256"/>
      <c r="J94" s="256"/>
      <c r="K94" s="256"/>
      <c r="L94" s="256"/>
      <c r="M94" s="253">
        <f t="shared" ref="M94:M105" si="16">SUM(C94:L94)</f>
        <v>0</v>
      </c>
    </row>
    <row r="95" spans="1:13" x14ac:dyDescent="0.25">
      <c r="A95" s="588">
        <f t="shared" ref="A95:A106" si="17">A94+1</f>
        <v>42</v>
      </c>
      <c r="B95" s="711"/>
      <c r="C95" s="590"/>
      <c r="D95" s="590"/>
      <c r="E95" s="256"/>
      <c r="F95" s="256"/>
      <c r="G95" s="256"/>
      <c r="H95" s="256"/>
      <c r="I95" s="256"/>
      <c r="J95" s="256"/>
      <c r="K95" s="256"/>
      <c r="L95" s="256"/>
      <c r="M95" s="253">
        <f t="shared" si="16"/>
        <v>0</v>
      </c>
    </row>
    <row r="96" spans="1:13" x14ac:dyDescent="0.25">
      <c r="A96" s="588">
        <f t="shared" si="17"/>
        <v>43</v>
      </c>
      <c r="B96" s="711"/>
      <c r="C96" s="590"/>
      <c r="D96" s="590"/>
      <c r="E96" s="256"/>
      <c r="F96" s="256"/>
      <c r="G96" s="256"/>
      <c r="H96" s="256"/>
      <c r="I96" s="256"/>
      <c r="J96" s="256"/>
      <c r="K96" s="256"/>
      <c r="L96" s="256"/>
      <c r="M96" s="253">
        <f t="shared" si="16"/>
        <v>0</v>
      </c>
    </row>
    <row r="97" spans="1:13" x14ac:dyDescent="0.25">
      <c r="A97" s="588">
        <f t="shared" si="17"/>
        <v>44</v>
      </c>
      <c r="B97" s="712"/>
      <c r="C97" s="590"/>
      <c r="D97" s="590"/>
      <c r="E97" s="256"/>
      <c r="F97" s="256"/>
      <c r="G97" s="256"/>
      <c r="H97" s="256"/>
      <c r="I97" s="256"/>
      <c r="J97" s="256"/>
      <c r="K97" s="256"/>
      <c r="L97" s="256"/>
      <c r="M97" s="253">
        <f t="shared" si="16"/>
        <v>0</v>
      </c>
    </row>
    <row r="98" spans="1:13" x14ac:dyDescent="0.25">
      <c r="A98" s="588">
        <f t="shared" si="17"/>
        <v>45</v>
      </c>
      <c r="B98" s="711"/>
      <c r="C98" s="590"/>
      <c r="D98" s="590"/>
      <c r="E98" s="256"/>
      <c r="F98" s="256"/>
      <c r="G98" s="256"/>
      <c r="H98" s="256"/>
      <c r="I98" s="256"/>
      <c r="J98" s="256"/>
      <c r="K98" s="256"/>
      <c r="L98" s="256"/>
      <c r="M98" s="253">
        <f t="shared" si="16"/>
        <v>0</v>
      </c>
    </row>
    <row r="99" spans="1:13" x14ac:dyDescent="0.25">
      <c r="A99" s="588">
        <f t="shared" si="17"/>
        <v>46</v>
      </c>
      <c r="B99" s="711"/>
      <c r="C99" s="590"/>
      <c r="D99" s="590"/>
      <c r="E99" s="256"/>
      <c r="F99" s="256"/>
      <c r="G99" s="256"/>
      <c r="H99" s="256"/>
      <c r="I99" s="256"/>
      <c r="J99" s="256"/>
      <c r="K99" s="256"/>
      <c r="L99" s="256"/>
      <c r="M99" s="253">
        <f t="shared" si="16"/>
        <v>0</v>
      </c>
    </row>
    <row r="100" spans="1:13" x14ac:dyDescent="0.25">
      <c r="A100" s="588">
        <f t="shared" si="17"/>
        <v>47</v>
      </c>
      <c r="B100" s="712"/>
      <c r="C100" s="590"/>
      <c r="D100" s="590"/>
      <c r="E100" s="256"/>
      <c r="F100" s="256"/>
      <c r="G100" s="256"/>
      <c r="H100" s="256"/>
      <c r="I100" s="256"/>
      <c r="J100" s="256"/>
      <c r="K100" s="256"/>
      <c r="L100" s="256"/>
      <c r="M100" s="253">
        <f t="shared" si="16"/>
        <v>0</v>
      </c>
    </row>
    <row r="101" spans="1:13" x14ac:dyDescent="0.25">
      <c r="A101" s="588">
        <f t="shared" si="17"/>
        <v>48</v>
      </c>
      <c r="B101" s="711"/>
      <c r="C101" s="590"/>
      <c r="D101" s="590"/>
      <c r="E101" s="256"/>
      <c r="F101" s="256"/>
      <c r="G101" s="256"/>
      <c r="H101" s="256"/>
      <c r="I101" s="256"/>
      <c r="J101" s="256"/>
      <c r="K101" s="256"/>
      <c r="L101" s="256"/>
      <c r="M101" s="253">
        <f t="shared" si="16"/>
        <v>0</v>
      </c>
    </row>
    <row r="102" spans="1:13" x14ac:dyDescent="0.25">
      <c r="A102" s="588">
        <f t="shared" si="17"/>
        <v>49</v>
      </c>
      <c r="B102" s="711"/>
      <c r="C102" s="590"/>
      <c r="D102" s="590"/>
      <c r="E102" s="256"/>
      <c r="F102" s="256"/>
      <c r="G102" s="256"/>
      <c r="H102" s="256"/>
      <c r="I102" s="256"/>
      <c r="J102" s="256"/>
      <c r="K102" s="256"/>
      <c r="L102" s="256"/>
      <c r="M102" s="253">
        <f t="shared" si="16"/>
        <v>0</v>
      </c>
    </row>
    <row r="103" spans="1:13" x14ac:dyDescent="0.25">
      <c r="A103" s="588">
        <f t="shared" si="17"/>
        <v>50</v>
      </c>
      <c r="B103" s="712"/>
      <c r="C103" s="590"/>
      <c r="D103" s="590"/>
      <c r="E103" s="256"/>
      <c r="F103" s="256"/>
      <c r="G103" s="256"/>
      <c r="H103" s="256"/>
      <c r="I103" s="256"/>
      <c r="J103" s="256"/>
      <c r="K103" s="256"/>
      <c r="L103" s="256"/>
      <c r="M103" s="253">
        <f t="shared" si="16"/>
        <v>0</v>
      </c>
    </row>
    <row r="104" spans="1:13" x14ac:dyDescent="0.25">
      <c r="A104" s="588">
        <f t="shared" si="17"/>
        <v>51</v>
      </c>
      <c r="B104" s="712"/>
      <c r="C104" s="590"/>
      <c r="D104" s="590"/>
      <c r="E104" s="256"/>
      <c r="F104" s="256"/>
      <c r="G104" s="256"/>
      <c r="H104" s="256"/>
      <c r="I104" s="256"/>
      <c r="J104" s="256"/>
      <c r="K104" s="256"/>
      <c r="L104" s="256"/>
      <c r="M104" s="253">
        <f t="shared" si="16"/>
        <v>0</v>
      </c>
    </row>
    <row r="105" spans="1:13" x14ac:dyDescent="0.25">
      <c r="A105" s="588">
        <f t="shared" si="17"/>
        <v>52</v>
      </c>
      <c r="B105" s="711"/>
      <c r="C105" s="127"/>
      <c r="D105" s="127"/>
      <c r="E105" s="454"/>
      <c r="F105" s="454"/>
      <c r="G105" s="454"/>
      <c r="H105" s="454"/>
      <c r="I105" s="454"/>
      <c r="J105" s="454"/>
      <c r="K105" s="454"/>
      <c r="L105" s="454"/>
      <c r="M105" s="397">
        <f t="shared" si="16"/>
        <v>0</v>
      </c>
    </row>
    <row r="106" spans="1:13" x14ac:dyDescent="0.25">
      <c r="A106" s="588">
        <f t="shared" si="17"/>
        <v>53</v>
      </c>
      <c r="B106" s="592" t="s">
        <v>4</v>
      </c>
      <c r="C106" s="253">
        <f>SUM(C94:C105)</f>
        <v>0</v>
      </c>
      <c r="D106" s="253">
        <f t="shared" ref="D106:L106" si="18">SUM(D94:D105)</f>
        <v>0</v>
      </c>
      <c r="E106" s="253">
        <f t="shared" si="18"/>
        <v>0</v>
      </c>
      <c r="F106" s="253">
        <f t="shared" si="18"/>
        <v>0</v>
      </c>
      <c r="G106" s="253">
        <f t="shared" si="18"/>
        <v>0</v>
      </c>
      <c r="H106" s="253">
        <f t="shared" si="18"/>
        <v>0</v>
      </c>
      <c r="I106" s="253">
        <f t="shared" si="18"/>
        <v>0</v>
      </c>
      <c r="J106" s="253">
        <f t="shared" si="18"/>
        <v>0</v>
      </c>
      <c r="K106" s="253">
        <f t="shared" si="18"/>
        <v>0</v>
      </c>
      <c r="L106" s="253">
        <f t="shared" si="18"/>
        <v>0</v>
      </c>
      <c r="M106" s="253">
        <f>SUM(M94:M105)</f>
        <v>0</v>
      </c>
    </row>
    <row r="108" spans="1:13" x14ac:dyDescent="0.25">
      <c r="B108" s="45" t="s">
        <v>1994</v>
      </c>
      <c r="C108" s="14"/>
      <c r="D108" s="14"/>
      <c r="E108" s="14"/>
      <c r="F108" s="14"/>
      <c r="G108" s="14"/>
    </row>
    <row r="109" spans="1:13" x14ac:dyDescent="0.25">
      <c r="B109" s="14"/>
      <c r="C109" s="14"/>
      <c r="D109" s="14"/>
      <c r="E109" s="14"/>
      <c r="F109" s="14"/>
      <c r="G109" s="14"/>
    </row>
    <row r="110" spans="1:13" x14ac:dyDescent="0.25">
      <c r="A110" s="449"/>
      <c r="B110" s="388" t="s">
        <v>394</v>
      </c>
      <c r="C110" s="388" t="s">
        <v>378</v>
      </c>
      <c r="D110" s="388" t="s">
        <v>379</v>
      </c>
      <c r="E110" s="388" t="s">
        <v>380</v>
      </c>
      <c r="F110" s="388" t="s">
        <v>381</v>
      </c>
      <c r="G110" s="388" t="s">
        <v>382</v>
      </c>
      <c r="H110" s="92" t="s">
        <v>383</v>
      </c>
      <c r="I110" s="92" t="s">
        <v>597</v>
      </c>
      <c r="J110" s="92" t="s">
        <v>1046</v>
      </c>
      <c r="K110" s="92" t="s">
        <v>1062</v>
      </c>
      <c r="L110" s="92" t="s">
        <v>1065</v>
      </c>
      <c r="M110" s="92" t="s">
        <v>1083</v>
      </c>
    </row>
    <row r="111" spans="1:13" x14ac:dyDescent="0.25">
      <c r="A111" s="251"/>
      <c r="B111" s="520"/>
      <c r="C111" s="261"/>
      <c r="D111" s="261"/>
      <c r="E111" s="261"/>
      <c r="F111" s="261"/>
      <c r="G111" s="261"/>
      <c r="H111" s="251"/>
      <c r="I111" s="251"/>
      <c r="J111" s="251"/>
      <c r="K111" s="251"/>
      <c r="M111" s="272" t="s">
        <v>1369</v>
      </c>
    </row>
    <row r="112" spans="1:13" x14ac:dyDescent="0.25">
      <c r="A112" s="251"/>
      <c r="B112" s="121"/>
      <c r="C112" s="388"/>
      <c r="D112" s="388"/>
      <c r="E112" s="261"/>
      <c r="F112" s="261"/>
      <c r="G112" s="261"/>
      <c r="H112" s="251"/>
      <c r="I112" s="251"/>
      <c r="J112" s="251"/>
      <c r="K112" s="251"/>
      <c r="L112" s="251"/>
    </row>
    <row r="113" spans="1:13" x14ac:dyDescent="0.25">
      <c r="A113" s="53"/>
      <c r="B113" s="135" t="s">
        <v>2044</v>
      </c>
      <c r="C113" s="388">
        <v>350.1</v>
      </c>
      <c r="D113" s="388">
        <v>350.2</v>
      </c>
      <c r="E113" s="388">
        <v>352</v>
      </c>
      <c r="F113" s="388">
        <v>353</v>
      </c>
      <c r="G113" s="388">
        <v>354</v>
      </c>
      <c r="H113" s="92">
        <v>355</v>
      </c>
      <c r="I113" s="92">
        <v>356</v>
      </c>
      <c r="J113" s="92">
        <v>357</v>
      </c>
      <c r="K113" s="92">
        <v>358</v>
      </c>
      <c r="L113" s="92">
        <v>359</v>
      </c>
      <c r="M113" s="3" t="s">
        <v>215</v>
      </c>
    </row>
    <row r="114" spans="1:13" x14ac:dyDescent="0.25">
      <c r="A114" s="588">
        <f>A106+1</f>
        <v>54</v>
      </c>
      <c r="B114" s="883"/>
      <c r="C114" s="566">
        <f t="shared" ref="C114:L114" si="19">C74-C94</f>
        <v>0</v>
      </c>
      <c r="D114" s="566">
        <f t="shared" si="19"/>
        <v>0</v>
      </c>
      <c r="E114" s="566">
        <f t="shared" si="19"/>
        <v>0</v>
      </c>
      <c r="F114" s="566">
        <f t="shared" si="19"/>
        <v>0</v>
      </c>
      <c r="G114" s="566">
        <f t="shared" si="19"/>
        <v>0</v>
      </c>
      <c r="H114" s="566">
        <f t="shared" si="19"/>
        <v>0</v>
      </c>
      <c r="I114" s="566">
        <f t="shared" si="19"/>
        <v>0</v>
      </c>
      <c r="J114" s="566">
        <f t="shared" si="19"/>
        <v>0</v>
      </c>
      <c r="K114" s="566">
        <f t="shared" si="19"/>
        <v>0</v>
      </c>
      <c r="L114" s="566">
        <f t="shared" si="19"/>
        <v>0</v>
      </c>
      <c r="M114" s="253">
        <f t="shared" ref="M114:M125" si="20">SUM(C114:L114)</f>
        <v>0</v>
      </c>
    </row>
    <row r="115" spans="1:13" x14ac:dyDescent="0.25">
      <c r="A115" s="588">
        <f t="shared" ref="A115:A126" si="21">A114+1</f>
        <v>55</v>
      </c>
      <c r="B115" s="882"/>
      <c r="C115" s="566">
        <f t="shared" ref="C115:L115" si="22">C75-C95</f>
        <v>0</v>
      </c>
      <c r="D115" s="566">
        <f t="shared" si="22"/>
        <v>0</v>
      </c>
      <c r="E115" s="566">
        <f t="shared" si="22"/>
        <v>0</v>
      </c>
      <c r="F115" s="566">
        <f t="shared" si="22"/>
        <v>0</v>
      </c>
      <c r="G115" s="566">
        <f t="shared" si="22"/>
        <v>0</v>
      </c>
      <c r="H115" s="566">
        <f t="shared" si="22"/>
        <v>0</v>
      </c>
      <c r="I115" s="566">
        <f t="shared" si="22"/>
        <v>0</v>
      </c>
      <c r="J115" s="566">
        <f t="shared" si="22"/>
        <v>0</v>
      </c>
      <c r="K115" s="566">
        <f t="shared" si="22"/>
        <v>0</v>
      </c>
      <c r="L115" s="566">
        <f t="shared" si="22"/>
        <v>0</v>
      </c>
      <c r="M115" s="253">
        <f t="shared" si="20"/>
        <v>0</v>
      </c>
    </row>
    <row r="116" spans="1:13" x14ac:dyDescent="0.25">
      <c r="A116" s="588">
        <f t="shared" si="21"/>
        <v>56</v>
      </c>
      <c r="B116" s="882"/>
      <c r="C116" s="566">
        <f t="shared" ref="C116:L116" si="23">C76-C96</f>
        <v>0</v>
      </c>
      <c r="D116" s="566">
        <f t="shared" si="23"/>
        <v>0</v>
      </c>
      <c r="E116" s="566">
        <f t="shared" si="23"/>
        <v>0</v>
      </c>
      <c r="F116" s="566">
        <f t="shared" si="23"/>
        <v>0</v>
      </c>
      <c r="G116" s="566">
        <f t="shared" si="23"/>
        <v>0</v>
      </c>
      <c r="H116" s="566">
        <f t="shared" si="23"/>
        <v>0</v>
      </c>
      <c r="I116" s="566">
        <f t="shared" si="23"/>
        <v>0</v>
      </c>
      <c r="J116" s="566">
        <f t="shared" si="23"/>
        <v>0</v>
      </c>
      <c r="K116" s="566">
        <f t="shared" si="23"/>
        <v>0</v>
      </c>
      <c r="L116" s="566">
        <f t="shared" si="23"/>
        <v>0</v>
      </c>
      <c r="M116" s="253">
        <f t="shared" si="20"/>
        <v>0</v>
      </c>
    </row>
    <row r="117" spans="1:13" x14ac:dyDescent="0.25">
      <c r="A117" s="588">
        <f t="shared" si="21"/>
        <v>57</v>
      </c>
      <c r="B117" s="883"/>
      <c r="C117" s="566">
        <f t="shared" ref="C117:L117" si="24">C77-C97</f>
        <v>0</v>
      </c>
      <c r="D117" s="566">
        <f t="shared" si="24"/>
        <v>0</v>
      </c>
      <c r="E117" s="566">
        <f t="shared" si="24"/>
        <v>0</v>
      </c>
      <c r="F117" s="566">
        <f t="shared" si="24"/>
        <v>0</v>
      </c>
      <c r="G117" s="566">
        <f t="shared" si="24"/>
        <v>0</v>
      </c>
      <c r="H117" s="566">
        <f t="shared" si="24"/>
        <v>0</v>
      </c>
      <c r="I117" s="566">
        <f t="shared" si="24"/>
        <v>0</v>
      </c>
      <c r="J117" s="566">
        <f t="shared" si="24"/>
        <v>0</v>
      </c>
      <c r="K117" s="566">
        <f t="shared" si="24"/>
        <v>0</v>
      </c>
      <c r="L117" s="566">
        <f t="shared" si="24"/>
        <v>0</v>
      </c>
      <c r="M117" s="253">
        <f t="shared" si="20"/>
        <v>0</v>
      </c>
    </row>
    <row r="118" spans="1:13" x14ac:dyDescent="0.25">
      <c r="A118" s="588">
        <f t="shared" si="21"/>
        <v>58</v>
      </c>
      <c r="B118" s="882"/>
      <c r="C118" s="566">
        <f t="shared" ref="C118:L118" si="25">C78-C98</f>
        <v>0</v>
      </c>
      <c r="D118" s="566">
        <f t="shared" si="25"/>
        <v>0</v>
      </c>
      <c r="E118" s="566">
        <f t="shared" si="25"/>
        <v>0</v>
      </c>
      <c r="F118" s="566">
        <f t="shared" si="25"/>
        <v>0</v>
      </c>
      <c r="G118" s="566">
        <f t="shared" si="25"/>
        <v>0</v>
      </c>
      <c r="H118" s="566">
        <f t="shared" si="25"/>
        <v>0</v>
      </c>
      <c r="I118" s="566">
        <f t="shared" si="25"/>
        <v>0</v>
      </c>
      <c r="J118" s="566">
        <f t="shared" si="25"/>
        <v>0</v>
      </c>
      <c r="K118" s="566">
        <f t="shared" si="25"/>
        <v>0</v>
      </c>
      <c r="L118" s="566">
        <f t="shared" si="25"/>
        <v>0</v>
      </c>
      <c r="M118" s="253">
        <f t="shared" si="20"/>
        <v>0</v>
      </c>
    </row>
    <row r="119" spans="1:13" x14ac:dyDescent="0.25">
      <c r="A119" s="588">
        <f t="shared" si="21"/>
        <v>59</v>
      </c>
      <c r="B119" s="882"/>
      <c r="C119" s="566">
        <f t="shared" ref="C119:L119" si="26">C79-C99</f>
        <v>0</v>
      </c>
      <c r="D119" s="566">
        <f t="shared" si="26"/>
        <v>0</v>
      </c>
      <c r="E119" s="566">
        <f t="shared" si="26"/>
        <v>0</v>
      </c>
      <c r="F119" s="566">
        <f t="shared" si="26"/>
        <v>0</v>
      </c>
      <c r="G119" s="566">
        <f t="shared" si="26"/>
        <v>0</v>
      </c>
      <c r="H119" s="566">
        <f t="shared" si="26"/>
        <v>0</v>
      </c>
      <c r="I119" s="566">
        <f t="shared" si="26"/>
        <v>0</v>
      </c>
      <c r="J119" s="566">
        <f t="shared" si="26"/>
        <v>0</v>
      </c>
      <c r="K119" s="566">
        <f t="shared" si="26"/>
        <v>0</v>
      </c>
      <c r="L119" s="566">
        <f t="shared" si="26"/>
        <v>0</v>
      </c>
      <c r="M119" s="253">
        <f t="shared" si="20"/>
        <v>0</v>
      </c>
    </row>
    <row r="120" spans="1:13" x14ac:dyDescent="0.25">
      <c r="A120" s="588">
        <f t="shared" si="21"/>
        <v>60</v>
      </c>
      <c r="B120" s="883"/>
      <c r="C120" s="566">
        <f t="shared" ref="C120:L120" si="27">C80-C100</f>
        <v>0</v>
      </c>
      <c r="D120" s="566">
        <f t="shared" si="27"/>
        <v>0</v>
      </c>
      <c r="E120" s="566">
        <f t="shared" si="27"/>
        <v>0</v>
      </c>
      <c r="F120" s="566">
        <f t="shared" si="27"/>
        <v>0</v>
      </c>
      <c r="G120" s="566">
        <f t="shared" si="27"/>
        <v>0</v>
      </c>
      <c r="H120" s="566">
        <f t="shared" si="27"/>
        <v>0</v>
      </c>
      <c r="I120" s="566">
        <f t="shared" si="27"/>
        <v>0</v>
      </c>
      <c r="J120" s="566">
        <f t="shared" si="27"/>
        <v>0</v>
      </c>
      <c r="K120" s="566">
        <f t="shared" si="27"/>
        <v>0</v>
      </c>
      <c r="L120" s="566">
        <f t="shared" si="27"/>
        <v>0</v>
      </c>
      <c r="M120" s="253">
        <f t="shared" si="20"/>
        <v>0</v>
      </c>
    </row>
    <row r="121" spans="1:13" x14ac:dyDescent="0.25">
      <c r="A121" s="588">
        <f t="shared" si="21"/>
        <v>61</v>
      </c>
      <c r="B121" s="882"/>
      <c r="C121" s="566">
        <f t="shared" ref="C121:L121" si="28">C81-C101</f>
        <v>0</v>
      </c>
      <c r="D121" s="566">
        <f t="shared" si="28"/>
        <v>0</v>
      </c>
      <c r="E121" s="566">
        <f t="shared" si="28"/>
        <v>0</v>
      </c>
      <c r="F121" s="566">
        <f t="shared" si="28"/>
        <v>0</v>
      </c>
      <c r="G121" s="566">
        <f t="shared" si="28"/>
        <v>0</v>
      </c>
      <c r="H121" s="566">
        <f t="shared" si="28"/>
        <v>0</v>
      </c>
      <c r="I121" s="566">
        <f t="shared" si="28"/>
        <v>0</v>
      </c>
      <c r="J121" s="566">
        <f t="shared" si="28"/>
        <v>0</v>
      </c>
      <c r="K121" s="566">
        <f t="shared" si="28"/>
        <v>0</v>
      </c>
      <c r="L121" s="566">
        <f t="shared" si="28"/>
        <v>0</v>
      </c>
      <c r="M121" s="253">
        <f t="shared" si="20"/>
        <v>0</v>
      </c>
    </row>
    <row r="122" spans="1:13" x14ac:dyDescent="0.25">
      <c r="A122" s="588">
        <f t="shared" si="21"/>
        <v>62</v>
      </c>
      <c r="B122" s="882"/>
      <c r="C122" s="566">
        <f t="shared" ref="C122:L122" si="29">C82-C102</f>
        <v>0</v>
      </c>
      <c r="D122" s="566">
        <f t="shared" si="29"/>
        <v>0</v>
      </c>
      <c r="E122" s="566">
        <f t="shared" si="29"/>
        <v>0</v>
      </c>
      <c r="F122" s="566">
        <f t="shared" si="29"/>
        <v>0</v>
      </c>
      <c r="G122" s="566">
        <f t="shared" si="29"/>
        <v>0</v>
      </c>
      <c r="H122" s="566">
        <f t="shared" si="29"/>
        <v>0</v>
      </c>
      <c r="I122" s="566">
        <f t="shared" si="29"/>
        <v>0</v>
      </c>
      <c r="J122" s="566">
        <f t="shared" si="29"/>
        <v>0</v>
      </c>
      <c r="K122" s="566">
        <f t="shared" si="29"/>
        <v>0</v>
      </c>
      <c r="L122" s="566">
        <f t="shared" si="29"/>
        <v>0</v>
      </c>
      <c r="M122" s="253">
        <f t="shared" si="20"/>
        <v>0</v>
      </c>
    </row>
    <row r="123" spans="1:13" x14ac:dyDescent="0.25">
      <c r="A123" s="588">
        <f t="shared" si="21"/>
        <v>63</v>
      </c>
      <c r="B123" s="883"/>
      <c r="C123" s="566">
        <f t="shared" ref="C123:L123" si="30">C83-C103</f>
        <v>0</v>
      </c>
      <c r="D123" s="566">
        <f t="shared" si="30"/>
        <v>0</v>
      </c>
      <c r="E123" s="566">
        <f t="shared" si="30"/>
        <v>0</v>
      </c>
      <c r="F123" s="566">
        <f t="shared" si="30"/>
        <v>0</v>
      </c>
      <c r="G123" s="566">
        <f t="shared" si="30"/>
        <v>0</v>
      </c>
      <c r="H123" s="566">
        <f t="shared" si="30"/>
        <v>0</v>
      </c>
      <c r="I123" s="566">
        <f t="shared" si="30"/>
        <v>0</v>
      </c>
      <c r="J123" s="566">
        <f t="shared" si="30"/>
        <v>0</v>
      </c>
      <c r="K123" s="566">
        <f t="shared" si="30"/>
        <v>0</v>
      </c>
      <c r="L123" s="566">
        <f t="shared" si="30"/>
        <v>0</v>
      </c>
      <c r="M123" s="253">
        <f t="shared" si="20"/>
        <v>0</v>
      </c>
    </row>
    <row r="124" spans="1:13" x14ac:dyDescent="0.25">
      <c r="A124" s="588">
        <f t="shared" si="21"/>
        <v>64</v>
      </c>
      <c r="B124" s="883"/>
      <c r="C124" s="566">
        <f t="shared" ref="C124:L124" si="31">C84-C104</f>
        <v>0</v>
      </c>
      <c r="D124" s="566">
        <f t="shared" si="31"/>
        <v>0</v>
      </c>
      <c r="E124" s="566">
        <f t="shared" si="31"/>
        <v>0</v>
      </c>
      <c r="F124" s="566">
        <f t="shared" si="31"/>
        <v>0</v>
      </c>
      <c r="G124" s="566">
        <f t="shared" si="31"/>
        <v>0</v>
      </c>
      <c r="H124" s="566">
        <f t="shared" si="31"/>
        <v>0</v>
      </c>
      <c r="I124" s="566">
        <f t="shared" si="31"/>
        <v>0</v>
      </c>
      <c r="J124" s="566">
        <f t="shared" si="31"/>
        <v>0</v>
      </c>
      <c r="K124" s="566">
        <f t="shared" si="31"/>
        <v>0</v>
      </c>
      <c r="L124" s="566">
        <f t="shared" si="31"/>
        <v>0</v>
      </c>
      <c r="M124" s="253">
        <f t="shared" si="20"/>
        <v>0</v>
      </c>
    </row>
    <row r="125" spans="1:13" x14ac:dyDescent="0.25">
      <c r="A125" s="588">
        <f t="shared" si="21"/>
        <v>65</v>
      </c>
      <c r="B125" s="882"/>
      <c r="C125" s="122">
        <f t="shared" ref="C125:L125" si="32">C85-C105</f>
        <v>0</v>
      </c>
      <c r="D125" s="122">
        <f t="shared" si="32"/>
        <v>0</v>
      </c>
      <c r="E125" s="122">
        <f t="shared" si="32"/>
        <v>0</v>
      </c>
      <c r="F125" s="122">
        <f t="shared" si="32"/>
        <v>0</v>
      </c>
      <c r="G125" s="122">
        <f t="shared" si="32"/>
        <v>0</v>
      </c>
      <c r="H125" s="122">
        <f t="shared" si="32"/>
        <v>0</v>
      </c>
      <c r="I125" s="122">
        <f t="shared" si="32"/>
        <v>0</v>
      </c>
      <c r="J125" s="122">
        <f t="shared" si="32"/>
        <v>0</v>
      </c>
      <c r="K125" s="122">
        <f t="shared" si="32"/>
        <v>0</v>
      </c>
      <c r="L125" s="122">
        <f t="shared" si="32"/>
        <v>0</v>
      </c>
      <c r="M125" s="397">
        <f t="shared" si="20"/>
        <v>0</v>
      </c>
    </row>
    <row r="126" spans="1:13" x14ac:dyDescent="0.25">
      <c r="A126" s="588">
        <f t="shared" si="21"/>
        <v>66</v>
      </c>
      <c r="B126" s="592" t="s">
        <v>4</v>
      </c>
      <c r="C126" s="253">
        <f>SUM(C114:C125)</f>
        <v>0</v>
      </c>
      <c r="D126" s="253">
        <f t="shared" ref="D126:L126" si="33">SUM(D114:D125)</f>
        <v>0</v>
      </c>
      <c r="E126" s="253">
        <f t="shared" si="33"/>
        <v>0</v>
      </c>
      <c r="F126" s="253">
        <f t="shared" si="33"/>
        <v>0</v>
      </c>
      <c r="G126" s="253">
        <f t="shared" si="33"/>
        <v>0</v>
      </c>
      <c r="H126" s="253">
        <f t="shared" si="33"/>
        <v>0</v>
      </c>
      <c r="I126" s="253">
        <f t="shared" si="33"/>
        <v>0</v>
      </c>
      <c r="J126" s="253">
        <f t="shared" si="33"/>
        <v>0</v>
      </c>
      <c r="K126" s="253">
        <f t="shared" si="33"/>
        <v>0</v>
      </c>
      <c r="L126" s="253">
        <f t="shared" si="33"/>
        <v>0</v>
      </c>
      <c r="M126" s="253">
        <f>SUM(M114:M125)</f>
        <v>0</v>
      </c>
    </row>
    <row r="128" spans="1:13" x14ac:dyDescent="0.25">
      <c r="B128" s="1" t="s">
        <v>1745</v>
      </c>
    </row>
    <row r="129" spans="1:13" x14ac:dyDescent="0.25">
      <c r="B129" s="555" t="s">
        <v>1746</v>
      </c>
    </row>
    <row r="130" spans="1:13" x14ac:dyDescent="0.25">
      <c r="B130" s="16"/>
      <c r="C130" s="92">
        <v>350.1</v>
      </c>
      <c r="D130" s="92">
        <v>350.2</v>
      </c>
      <c r="E130" s="92">
        <v>352</v>
      </c>
      <c r="F130" s="92">
        <v>353</v>
      </c>
      <c r="G130" s="92">
        <v>354</v>
      </c>
      <c r="H130" s="92">
        <v>355</v>
      </c>
      <c r="I130" s="92">
        <v>356</v>
      </c>
      <c r="J130" s="92">
        <v>357</v>
      </c>
      <c r="K130" s="92">
        <v>358</v>
      </c>
      <c r="L130" s="92">
        <v>359</v>
      </c>
      <c r="M130" s="3" t="s">
        <v>215</v>
      </c>
    </row>
    <row r="131" spans="1:13" x14ac:dyDescent="0.25">
      <c r="A131" s="588">
        <f>A126+1</f>
        <v>67</v>
      </c>
      <c r="B131" s="16"/>
      <c r="C131" s="7">
        <f t="shared" ref="C131:M131" si="34">C23-C11</f>
        <v>0</v>
      </c>
      <c r="D131" s="7">
        <f t="shared" si="34"/>
        <v>0</v>
      </c>
      <c r="E131" s="7">
        <f t="shared" si="34"/>
        <v>0</v>
      </c>
      <c r="F131" s="7">
        <f t="shared" si="34"/>
        <v>0</v>
      </c>
      <c r="G131" s="7">
        <f t="shared" si="34"/>
        <v>0</v>
      </c>
      <c r="H131" s="7">
        <f t="shared" si="34"/>
        <v>0</v>
      </c>
      <c r="I131" s="7">
        <f t="shared" si="34"/>
        <v>0</v>
      </c>
      <c r="J131" s="7">
        <f t="shared" si="34"/>
        <v>0</v>
      </c>
      <c r="K131" s="7">
        <f t="shared" si="34"/>
        <v>0</v>
      </c>
      <c r="L131" s="7">
        <f t="shared" si="34"/>
        <v>0</v>
      </c>
      <c r="M131" s="7">
        <f t="shared" si="34"/>
        <v>0</v>
      </c>
    </row>
    <row r="132" spans="1:13" x14ac:dyDescent="0.25">
      <c r="B132" s="16"/>
      <c r="C132" s="7"/>
      <c r="D132" s="7"/>
      <c r="E132" s="7"/>
      <c r="F132" s="7"/>
      <c r="G132" s="7"/>
      <c r="H132" s="7"/>
      <c r="I132" s="7"/>
      <c r="J132" s="7"/>
      <c r="K132" s="7"/>
      <c r="L132" s="7"/>
      <c r="M132" s="7"/>
    </row>
    <row r="133" spans="1:13" x14ac:dyDescent="0.25">
      <c r="B133" s="555" t="s">
        <v>1747</v>
      </c>
      <c r="C133" s="7"/>
      <c r="D133" s="7"/>
      <c r="E133" s="7"/>
      <c r="F133" s="7"/>
      <c r="G133" s="7"/>
      <c r="H133" s="7"/>
      <c r="I133" s="7"/>
      <c r="J133" s="7"/>
      <c r="K133" s="7"/>
      <c r="L133" s="7"/>
      <c r="M133" s="7"/>
    </row>
    <row r="134" spans="1:13" x14ac:dyDescent="0.25">
      <c r="B134" s="16"/>
      <c r="C134" s="92">
        <v>350.1</v>
      </c>
      <c r="D134" s="92">
        <v>350.2</v>
      </c>
      <c r="E134" s="92">
        <v>352</v>
      </c>
      <c r="F134" s="92">
        <v>353</v>
      </c>
      <c r="G134" s="92">
        <v>354</v>
      </c>
      <c r="H134" s="92">
        <v>355</v>
      </c>
      <c r="I134" s="92">
        <v>356</v>
      </c>
      <c r="J134" s="92">
        <v>357</v>
      </c>
      <c r="K134" s="92">
        <v>358</v>
      </c>
      <c r="L134" s="92">
        <v>359</v>
      </c>
      <c r="M134" s="3" t="s">
        <v>215</v>
      </c>
    </row>
    <row r="135" spans="1:13" x14ac:dyDescent="0.25">
      <c r="A135" s="588">
        <f>A131+1</f>
        <v>68</v>
      </c>
      <c r="B135" s="16"/>
      <c r="C135" s="7">
        <f t="shared" ref="C135:M135" si="35">C106</f>
        <v>0</v>
      </c>
      <c r="D135" s="7">
        <f t="shared" si="35"/>
        <v>0</v>
      </c>
      <c r="E135" s="7">
        <f t="shared" si="35"/>
        <v>0</v>
      </c>
      <c r="F135" s="7">
        <f t="shared" si="35"/>
        <v>0</v>
      </c>
      <c r="G135" s="7">
        <f t="shared" si="35"/>
        <v>0</v>
      </c>
      <c r="H135" s="7">
        <f t="shared" si="35"/>
        <v>0</v>
      </c>
      <c r="I135" s="7">
        <f t="shared" si="35"/>
        <v>0</v>
      </c>
      <c r="J135" s="7">
        <f t="shared" si="35"/>
        <v>0</v>
      </c>
      <c r="K135" s="7">
        <f t="shared" si="35"/>
        <v>0</v>
      </c>
      <c r="L135" s="7">
        <f t="shared" si="35"/>
        <v>0</v>
      </c>
      <c r="M135" s="7">
        <f t="shared" si="35"/>
        <v>0</v>
      </c>
    </row>
    <row r="136" spans="1:13" x14ac:dyDescent="0.25">
      <c r="B136" s="16"/>
      <c r="C136" s="7"/>
      <c r="D136" s="7"/>
      <c r="E136" s="7"/>
      <c r="F136" s="7"/>
      <c r="G136" s="7"/>
      <c r="H136" s="7"/>
      <c r="I136" s="7"/>
      <c r="J136" s="7"/>
      <c r="K136" s="7"/>
      <c r="L136" s="7"/>
      <c r="M136" s="7"/>
    </row>
    <row r="137" spans="1:13" x14ac:dyDescent="0.25">
      <c r="B137" s="555" t="s">
        <v>1748</v>
      </c>
      <c r="C137" s="7"/>
      <c r="D137" s="7"/>
      <c r="E137" s="7"/>
      <c r="F137" s="7"/>
      <c r="G137" s="7"/>
      <c r="H137" s="7"/>
      <c r="I137" s="7"/>
      <c r="J137" s="7"/>
      <c r="K137" s="7"/>
      <c r="L137" s="7"/>
      <c r="M137" s="7"/>
    </row>
    <row r="138" spans="1:13" x14ac:dyDescent="0.25">
      <c r="C138" s="92">
        <v>350.1</v>
      </c>
      <c r="D138" s="92">
        <v>350.2</v>
      </c>
      <c r="E138" s="92">
        <v>352</v>
      </c>
      <c r="F138" s="92">
        <v>353</v>
      </c>
      <c r="G138" s="92">
        <v>354</v>
      </c>
      <c r="H138" s="92">
        <v>355</v>
      </c>
      <c r="I138" s="92">
        <v>356</v>
      </c>
      <c r="J138" s="92">
        <v>357</v>
      </c>
      <c r="K138" s="92">
        <v>358</v>
      </c>
      <c r="L138" s="92">
        <v>359</v>
      </c>
      <c r="M138" s="3" t="s">
        <v>215</v>
      </c>
    </row>
    <row r="139" spans="1:13" x14ac:dyDescent="0.25">
      <c r="A139" s="588">
        <f>A135+1</f>
        <v>69</v>
      </c>
      <c r="C139" s="7">
        <f t="shared" ref="C139:M139" si="36">C131-C135</f>
        <v>0</v>
      </c>
      <c r="D139" s="7">
        <f t="shared" si="36"/>
        <v>0</v>
      </c>
      <c r="E139" s="7">
        <f t="shared" si="36"/>
        <v>0</v>
      </c>
      <c r="F139" s="7">
        <f t="shared" si="36"/>
        <v>0</v>
      </c>
      <c r="G139" s="7">
        <f t="shared" si="36"/>
        <v>0</v>
      </c>
      <c r="H139" s="7">
        <f t="shared" si="36"/>
        <v>0</v>
      </c>
      <c r="I139" s="7">
        <f t="shared" si="36"/>
        <v>0</v>
      </c>
      <c r="J139" s="7">
        <f t="shared" si="36"/>
        <v>0</v>
      </c>
      <c r="K139" s="7">
        <f t="shared" si="36"/>
        <v>0</v>
      </c>
      <c r="L139" s="7">
        <f t="shared" si="36"/>
        <v>0</v>
      </c>
      <c r="M139" s="7">
        <f t="shared" si="36"/>
        <v>0</v>
      </c>
    </row>
    <row r="141" spans="1:13" x14ac:dyDescent="0.25">
      <c r="B141" s="45" t="s">
        <v>1995</v>
      </c>
      <c r="C141" s="14"/>
      <c r="D141" s="14"/>
      <c r="E141" s="14"/>
      <c r="F141" s="14"/>
      <c r="G141" s="14"/>
    </row>
    <row r="142" spans="1:13" x14ac:dyDescent="0.25">
      <c r="A142" s="449"/>
      <c r="B142" s="388" t="s">
        <v>394</v>
      </c>
      <c r="C142" s="388" t="s">
        <v>378</v>
      </c>
      <c r="D142" s="388" t="s">
        <v>379</v>
      </c>
      <c r="E142" s="388" t="s">
        <v>380</v>
      </c>
      <c r="F142" s="388" t="s">
        <v>381</v>
      </c>
      <c r="G142" s="388" t="s">
        <v>382</v>
      </c>
      <c r="H142" s="92" t="s">
        <v>383</v>
      </c>
      <c r="I142" s="92" t="s">
        <v>597</v>
      </c>
      <c r="J142" s="92" t="s">
        <v>1046</v>
      </c>
      <c r="K142" s="92" t="s">
        <v>1062</v>
      </c>
      <c r="L142" s="92" t="s">
        <v>1065</v>
      </c>
      <c r="M142" s="92" t="s">
        <v>1083</v>
      </c>
    </row>
    <row r="143" spans="1:13" x14ac:dyDescent="0.25">
      <c r="A143" s="251"/>
      <c r="B143" s="518"/>
      <c r="C143" s="261"/>
      <c r="D143" s="261"/>
      <c r="E143" s="261"/>
      <c r="F143" s="606"/>
      <c r="G143" s="261"/>
      <c r="H143" s="251"/>
      <c r="I143" s="251"/>
      <c r="J143" s="251"/>
      <c r="K143" s="251"/>
      <c r="L143" s="251"/>
      <c r="M143" s="272" t="s">
        <v>1369</v>
      </c>
    </row>
    <row r="144" spans="1:13" x14ac:dyDescent="0.25">
      <c r="A144" s="251"/>
      <c r="B144" s="121"/>
      <c r="C144" s="388"/>
      <c r="D144" s="388"/>
      <c r="E144" s="261"/>
      <c r="F144" s="261"/>
      <c r="G144" s="261"/>
      <c r="H144" s="251"/>
      <c r="I144" s="251"/>
      <c r="J144" s="251"/>
      <c r="K144" s="251"/>
      <c r="L144" s="251"/>
    </row>
    <row r="145" spans="1:13" x14ac:dyDescent="0.25">
      <c r="A145" s="53"/>
      <c r="B145" s="135" t="s">
        <v>2044</v>
      </c>
      <c r="C145" s="388">
        <v>350.1</v>
      </c>
      <c r="D145" s="388">
        <v>350.2</v>
      </c>
      <c r="E145" s="388">
        <v>352</v>
      </c>
      <c r="F145" s="388">
        <v>353</v>
      </c>
      <c r="G145" s="388">
        <v>354</v>
      </c>
      <c r="H145" s="92">
        <v>355</v>
      </c>
      <c r="I145" s="92">
        <v>356</v>
      </c>
      <c r="J145" s="92">
        <v>357</v>
      </c>
      <c r="K145" s="92">
        <v>358</v>
      </c>
      <c r="L145" s="92">
        <v>359</v>
      </c>
      <c r="M145" s="3" t="s">
        <v>215</v>
      </c>
    </row>
    <row r="146" spans="1:13" x14ac:dyDescent="0.25">
      <c r="A146" s="588">
        <f>A139+1</f>
        <v>70</v>
      </c>
      <c r="B146" s="712"/>
      <c r="C146" s="566" t="e">
        <f t="shared" ref="C146:C157" si="37">C114*($C$139/$C$126)</f>
        <v>#DIV/0!</v>
      </c>
      <c r="D146" s="566" t="e">
        <f t="shared" ref="D146:D157" si="38">D114*($D$139/$D$126)</f>
        <v>#DIV/0!</v>
      </c>
      <c r="E146" s="566" t="e">
        <f t="shared" ref="E146:E157" si="39">E114*($E$139/$E$126)</f>
        <v>#DIV/0!</v>
      </c>
      <c r="F146" s="566" t="e">
        <f t="shared" ref="F146:F157" si="40">F114*($F$139/$F$126)</f>
        <v>#DIV/0!</v>
      </c>
      <c r="G146" s="566" t="e">
        <f t="shared" ref="G146:G157" si="41">G114*($G$139/$G$126)</f>
        <v>#DIV/0!</v>
      </c>
      <c r="H146" s="566" t="e">
        <f t="shared" ref="H146:H157" si="42">H114*($H$139/$H$126)</f>
        <v>#DIV/0!</v>
      </c>
      <c r="I146" s="566" t="e">
        <f t="shared" ref="I146:I157" si="43">I114*($I$139/$I$126)</f>
        <v>#DIV/0!</v>
      </c>
      <c r="J146" s="566" t="e">
        <f t="shared" ref="J146:J157" si="44">J114*($J$139/$J$126)</f>
        <v>#DIV/0!</v>
      </c>
      <c r="K146" s="566" t="e">
        <f t="shared" ref="K146:K157" si="45">K114*($K$139/$K$126)</f>
        <v>#DIV/0!</v>
      </c>
      <c r="L146" s="566" t="e">
        <f t="shared" ref="L146:L157" si="46">L114*($L$139/$L$126)</f>
        <v>#DIV/0!</v>
      </c>
      <c r="M146" s="253" t="e">
        <f t="shared" ref="M146:M157" si="47">SUM(C146:L146)</f>
        <v>#DIV/0!</v>
      </c>
    </row>
    <row r="147" spans="1:13" x14ac:dyDescent="0.25">
      <c r="A147" s="588">
        <f t="shared" ref="A147:A158" si="48">A146+1</f>
        <v>71</v>
      </c>
      <c r="B147" s="711"/>
      <c r="C147" s="566" t="e">
        <f t="shared" si="37"/>
        <v>#DIV/0!</v>
      </c>
      <c r="D147" s="566" t="e">
        <f t="shared" si="38"/>
        <v>#DIV/0!</v>
      </c>
      <c r="E147" s="566" t="e">
        <f t="shared" si="39"/>
        <v>#DIV/0!</v>
      </c>
      <c r="F147" s="566" t="e">
        <f t="shared" si="40"/>
        <v>#DIV/0!</v>
      </c>
      <c r="G147" s="566" t="e">
        <f t="shared" si="41"/>
        <v>#DIV/0!</v>
      </c>
      <c r="H147" s="566" t="e">
        <f t="shared" si="42"/>
        <v>#DIV/0!</v>
      </c>
      <c r="I147" s="566" t="e">
        <f t="shared" si="43"/>
        <v>#DIV/0!</v>
      </c>
      <c r="J147" s="566" t="e">
        <f t="shared" si="44"/>
        <v>#DIV/0!</v>
      </c>
      <c r="K147" s="566" t="e">
        <f t="shared" si="45"/>
        <v>#DIV/0!</v>
      </c>
      <c r="L147" s="566" t="e">
        <f t="shared" si="46"/>
        <v>#DIV/0!</v>
      </c>
      <c r="M147" s="253" t="e">
        <f t="shared" si="47"/>
        <v>#DIV/0!</v>
      </c>
    </row>
    <row r="148" spans="1:13" x14ac:dyDescent="0.25">
      <c r="A148" s="588">
        <f t="shared" si="48"/>
        <v>72</v>
      </c>
      <c r="B148" s="711"/>
      <c r="C148" s="566" t="e">
        <f t="shared" si="37"/>
        <v>#DIV/0!</v>
      </c>
      <c r="D148" s="566" t="e">
        <f t="shared" si="38"/>
        <v>#DIV/0!</v>
      </c>
      <c r="E148" s="566" t="e">
        <f t="shared" si="39"/>
        <v>#DIV/0!</v>
      </c>
      <c r="F148" s="566" t="e">
        <f t="shared" si="40"/>
        <v>#DIV/0!</v>
      </c>
      <c r="G148" s="566" t="e">
        <f t="shared" si="41"/>
        <v>#DIV/0!</v>
      </c>
      <c r="H148" s="566" t="e">
        <f t="shared" si="42"/>
        <v>#DIV/0!</v>
      </c>
      <c r="I148" s="566" t="e">
        <f t="shared" si="43"/>
        <v>#DIV/0!</v>
      </c>
      <c r="J148" s="566" t="e">
        <f t="shared" si="44"/>
        <v>#DIV/0!</v>
      </c>
      <c r="K148" s="566" t="e">
        <f t="shared" si="45"/>
        <v>#DIV/0!</v>
      </c>
      <c r="L148" s="566" t="e">
        <f t="shared" si="46"/>
        <v>#DIV/0!</v>
      </c>
      <c r="M148" s="253" t="e">
        <f t="shared" si="47"/>
        <v>#DIV/0!</v>
      </c>
    </row>
    <row r="149" spans="1:13" x14ac:dyDescent="0.25">
      <c r="A149" s="588">
        <f t="shared" si="48"/>
        <v>73</v>
      </c>
      <c r="B149" s="712"/>
      <c r="C149" s="566" t="e">
        <f t="shared" si="37"/>
        <v>#DIV/0!</v>
      </c>
      <c r="D149" s="566" t="e">
        <f t="shared" si="38"/>
        <v>#DIV/0!</v>
      </c>
      <c r="E149" s="566" t="e">
        <f t="shared" si="39"/>
        <v>#DIV/0!</v>
      </c>
      <c r="F149" s="566" t="e">
        <f t="shared" si="40"/>
        <v>#DIV/0!</v>
      </c>
      <c r="G149" s="566" t="e">
        <f t="shared" si="41"/>
        <v>#DIV/0!</v>
      </c>
      <c r="H149" s="566" t="e">
        <f t="shared" si="42"/>
        <v>#DIV/0!</v>
      </c>
      <c r="I149" s="566" t="e">
        <f t="shared" si="43"/>
        <v>#DIV/0!</v>
      </c>
      <c r="J149" s="566" t="e">
        <f t="shared" si="44"/>
        <v>#DIV/0!</v>
      </c>
      <c r="K149" s="566" t="e">
        <f t="shared" si="45"/>
        <v>#DIV/0!</v>
      </c>
      <c r="L149" s="566" t="e">
        <f t="shared" si="46"/>
        <v>#DIV/0!</v>
      </c>
      <c r="M149" s="253" t="e">
        <f t="shared" si="47"/>
        <v>#DIV/0!</v>
      </c>
    </row>
    <row r="150" spans="1:13" x14ac:dyDescent="0.25">
      <c r="A150" s="588">
        <f t="shared" si="48"/>
        <v>74</v>
      </c>
      <c r="B150" s="711"/>
      <c r="C150" s="566" t="e">
        <f t="shared" si="37"/>
        <v>#DIV/0!</v>
      </c>
      <c r="D150" s="566" t="e">
        <f t="shared" si="38"/>
        <v>#DIV/0!</v>
      </c>
      <c r="E150" s="566" t="e">
        <f t="shared" si="39"/>
        <v>#DIV/0!</v>
      </c>
      <c r="F150" s="566" t="e">
        <f t="shared" si="40"/>
        <v>#DIV/0!</v>
      </c>
      <c r="G150" s="566" t="e">
        <f t="shared" si="41"/>
        <v>#DIV/0!</v>
      </c>
      <c r="H150" s="566" t="e">
        <f t="shared" si="42"/>
        <v>#DIV/0!</v>
      </c>
      <c r="I150" s="566" t="e">
        <f t="shared" si="43"/>
        <v>#DIV/0!</v>
      </c>
      <c r="J150" s="566" t="e">
        <f t="shared" si="44"/>
        <v>#DIV/0!</v>
      </c>
      <c r="K150" s="566" t="e">
        <f t="shared" si="45"/>
        <v>#DIV/0!</v>
      </c>
      <c r="L150" s="566" t="e">
        <f t="shared" si="46"/>
        <v>#DIV/0!</v>
      </c>
      <c r="M150" s="253" t="e">
        <f t="shared" si="47"/>
        <v>#DIV/0!</v>
      </c>
    </row>
    <row r="151" spans="1:13" x14ac:dyDescent="0.25">
      <c r="A151" s="588">
        <f t="shared" si="48"/>
        <v>75</v>
      </c>
      <c r="B151" s="711"/>
      <c r="C151" s="566" t="e">
        <f t="shared" si="37"/>
        <v>#DIV/0!</v>
      </c>
      <c r="D151" s="566" t="e">
        <f t="shared" si="38"/>
        <v>#DIV/0!</v>
      </c>
      <c r="E151" s="566" t="e">
        <f t="shared" si="39"/>
        <v>#DIV/0!</v>
      </c>
      <c r="F151" s="566" t="e">
        <f t="shared" si="40"/>
        <v>#DIV/0!</v>
      </c>
      <c r="G151" s="566" t="e">
        <f t="shared" si="41"/>
        <v>#DIV/0!</v>
      </c>
      <c r="H151" s="566" t="e">
        <f t="shared" si="42"/>
        <v>#DIV/0!</v>
      </c>
      <c r="I151" s="566" t="e">
        <f t="shared" si="43"/>
        <v>#DIV/0!</v>
      </c>
      <c r="J151" s="566" t="e">
        <f t="shared" si="44"/>
        <v>#DIV/0!</v>
      </c>
      <c r="K151" s="566" t="e">
        <f t="shared" si="45"/>
        <v>#DIV/0!</v>
      </c>
      <c r="L151" s="566" t="e">
        <f t="shared" si="46"/>
        <v>#DIV/0!</v>
      </c>
      <c r="M151" s="253" t="e">
        <f t="shared" si="47"/>
        <v>#DIV/0!</v>
      </c>
    </row>
    <row r="152" spans="1:13" x14ac:dyDescent="0.25">
      <c r="A152" s="588">
        <f t="shared" si="48"/>
        <v>76</v>
      </c>
      <c r="B152" s="712"/>
      <c r="C152" s="566" t="e">
        <f t="shared" si="37"/>
        <v>#DIV/0!</v>
      </c>
      <c r="D152" s="566" t="e">
        <f t="shared" si="38"/>
        <v>#DIV/0!</v>
      </c>
      <c r="E152" s="566" t="e">
        <f t="shared" si="39"/>
        <v>#DIV/0!</v>
      </c>
      <c r="F152" s="566" t="e">
        <f t="shared" si="40"/>
        <v>#DIV/0!</v>
      </c>
      <c r="G152" s="566" t="e">
        <f t="shared" si="41"/>
        <v>#DIV/0!</v>
      </c>
      <c r="H152" s="566" t="e">
        <f t="shared" si="42"/>
        <v>#DIV/0!</v>
      </c>
      <c r="I152" s="566" t="e">
        <f t="shared" si="43"/>
        <v>#DIV/0!</v>
      </c>
      <c r="J152" s="566" t="e">
        <f t="shared" si="44"/>
        <v>#DIV/0!</v>
      </c>
      <c r="K152" s="566" t="e">
        <f t="shared" si="45"/>
        <v>#DIV/0!</v>
      </c>
      <c r="L152" s="566" t="e">
        <f t="shared" si="46"/>
        <v>#DIV/0!</v>
      </c>
      <c r="M152" s="253" t="e">
        <f t="shared" si="47"/>
        <v>#DIV/0!</v>
      </c>
    </row>
    <row r="153" spans="1:13" x14ac:dyDescent="0.25">
      <c r="A153" s="588">
        <f t="shared" si="48"/>
        <v>77</v>
      </c>
      <c r="B153" s="711"/>
      <c r="C153" s="566" t="e">
        <f t="shared" si="37"/>
        <v>#DIV/0!</v>
      </c>
      <c r="D153" s="566" t="e">
        <f t="shared" si="38"/>
        <v>#DIV/0!</v>
      </c>
      <c r="E153" s="566" t="e">
        <f t="shared" si="39"/>
        <v>#DIV/0!</v>
      </c>
      <c r="F153" s="566" t="e">
        <f t="shared" si="40"/>
        <v>#DIV/0!</v>
      </c>
      <c r="G153" s="566" t="e">
        <f t="shared" si="41"/>
        <v>#DIV/0!</v>
      </c>
      <c r="H153" s="566" t="e">
        <f t="shared" si="42"/>
        <v>#DIV/0!</v>
      </c>
      <c r="I153" s="566" t="e">
        <f t="shared" si="43"/>
        <v>#DIV/0!</v>
      </c>
      <c r="J153" s="566" t="e">
        <f t="shared" si="44"/>
        <v>#DIV/0!</v>
      </c>
      <c r="K153" s="566" t="e">
        <f t="shared" si="45"/>
        <v>#DIV/0!</v>
      </c>
      <c r="L153" s="566" t="e">
        <f t="shared" si="46"/>
        <v>#DIV/0!</v>
      </c>
      <c r="M153" s="253" t="e">
        <f t="shared" si="47"/>
        <v>#DIV/0!</v>
      </c>
    </row>
    <row r="154" spans="1:13" x14ac:dyDescent="0.25">
      <c r="A154" s="588">
        <f t="shared" si="48"/>
        <v>78</v>
      </c>
      <c r="B154" s="711"/>
      <c r="C154" s="566" t="e">
        <f t="shared" si="37"/>
        <v>#DIV/0!</v>
      </c>
      <c r="D154" s="566" t="e">
        <f t="shared" si="38"/>
        <v>#DIV/0!</v>
      </c>
      <c r="E154" s="566" t="e">
        <f t="shared" si="39"/>
        <v>#DIV/0!</v>
      </c>
      <c r="F154" s="566" t="e">
        <f t="shared" si="40"/>
        <v>#DIV/0!</v>
      </c>
      <c r="G154" s="566" t="e">
        <f t="shared" si="41"/>
        <v>#DIV/0!</v>
      </c>
      <c r="H154" s="566" t="e">
        <f t="shared" si="42"/>
        <v>#DIV/0!</v>
      </c>
      <c r="I154" s="566" t="e">
        <f t="shared" si="43"/>
        <v>#DIV/0!</v>
      </c>
      <c r="J154" s="566" t="e">
        <f t="shared" si="44"/>
        <v>#DIV/0!</v>
      </c>
      <c r="K154" s="566" t="e">
        <f t="shared" si="45"/>
        <v>#DIV/0!</v>
      </c>
      <c r="L154" s="566" t="e">
        <f t="shared" si="46"/>
        <v>#DIV/0!</v>
      </c>
      <c r="M154" s="253" t="e">
        <f t="shared" si="47"/>
        <v>#DIV/0!</v>
      </c>
    </row>
    <row r="155" spans="1:13" x14ac:dyDescent="0.25">
      <c r="A155" s="588">
        <f t="shared" si="48"/>
        <v>79</v>
      </c>
      <c r="B155" s="712"/>
      <c r="C155" s="566" t="e">
        <f t="shared" si="37"/>
        <v>#DIV/0!</v>
      </c>
      <c r="D155" s="566" t="e">
        <f t="shared" si="38"/>
        <v>#DIV/0!</v>
      </c>
      <c r="E155" s="566" t="e">
        <f t="shared" si="39"/>
        <v>#DIV/0!</v>
      </c>
      <c r="F155" s="566" t="e">
        <f t="shared" si="40"/>
        <v>#DIV/0!</v>
      </c>
      <c r="G155" s="566" t="e">
        <f t="shared" si="41"/>
        <v>#DIV/0!</v>
      </c>
      <c r="H155" s="566" t="e">
        <f t="shared" si="42"/>
        <v>#DIV/0!</v>
      </c>
      <c r="I155" s="566" t="e">
        <f t="shared" si="43"/>
        <v>#DIV/0!</v>
      </c>
      <c r="J155" s="566" t="e">
        <f t="shared" si="44"/>
        <v>#DIV/0!</v>
      </c>
      <c r="K155" s="566" t="e">
        <f t="shared" si="45"/>
        <v>#DIV/0!</v>
      </c>
      <c r="L155" s="566" t="e">
        <f t="shared" si="46"/>
        <v>#DIV/0!</v>
      </c>
      <c r="M155" s="253" t="e">
        <f t="shared" si="47"/>
        <v>#DIV/0!</v>
      </c>
    </row>
    <row r="156" spans="1:13" x14ac:dyDescent="0.25">
      <c r="A156" s="588">
        <f t="shared" si="48"/>
        <v>80</v>
      </c>
      <c r="B156" s="712"/>
      <c r="C156" s="566" t="e">
        <f t="shared" si="37"/>
        <v>#DIV/0!</v>
      </c>
      <c r="D156" s="566" t="e">
        <f t="shared" si="38"/>
        <v>#DIV/0!</v>
      </c>
      <c r="E156" s="566" t="e">
        <f t="shared" si="39"/>
        <v>#DIV/0!</v>
      </c>
      <c r="F156" s="566" t="e">
        <f t="shared" si="40"/>
        <v>#DIV/0!</v>
      </c>
      <c r="G156" s="566" t="e">
        <f t="shared" si="41"/>
        <v>#DIV/0!</v>
      </c>
      <c r="H156" s="566" t="e">
        <f t="shared" si="42"/>
        <v>#DIV/0!</v>
      </c>
      <c r="I156" s="566" t="e">
        <f t="shared" si="43"/>
        <v>#DIV/0!</v>
      </c>
      <c r="J156" s="566" t="e">
        <f t="shared" si="44"/>
        <v>#DIV/0!</v>
      </c>
      <c r="K156" s="566" t="e">
        <f t="shared" si="45"/>
        <v>#DIV/0!</v>
      </c>
      <c r="L156" s="566" t="e">
        <f t="shared" si="46"/>
        <v>#DIV/0!</v>
      </c>
      <c r="M156" s="253" t="e">
        <f t="shared" si="47"/>
        <v>#DIV/0!</v>
      </c>
    </row>
    <row r="157" spans="1:13" x14ac:dyDescent="0.25">
      <c r="A157" s="588">
        <f t="shared" si="48"/>
        <v>81</v>
      </c>
      <c r="B157" s="711"/>
      <c r="C157" s="122" t="e">
        <f t="shared" si="37"/>
        <v>#DIV/0!</v>
      </c>
      <c r="D157" s="122" t="e">
        <f t="shared" si="38"/>
        <v>#DIV/0!</v>
      </c>
      <c r="E157" s="122" t="e">
        <f t="shared" si="39"/>
        <v>#DIV/0!</v>
      </c>
      <c r="F157" s="122" t="e">
        <f t="shared" si="40"/>
        <v>#DIV/0!</v>
      </c>
      <c r="G157" s="122" t="e">
        <f t="shared" si="41"/>
        <v>#DIV/0!</v>
      </c>
      <c r="H157" s="122" t="e">
        <f t="shared" si="42"/>
        <v>#DIV/0!</v>
      </c>
      <c r="I157" s="122" t="e">
        <f t="shared" si="43"/>
        <v>#DIV/0!</v>
      </c>
      <c r="J157" s="122" t="e">
        <f t="shared" si="44"/>
        <v>#DIV/0!</v>
      </c>
      <c r="K157" s="122" t="e">
        <f t="shared" si="45"/>
        <v>#DIV/0!</v>
      </c>
      <c r="L157" s="122" t="e">
        <f t="shared" si="46"/>
        <v>#DIV/0!</v>
      </c>
      <c r="M157" s="397" t="e">
        <f t="shared" si="47"/>
        <v>#DIV/0!</v>
      </c>
    </row>
    <row r="158" spans="1:13" x14ac:dyDescent="0.25">
      <c r="A158" s="588">
        <f t="shared" si="48"/>
        <v>82</v>
      </c>
      <c r="B158" s="592" t="s">
        <v>4</v>
      </c>
      <c r="C158" s="253" t="e">
        <f>SUM(C146:C157)</f>
        <v>#DIV/0!</v>
      </c>
      <c r="D158" s="253" t="e">
        <f t="shared" ref="D158:L158" si="49">SUM(D146:D157)</f>
        <v>#DIV/0!</v>
      </c>
      <c r="E158" s="253" t="e">
        <f t="shared" si="49"/>
        <v>#DIV/0!</v>
      </c>
      <c r="F158" s="253" t="e">
        <f t="shared" si="49"/>
        <v>#DIV/0!</v>
      </c>
      <c r="G158" s="253" t="e">
        <f t="shared" si="49"/>
        <v>#DIV/0!</v>
      </c>
      <c r="H158" s="253" t="e">
        <f t="shared" si="49"/>
        <v>#DIV/0!</v>
      </c>
      <c r="I158" s="253" t="e">
        <f t="shared" si="49"/>
        <v>#DIV/0!</v>
      </c>
      <c r="J158" s="253" t="e">
        <f t="shared" si="49"/>
        <v>#DIV/0!</v>
      </c>
      <c r="K158" s="253" t="e">
        <f t="shared" si="49"/>
        <v>#DIV/0!</v>
      </c>
      <c r="L158" s="253" t="e">
        <f t="shared" si="49"/>
        <v>#DIV/0!</v>
      </c>
      <c r="M158" s="253" t="e">
        <f>SUM(M146:M157)</f>
        <v>#DIV/0!</v>
      </c>
    </row>
    <row r="160" spans="1:13" x14ac:dyDescent="0.25">
      <c r="B160" s="455" t="s">
        <v>256</v>
      </c>
    </row>
    <row r="161" spans="2:44" x14ac:dyDescent="0.25">
      <c r="B161" s="553" t="s">
        <v>2250</v>
      </c>
      <c r="C161" s="14"/>
      <c r="D161" s="14"/>
      <c r="E161" s="14"/>
      <c r="F161" s="14"/>
      <c r="G161" s="14"/>
      <c r="H161" s="14"/>
      <c r="I161" s="14"/>
      <c r="J161" s="14"/>
      <c r="K161" s="14"/>
      <c r="L161" s="14"/>
    </row>
    <row r="162" spans="2:44" x14ac:dyDescent="0.25">
      <c r="B162" s="1172" t="s">
        <v>2295</v>
      </c>
      <c r="C162" s="553"/>
      <c r="D162" s="553"/>
      <c r="E162" s="553"/>
      <c r="F162" s="553"/>
      <c r="G162" s="553"/>
      <c r="H162" s="553"/>
      <c r="I162" s="14"/>
      <c r="J162" s="553"/>
      <c r="K162" s="553"/>
      <c r="L162" s="553"/>
      <c r="M162" s="553"/>
      <c r="N162" s="551"/>
      <c r="O162" s="551"/>
      <c r="P162" s="551"/>
      <c r="Q162" s="551"/>
      <c r="R162" s="551"/>
      <c r="S162" s="551"/>
      <c r="T162" s="551"/>
      <c r="U162" s="551"/>
      <c r="V162" s="551"/>
      <c r="W162" s="551"/>
      <c r="X162" s="551"/>
      <c r="Y162" s="551"/>
      <c r="Z162" s="551"/>
      <c r="AA162" s="551"/>
      <c r="AB162" s="551"/>
      <c r="AC162" s="551"/>
      <c r="AD162" s="551"/>
      <c r="AE162" s="551"/>
      <c r="AF162" s="551"/>
      <c r="AG162" s="551"/>
      <c r="AH162" s="551"/>
      <c r="AI162" s="551"/>
      <c r="AJ162" s="551"/>
      <c r="AK162" s="551"/>
      <c r="AL162" s="551"/>
      <c r="AM162" s="551"/>
      <c r="AN162" s="551"/>
      <c r="AO162" s="551"/>
      <c r="AP162" s="551"/>
      <c r="AQ162" s="551"/>
      <c r="AR162" s="551"/>
    </row>
    <row r="163" spans="2:44" x14ac:dyDescent="0.25">
      <c r="B163" s="14" t="s">
        <v>2251</v>
      </c>
      <c r="C163" s="14"/>
      <c r="D163" s="14"/>
      <c r="E163" s="14"/>
      <c r="F163" s="14"/>
      <c r="G163" s="14"/>
      <c r="H163" s="14"/>
      <c r="I163" s="14"/>
      <c r="J163" s="14"/>
      <c r="K163" s="14"/>
      <c r="L163" s="14"/>
      <c r="M163" s="14"/>
    </row>
    <row r="164" spans="2:44" x14ac:dyDescent="0.25">
      <c r="B164" s="550" t="s">
        <v>2252</v>
      </c>
      <c r="C164" s="14"/>
      <c r="D164" s="14"/>
      <c r="E164" s="14"/>
      <c r="F164" s="14"/>
      <c r="G164" s="14"/>
      <c r="H164" s="14"/>
      <c r="I164" s="14"/>
      <c r="J164" s="14"/>
      <c r="K164" s="14"/>
      <c r="L164" s="14"/>
      <c r="M164" s="14"/>
    </row>
    <row r="165" spans="2:44" x14ac:dyDescent="0.25">
      <c r="B165" s="550" t="s">
        <v>2254</v>
      </c>
      <c r="C165" s="14"/>
      <c r="D165" s="14"/>
      <c r="E165" s="14"/>
      <c r="F165" s="14"/>
      <c r="G165" s="14"/>
      <c r="H165" s="14"/>
      <c r="I165" s="14"/>
      <c r="J165" s="14"/>
      <c r="K165" s="14"/>
      <c r="L165" s="14"/>
      <c r="M165" s="14"/>
    </row>
    <row r="166" spans="2:44" x14ac:dyDescent="0.25">
      <c r="B166" s="124" t="s">
        <v>2253</v>
      </c>
      <c r="C166" s="14"/>
      <c r="D166" s="14"/>
      <c r="E166" s="14"/>
      <c r="F166" s="14"/>
      <c r="G166" s="14"/>
      <c r="H166" s="14"/>
      <c r="I166" s="14"/>
      <c r="J166" s="14"/>
      <c r="K166" s="14"/>
      <c r="L166" s="14"/>
      <c r="M166" s="14"/>
    </row>
    <row r="167" spans="2:44" x14ac:dyDescent="0.25">
      <c r="B167" s="553" t="s">
        <v>2255</v>
      </c>
      <c r="C167" s="14"/>
      <c r="D167" s="14"/>
      <c r="E167" s="14"/>
      <c r="F167" s="14"/>
      <c r="G167" s="14"/>
      <c r="H167" s="14"/>
      <c r="I167" s="14"/>
      <c r="J167" s="14"/>
      <c r="K167" s="14"/>
      <c r="L167" s="14"/>
      <c r="M167" s="14"/>
    </row>
    <row r="168" spans="2:44" x14ac:dyDescent="0.25">
      <c r="B168" s="550" t="s">
        <v>2256</v>
      </c>
      <c r="C168" s="14"/>
      <c r="D168" s="14"/>
      <c r="E168" s="14"/>
      <c r="F168" s="14"/>
      <c r="G168" s="14"/>
      <c r="H168" s="14"/>
      <c r="I168" s="14"/>
      <c r="J168" s="14"/>
      <c r="K168" s="14"/>
      <c r="L168" s="14"/>
      <c r="M168" s="14"/>
    </row>
    <row r="169" spans="2:44" x14ac:dyDescent="0.25">
      <c r="B169" s="550" t="s">
        <v>2257</v>
      </c>
      <c r="C169" s="14"/>
      <c r="D169" s="14"/>
      <c r="E169" s="14"/>
      <c r="F169" s="14"/>
      <c r="G169" s="14"/>
      <c r="H169" s="14"/>
      <c r="I169" s="14"/>
      <c r="J169" s="14"/>
      <c r="K169" s="14"/>
      <c r="L169" s="14"/>
      <c r="M169" s="14"/>
    </row>
    <row r="170" spans="2:44" x14ac:dyDescent="0.25">
      <c r="B170" s="550" t="s">
        <v>2258</v>
      </c>
      <c r="C170" s="14"/>
      <c r="D170" s="14"/>
      <c r="E170" s="14"/>
      <c r="F170" s="14"/>
      <c r="G170" s="14"/>
      <c r="H170" s="14"/>
      <c r="I170" s="14"/>
      <c r="J170" s="14"/>
      <c r="K170" s="14"/>
      <c r="L170" s="14"/>
      <c r="M170" s="14"/>
    </row>
    <row r="171" spans="2:44" x14ac:dyDescent="0.25">
      <c r="B171" s="553" t="str">
        <f>"2) Amounts on Line "&amp;A34&amp;" must match 6-Plant Study amounts for Distribution Plant - ISO for previous year."</f>
        <v>2) Amounts on Line 15 must match 6-Plant Study amounts for Distribution Plant - ISO for previous year.</v>
      </c>
      <c r="C171" s="14"/>
      <c r="D171" s="14"/>
      <c r="E171" s="14"/>
      <c r="F171" s="14"/>
      <c r="G171" s="14"/>
      <c r="H171" s="14"/>
      <c r="I171" s="14"/>
      <c r="J171" s="14"/>
      <c r="K171" s="14"/>
      <c r="L171" s="14"/>
    </row>
    <row r="172" spans="2:44" x14ac:dyDescent="0.25">
      <c r="B172" s="550" t="str">
        <f>"Amounts on Line "&amp;A35&amp;" must match amounts on 6-PlantStudy for Distribution Plant - ISO."</f>
        <v>Amounts on Line 16 must match amounts on 6-PlantStudy for Distribution Plant - ISO.</v>
      </c>
      <c r="C172" s="14"/>
      <c r="D172" s="14"/>
      <c r="E172" s="14"/>
      <c r="F172" s="14"/>
      <c r="G172" s="14"/>
      <c r="H172" s="14"/>
      <c r="I172" s="14"/>
      <c r="J172" s="14"/>
      <c r="K172" s="14"/>
      <c r="L172" s="14"/>
    </row>
    <row r="173" spans="2:44" x14ac:dyDescent="0.25">
      <c r="B173" s="553" t="s">
        <v>2565</v>
      </c>
      <c r="C173" s="14"/>
      <c r="D173" s="14"/>
      <c r="E173" s="14"/>
      <c r="F173" s="14"/>
      <c r="G173" s="14"/>
      <c r="H173" s="14"/>
      <c r="I173" s="14"/>
      <c r="J173" s="14"/>
      <c r="K173" s="14"/>
      <c r="L173" s="14"/>
    </row>
    <row r="174" spans="2:44" x14ac:dyDescent="0.25">
      <c r="B174" s="14" t="str">
        <f>"4) Column 12 matches 'Activity for Incentive Projects' on 14-IncentivePlant, Lines "&amp;'14-IncentivePlant'!A94&amp;" to "&amp;'14-IncentivePlant'!A107&amp;".  Other columns from SCE internal accounting records."</f>
        <v>4) Column 12 matches 'Activity for Incentive Projects' on 14-IncentivePlant, Lines 39 to 52.  Other columns from SCE internal accounting records.</v>
      </c>
      <c r="C174" s="14"/>
      <c r="D174" s="14"/>
      <c r="E174" s="14"/>
      <c r="F174" s="14"/>
      <c r="G174" s="14"/>
      <c r="H174" s="14"/>
      <c r="I174" s="14"/>
      <c r="J174" s="14"/>
      <c r="K174" s="14"/>
      <c r="L174" s="14"/>
    </row>
    <row r="175" spans="2:44" x14ac:dyDescent="0.25">
      <c r="B175" s="553" t="str">
        <f>"5) Amount in matrix on lines "&amp;A74&amp;" to "&amp;A85&amp;" minus amount in matrix on lines "&amp;A94&amp;" to "&amp;A105&amp;""</f>
        <v>5) Amount in matrix on lines 28 to 39 minus amount in matrix on lines 41 to 52</v>
      </c>
      <c r="C175" s="14"/>
      <c r="D175" s="14"/>
      <c r="E175" s="14"/>
      <c r="F175" s="14"/>
      <c r="G175" s="14"/>
      <c r="H175" s="14"/>
      <c r="I175" s="14"/>
      <c r="J175" s="14"/>
      <c r="K175" s="14"/>
      <c r="L175" s="14"/>
    </row>
    <row r="176" spans="2:44" x14ac:dyDescent="0.25">
      <c r="B176" s="14" t="str">
        <f>"6) Amount on Line "&amp;A23&amp;" less amount on Line "&amp;A11&amp;" for each account."</f>
        <v>6) Amount on Line 13 less amount on Line 1 for each account.</v>
      </c>
      <c r="C176" s="14"/>
      <c r="D176" s="14"/>
      <c r="E176" s="14"/>
      <c r="F176" s="14"/>
      <c r="G176" s="14"/>
      <c r="H176" s="14"/>
      <c r="I176" s="14"/>
      <c r="J176" s="14"/>
      <c r="K176" s="14"/>
      <c r="L176" s="14"/>
    </row>
    <row r="177" spans="2:12" x14ac:dyDescent="0.25">
      <c r="B177" s="14" t="str">
        <f>"7) Line "&amp;A106&amp;""</f>
        <v>7) Line 53</v>
      </c>
      <c r="C177" s="14"/>
      <c r="D177" s="14"/>
      <c r="E177" s="14"/>
      <c r="F177" s="14"/>
      <c r="G177" s="14"/>
      <c r="H177" s="14"/>
      <c r="I177" s="14"/>
      <c r="J177" s="14"/>
      <c r="K177" s="14"/>
      <c r="L177" s="14"/>
    </row>
    <row r="178" spans="2:12" x14ac:dyDescent="0.25">
      <c r="B178" s="14" t="str">
        <f>"8) Amount on Line "&amp;A131&amp;" less amount on Line "&amp;A135&amp;" for each account."</f>
        <v>8) Amount on Line 67 less amount on Line 68 for each account.</v>
      </c>
      <c r="C178" s="14"/>
      <c r="D178" s="14"/>
      <c r="E178" s="14"/>
      <c r="F178" s="14"/>
      <c r="G178" s="14"/>
      <c r="H178" s="14"/>
      <c r="I178" s="14"/>
      <c r="J178" s="14"/>
      <c r="K178" s="14"/>
      <c r="L178" s="14"/>
    </row>
    <row r="179" spans="2:12" x14ac:dyDescent="0.25">
      <c r="B179" s="553" t="str">
        <f>"9) For each column (FERC Account) divide Line "&amp;A139&amp;" by Line "&amp;A126&amp;" to arrive at a ratio for each column."</f>
        <v>9) For each column (FERC Account) divide Line 69 by Line 66 to arrive at a ratio for each column.</v>
      </c>
      <c r="C179" s="14"/>
      <c r="D179" s="14"/>
      <c r="E179" s="14"/>
      <c r="F179" s="14"/>
      <c r="G179" s="14"/>
      <c r="H179" s="14"/>
      <c r="I179" s="14"/>
      <c r="J179" s="14"/>
      <c r="K179" s="14"/>
      <c r="L179" s="14"/>
    </row>
    <row r="180" spans="2:12" x14ac:dyDescent="0.25">
      <c r="B180" s="553" t="str">
        <f>"Apply the ratio of each column to each monthly value from Lines "&amp;A114&amp;"-"&amp;A125&amp;" to calculate the values for"</f>
        <v>Apply the ratio of each column to each monthly value from Lines 54-65 to calculate the values for</v>
      </c>
      <c r="C180" s="14"/>
      <c r="D180" s="14"/>
      <c r="E180" s="14"/>
      <c r="F180" s="14"/>
      <c r="G180" s="14"/>
      <c r="H180" s="14"/>
      <c r="I180" s="14"/>
      <c r="J180" s="14"/>
      <c r="K180" s="14"/>
      <c r="L180" s="14"/>
    </row>
    <row r="181" spans="2:12" x14ac:dyDescent="0.25">
      <c r="B181" s="553" t="str">
        <f>"the corresponsing months listed in Lines "&amp;A146&amp;"-"&amp;A157&amp;"."</f>
        <v>the corresponsing months listed in Lines 70-81.</v>
      </c>
      <c r="C181" s="14"/>
      <c r="D181" s="14"/>
      <c r="E181" s="14"/>
      <c r="F181" s="14"/>
      <c r="G181" s="14"/>
      <c r="H181" s="14"/>
      <c r="I181" s="14"/>
      <c r="J181" s="14"/>
      <c r="K181" s="14"/>
      <c r="L181" s="14"/>
    </row>
    <row r="182" spans="2:12" x14ac:dyDescent="0.25">
      <c r="B182" s="14"/>
      <c r="C182" s="14"/>
      <c r="D182" s="14"/>
      <c r="E182" s="14"/>
      <c r="F182" s="14"/>
      <c r="G182" s="14"/>
      <c r="H182" s="14"/>
      <c r="I182" s="14"/>
      <c r="J182" s="14"/>
      <c r="K182" s="14"/>
      <c r="L182" s="14"/>
    </row>
  </sheetData>
  <phoneticPr fontId="12" type="noConversion"/>
  <pageMargins left="0.75" right="0.75" top="1" bottom="1" header="0.5" footer="0.5"/>
  <pageSetup scale="70" orientation="landscape" cellComments="asDisplayed" r:id="rId1"/>
  <headerFooter alignWithMargins="0">
    <oddHeader>&amp;CSchedule 6
Plant In Service
&amp;"Arial,Bold"Attachment 5</oddHeader>
    <oddFooter>&amp;R&amp;A</oddFooter>
  </headerFooter>
  <rowBreaks count="3" manualBreakCount="3">
    <brk id="37" max="16383" man="1"/>
    <brk id="87" max="16383" man="1"/>
    <brk id="127"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topLeftCell="A36" zoomScale="90" zoomScaleNormal="90" workbookViewId="0">
      <selection activeCell="A53" sqref="A53"/>
    </sheetView>
  </sheetViews>
  <sheetFormatPr defaultRowHeight="13.8" x14ac:dyDescent="0.3"/>
  <cols>
    <col min="1" max="1" width="4.6640625" customWidth="1"/>
    <col min="2" max="2" width="25.6640625" style="137" customWidth="1"/>
    <col min="3" max="5" width="15.6640625" style="137" customWidth="1"/>
    <col min="6" max="6" width="12.33203125" style="137" customWidth="1"/>
    <col min="8" max="8" width="15.5546875" customWidth="1"/>
  </cols>
  <sheetData>
    <row r="1" spans="1:8" ht="13.2" x14ac:dyDescent="0.25">
      <c r="A1" s="1" t="s">
        <v>477</v>
      </c>
      <c r="B1" s="187"/>
      <c r="C1" s="187"/>
      <c r="D1" s="187"/>
      <c r="E1" s="188" t="s">
        <v>497</v>
      </c>
      <c r="F1" s="203"/>
      <c r="G1" s="12"/>
    </row>
    <row r="2" spans="1:8" x14ac:dyDescent="0.3">
      <c r="B2" s="187"/>
      <c r="C2" s="187"/>
      <c r="G2" s="12"/>
    </row>
    <row r="3" spans="1:8" ht="13.2" x14ac:dyDescent="0.25">
      <c r="A3" s="1173" t="s">
        <v>2001</v>
      </c>
      <c r="B3" s="1174"/>
      <c r="C3" s="1174"/>
      <c r="D3" s="1174"/>
      <c r="E3" s="1175" t="s">
        <v>1996</v>
      </c>
      <c r="F3" s="188"/>
      <c r="G3" s="12"/>
    </row>
    <row r="4" spans="1:8" ht="13.2" x14ac:dyDescent="0.25">
      <c r="A4" s="185"/>
      <c r="B4" s="187"/>
      <c r="C4" s="187"/>
      <c r="D4" s="187"/>
      <c r="E4" s="187"/>
      <c r="F4" s="187"/>
      <c r="G4" s="12"/>
    </row>
    <row r="5" spans="1:8" x14ac:dyDescent="0.3">
      <c r="B5" s="185"/>
      <c r="C5" s="92" t="s">
        <v>394</v>
      </c>
      <c r="E5" s="92" t="s">
        <v>378</v>
      </c>
      <c r="F5" s="92" t="s">
        <v>379</v>
      </c>
      <c r="G5" s="12"/>
    </row>
    <row r="6" spans="1:8" x14ac:dyDescent="0.3">
      <c r="B6" s="185"/>
      <c r="C6" s="92"/>
      <c r="E6" s="92"/>
      <c r="F6" s="92"/>
      <c r="G6" s="12"/>
    </row>
    <row r="7" spans="1:8" ht="13.2" x14ac:dyDescent="0.25">
      <c r="A7" s="53" t="s">
        <v>360</v>
      </c>
      <c r="B7" s="185"/>
      <c r="C7" s="186" t="s">
        <v>215</v>
      </c>
      <c r="D7" s="186"/>
      <c r="E7" s="186" t="s">
        <v>1257</v>
      </c>
      <c r="F7" s="186" t="s">
        <v>479</v>
      </c>
      <c r="G7" s="12"/>
    </row>
    <row r="8" spans="1:8" ht="13.2" x14ac:dyDescent="0.25">
      <c r="A8" s="2">
        <v>1</v>
      </c>
      <c r="B8" s="178" t="s">
        <v>110</v>
      </c>
      <c r="C8" s="178" t="s">
        <v>414</v>
      </c>
      <c r="D8" s="178" t="s">
        <v>483</v>
      </c>
      <c r="E8" s="178" t="s">
        <v>1258</v>
      </c>
      <c r="F8" s="178" t="s">
        <v>480</v>
      </c>
      <c r="G8" s="189" t="s">
        <v>187</v>
      </c>
    </row>
    <row r="9" spans="1:8" ht="12.75" customHeight="1" x14ac:dyDescent="0.25">
      <c r="A9" s="2">
        <f>A8+1</f>
        <v>2</v>
      </c>
      <c r="B9" s="179" t="s">
        <v>473</v>
      </c>
      <c r="C9" s="190"/>
      <c r="D9" s="190"/>
      <c r="E9" s="190"/>
      <c r="F9" s="191"/>
      <c r="G9" s="12"/>
    </row>
    <row r="10" spans="1:8" ht="13.2" x14ac:dyDescent="0.25">
      <c r="A10" s="2">
        <f t="shared" ref="A10:A28" si="0">A9+1</f>
        <v>3</v>
      </c>
      <c r="B10" s="180">
        <v>352</v>
      </c>
      <c r="C10" s="192"/>
      <c r="D10" s="172" t="s">
        <v>484</v>
      </c>
      <c r="E10" s="590"/>
      <c r="F10" s="174" t="e">
        <f>E10/C10</f>
        <v>#DIV/0!</v>
      </c>
      <c r="G10" s="12"/>
      <c r="H10" s="149"/>
    </row>
    <row r="11" spans="1:8" ht="13.2" x14ac:dyDescent="0.25">
      <c r="A11" s="2">
        <f t="shared" si="0"/>
        <v>4</v>
      </c>
      <c r="B11" s="180">
        <v>353</v>
      </c>
      <c r="C11" s="127"/>
      <c r="D11" s="172" t="s">
        <v>485</v>
      </c>
      <c r="E11" s="127"/>
      <c r="F11" s="175" t="e">
        <f>E11/C11</f>
        <v>#DIV/0!</v>
      </c>
      <c r="G11" s="12"/>
    </row>
    <row r="12" spans="1:8" ht="13.2" x14ac:dyDescent="0.25">
      <c r="A12" s="2">
        <f t="shared" si="0"/>
        <v>5</v>
      </c>
      <c r="B12" s="182" t="s">
        <v>468</v>
      </c>
      <c r="C12" s="170">
        <f>SUM(C10:C11)</f>
        <v>0</v>
      </c>
      <c r="D12" s="13" t="str">
        <f>"L "&amp;A10&amp;" + L "&amp;A11&amp;""</f>
        <v>L 3 + L 4</v>
      </c>
      <c r="E12" s="170">
        <f>SUM(E10:E11)</f>
        <v>0</v>
      </c>
      <c r="F12" s="174" t="e">
        <f>E12/C12</f>
        <v>#DIV/0!</v>
      </c>
      <c r="G12" s="12"/>
    </row>
    <row r="13" spans="1:8" ht="13.2" x14ac:dyDescent="0.25">
      <c r="A13" s="2">
        <f t="shared" si="0"/>
        <v>6</v>
      </c>
      <c r="B13" s="193"/>
      <c r="C13" s="194"/>
      <c r="D13" s="194"/>
      <c r="E13" s="194"/>
      <c r="F13" s="174"/>
      <c r="G13" s="12"/>
    </row>
    <row r="14" spans="1:8" ht="13.2" x14ac:dyDescent="0.25">
      <c r="A14" s="2">
        <f t="shared" si="0"/>
        <v>7</v>
      </c>
      <c r="B14" s="181" t="s">
        <v>469</v>
      </c>
      <c r="C14" s="195"/>
      <c r="D14" s="195"/>
      <c r="E14" s="195"/>
      <c r="F14" s="196"/>
      <c r="G14" s="12"/>
    </row>
    <row r="15" spans="1:8" ht="13.2" x14ac:dyDescent="0.25">
      <c r="A15" s="2">
        <f t="shared" si="0"/>
        <v>8</v>
      </c>
      <c r="B15" s="180">
        <v>350</v>
      </c>
      <c r="C15" s="169"/>
      <c r="D15" s="172" t="s">
        <v>486</v>
      </c>
      <c r="E15" s="878"/>
      <c r="F15" s="174" t="e">
        <f>E15/C15</f>
        <v>#DIV/0!</v>
      </c>
      <c r="G15" s="12"/>
    </row>
    <row r="16" spans="1:8" ht="13.2" x14ac:dyDescent="0.25">
      <c r="A16" s="2">
        <f t="shared" si="0"/>
        <v>9</v>
      </c>
      <c r="B16" s="180"/>
      <c r="C16" s="170"/>
      <c r="D16" s="170"/>
      <c r="E16" s="170"/>
      <c r="F16" s="174"/>
      <c r="G16" s="12"/>
    </row>
    <row r="17" spans="1:7" ht="13.2" x14ac:dyDescent="0.25">
      <c r="A17" s="2">
        <f t="shared" si="0"/>
        <v>10</v>
      </c>
      <c r="B17" s="181" t="s">
        <v>470</v>
      </c>
      <c r="C17" s="170">
        <f>C12+C15</f>
        <v>0</v>
      </c>
      <c r="D17" s="13" t="str">
        <f>"L "&amp;A12&amp;" + L "&amp;A15&amp;""</f>
        <v>L 5 + L 8</v>
      </c>
      <c r="E17" s="170">
        <f>E12+E15</f>
        <v>0</v>
      </c>
      <c r="F17" s="174" t="e">
        <f>E17/C17</f>
        <v>#DIV/0!</v>
      </c>
      <c r="G17" s="12"/>
    </row>
    <row r="18" spans="1:7" ht="13.2" x14ac:dyDescent="0.25">
      <c r="A18" s="2">
        <f t="shared" si="0"/>
        <v>11</v>
      </c>
      <c r="B18" s="193"/>
      <c r="C18" s="194"/>
      <c r="D18" s="194"/>
      <c r="E18" s="194"/>
      <c r="F18" s="174"/>
      <c r="G18" s="12"/>
    </row>
    <row r="19" spans="1:7" ht="13.2" x14ac:dyDescent="0.25">
      <c r="A19" s="2">
        <f t="shared" si="0"/>
        <v>12</v>
      </c>
      <c r="B19" s="181" t="s">
        <v>471</v>
      </c>
      <c r="C19" s="194"/>
      <c r="D19" s="194"/>
      <c r="E19" s="194"/>
      <c r="F19" s="174"/>
      <c r="G19" s="12"/>
    </row>
    <row r="20" spans="1:7" ht="13.2" x14ac:dyDescent="0.25">
      <c r="A20" s="2">
        <f t="shared" si="0"/>
        <v>13</v>
      </c>
      <c r="B20" s="180">
        <v>354</v>
      </c>
      <c r="C20" s="197"/>
      <c r="D20" s="172" t="s">
        <v>487</v>
      </c>
      <c r="E20" s="887"/>
      <c r="F20" s="198" t="e">
        <f>E20/C20</f>
        <v>#DIV/0!</v>
      </c>
      <c r="G20" s="12"/>
    </row>
    <row r="21" spans="1:7" ht="13.2" x14ac:dyDescent="0.25">
      <c r="A21" s="2">
        <f t="shared" si="0"/>
        <v>14</v>
      </c>
      <c r="B21" s="180">
        <v>355</v>
      </c>
      <c r="C21" s="197"/>
      <c r="D21" s="172" t="s">
        <v>488</v>
      </c>
      <c r="E21" s="887"/>
      <c r="F21" s="198" t="e">
        <f t="shared" ref="F21:F26" si="1">E21/C21</f>
        <v>#DIV/0!</v>
      </c>
      <c r="G21" s="12"/>
    </row>
    <row r="22" spans="1:7" ht="13.2" x14ac:dyDescent="0.25">
      <c r="A22" s="2">
        <f t="shared" si="0"/>
        <v>15</v>
      </c>
      <c r="B22" s="180">
        <v>356</v>
      </c>
      <c r="C22" s="197"/>
      <c r="D22" s="172" t="s">
        <v>489</v>
      </c>
      <c r="E22" s="887"/>
      <c r="F22" s="198" t="e">
        <f t="shared" si="1"/>
        <v>#DIV/0!</v>
      </c>
      <c r="G22" s="12"/>
    </row>
    <row r="23" spans="1:7" ht="13.2" x14ac:dyDescent="0.25">
      <c r="A23" s="2">
        <f t="shared" si="0"/>
        <v>16</v>
      </c>
      <c r="B23" s="180">
        <v>357</v>
      </c>
      <c r="C23" s="197"/>
      <c r="D23" s="172" t="s">
        <v>490</v>
      </c>
      <c r="E23" s="887"/>
      <c r="F23" s="198" t="e">
        <f t="shared" si="1"/>
        <v>#DIV/0!</v>
      </c>
      <c r="G23" s="12"/>
    </row>
    <row r="24" spans="1:7" ht="13.2" x14ac:dyDescent="0.25">
      <c r="A24" s="2">
        <f t="shared" si="0"/>
        <v>17</v>
      </c>
      <c r="B24" s="180">
        <v>358</v>
      </c>
      <c r="C24" s="197"/>
      <c r="D24" s="172" t="s">
        <v>491</v>
      </c>
      <c r="E24" s="887"/>
      <c r="F24" s="198" t="e">
        <f t="shared" si="1"/>
        <v>#DIV/0!</v>
      </c>
      <c r="G24" s="12"/>
    </row>
    <row r="25" spans="1:7" ht="13.2" x14ac:dyDescent="0.25">
      <c r="A25" s="2">
        <f t="shared" si="0"/>
        <v>18</v>
      </c>
      <c r="B25" s="180">
        <v>359</v>
      </c>
      <c r="C25" s="199"/>
      <c r="D25" s="172" t="s">
        <v>492</v>
      </c>
      <c r="E25" s="199"/>
      <c r="F25" s="200" t="e">
        <f t="shared" si="1"/>
        <v>#DIV/0!</v>
      </c>
      <c r="G25" s="12"/>
    </row>
    <row r="26" spans="1:7" ht="13.2" x14ac:dyDescent="0.25">
      <c r="A26" s="2">
        <f t="shared" si="0"/>
        <v>19</v>
      </c>
      <c r="B26" s="182" t="s">
        <v>472</v>
      </c>
      <c r="C26" s="170">
        <f>SUM(C20:C25)</f>
        <v>0</v>
      </c>
      <c r="D26" s="173" t="str">
        <f>"Sum L"&amp;A20&amp;" to L"&amp;A25&amp;""</f>
        <v>Sum L13 to L18</v>
      </c>
      <c r="E26" s="170">
        <f>SUM(E20:E25)</f>
        <v>0</v>
      </c>
      <c r="F26" s="174" t="e">
        <f t="shared" si="1"/>
        <v>#DIV/0!</v>
      </c>
      <c r="G26" s="12"/>
    </row>
    <row r="27" spans="1:7" ht="13.2" x14ac:dyDescent="0.25">
      <c r="A27" s="2">
        <f t="shared" si="0"/>
        <v>20</v>
      </c>
      <c r="B27" s="201"/>
      <c r="C27" s="170"/>
      <c r="D27" s="170"/>
      <c r="E27" s="170"/>
      <c r="F27" s="174"/>
      <c r="G27" s="12"/>
    </row>
    <row r="28" spans="1:7" ht="13.2" x14ac:dyDescent="0.25">
      <c r="A28" s="2">
        <f t="shared" si="0"/>
        <v>21</v>
      </c>
      <c r="B28" s="202" t="s">
        <v>482</v>
      </c>
      <c r="C28" s="176">
        <f>C17+C26</f>
        <v>0</v>
      </c>
      <c r="D28" s="13" t="str">
        <f>"L "&amp;A17&amp;" + L "&amp;A26&amp;""</f>
        <v>L 10 + L 19</v>
      </c>
      <c r="E28" s="176">
        <f>E17+E26</f>
        <v>0</v>
      </c>
      <c r="F28" s="177" t="e">
        <f>E28/C28</f>
        <v>#DIV/0!</v>
      </c>
      <c r="G28" s="12" t="s">
        <v>395</v>
      </c>
    </row>
    <row r="29" spans="1:7" x14ac:dyDescent="0.3">
      <c r="A29" s="2"/>
      <c r="B29" s="142"/>
      <c r="C29" s="138"/>
      <c r="D29" s="138"/>
      <c r="E29" s="138"/>
      <c r="F29" s="141"/>
    </row>
    <row r="30" spans="1:7" x14ac:dyDescent="0.3">
      <c r="A30" s="2"/>
      <c r="B30" s="139"/>
      <c r="C30" s="140"/>
      <c r="D30" s="140"/>
      <c r="E30" s="707"/>
      <c r="F30" s="140"/>
    </row>
    <row r="31" spans="1:7" x14ac:dyDescent="0.3">
      <c r="A31" s="185" t="s">
        <v>481</v>
      </c>
      <c r="C31" s="140"/>
      <c r="D31" s="140"/>
      <c r="E31" s="140"/>
      <c r="F31" s="140"/>
    </row>
    <row r="32" spans="1:7" x14ac:dyDescent="0.3">
      <c r="A32" s="2"/>
      <c r="B32" s="145"/>
      <c r="C32" s="140"/>
      <c r="D32" s="140"/>
      <c r="E32" s="140"/>
      <c r="F32" s="140"/>
    </row>
    <row r="33" spans="1:9" ht="13.2" x14ac:dyDescent="0.25">
      <c r="A33" s="53" t="s">
        <v>360</v>
      </c>
      <c r="B33" s="185"/>
      <c r="C33" s="186" t="s">
        <v>215</v>
      </c>
      <c r="D33" s="186"/>
      <c r="E33" s="186" t="s">
        <v>336</v>
      </c>
      <c r="F33" s="186" t="s">
        <v>479</v>
      </c>
    </row>
    <row r="34" spans="1:9" ht="13.2" x14ac:dyDescent="0.25">
      <c r="A34" s="2">
        <f>A28+1</f>
        <v>22</v>
      </c>
      <c r="B34" s="178" t="s">
        <v>110</v>
      </c>
      <c r="C34" s="178" t="s">
        <v>414</v>
      </c>
      <c r="D34" s="178" t="s">
        <v>483</v>
      </c>
      <c r="E34" s="178" t="s">
        <v>1258</v>
      </c>
      <c r="F34" s="178" t="s">
        <v>480</v>
      </c>
    </row>
    <row r="35" spans="1:9" x14ac:dyDescent="0.3">
      <c r="A35" s="2">
        <f t="shared" ref="A35:A42" si="2">A34+1</f>
        <v>23</v>
      </c>
      <c r="B35" s="179" t="s">
        <v>474</v>
      </c>
      <c r="C35" s="138"/>
      <c r="D35" s="138"/>
      <c r="E35" s="138"/>
      <c r="F35" s="141"/>
    </row>
    <row r="36" spans="1:9" ht="13.2" x14ac:dyDescent="0.25">
      <c r="A36" s="2">
        <f t="shared" si="2"/>
        <v>24</v>
      </c>
      <c r="B36" s="180">
        <v>360</v>
      </c>
      <c r="C36" s="169"/>
      <c r="D36" s="172" t="s">
        <v>493</v>
      </c>
      <c r="E36" s="169"/>
      <c r="F36" s="174" t="e">
        <f>E36/C36</f>
        <v>#DIV/0!</v>
      </c>
    </row>
    <row r="37" spans="1:9" ht="13.2" x14ac:dyDescent="0.25">
      <c r="A37" s="2">
        <f t="shared" si="2"/>
        <v>25</v>
      </c>
      <c r="B37" s="181" t="s">
        <v>475</v>
      </c>
      <c r="C37" s="170"/>
      <c r="D37" s="170"/>
      <c r="E37" s="170"/>
      <c r="F37" s="174"/>
    </row>
    <row r="38" spans="1:9" ht="13.2" x14ac:dyDescent="0.25">
      <c r="A38" s="2">
        <f t="shared" si="2"/>
        <v>26</v>
      </c>
      <c r="B38" s="180">
        <v>361</v>
      </c>
      <c r="C38" s="169"/>
      <c r="D38" s="172" t="s">
        <v>494</v>
      </c>
      <c r="E38" s="169"/>
      <c r="F38" s="174" t="e">
        <f>E38/C38</f>
        <v>#DIV/0!</v>
      </c>
    </row>
    <row r="39" spans="1:9" ht="13.2" x14ac:dyDescent="0.25">
      <c r="A39" s="2">
        <f t="shared" si="2"/>
        <v>27</v>
      </c>
      <c r="B39" s="180">
        <v>362</v>
      </c>
      <c r="C39" s="171"/>
      <c r="D39" s="172" t="s">
        <v>495</v>
      </c>
      <c r="E39" s="171"/>
      <c r="F39" s="175" t="e">
        <f>E39/C39</f>
        <v>#DIV/0!</v>
      </c>
    </row>
    <row r="40" spans="1:9" ht="13.2" x14ac:dyDescent="0.25">
      <c r="A40" s="2">
        <f t="shared" si="2"/>
        <v>28</v>
      </c>
      <c r="B40" s="182" t="s">
        <v>476</v>
      </c>
      <c r="C40" s="170">
        <f>SUM(C38:C39)</f>
        <v>0</v>
      </c>
      <c r="D40" s="13" t="str">
        <f>"L "&amp;A38&amp;" + L "&amp;A39&amp;""</f>
        <v>L 26 + L 27</v>
      </c>
      <c r="E40" s="170">
        <f>SUM(E38:E39)</f>
        <v>0</v>
      </c>
      <c r="F40" s="174" t="e">
        <f>E40/C40</f>
        <v>#DIV/0!</v>
      </c>
    </row>
    <row r="41" spans="1:9" x14ac:dyDescent="0.3">
      <c r="A41" s="2">
        <f t="shared" si="2"/>
        <v>29</v>
      </c>
      <c r="B41" s="183"/>
      <c r="C41" s="150"/>
      <c r="D41" s="170"/>
      <c r="E41" s="170"/>
      <c r="F41" s="174"/>
    </row>
    <row r="42" spans="1:9" ht="13.2" x14ac:dyDescent="0.25">
      <c r="A42" s="2">
        <f t="shared" si="2"/>
        <v>30</v>
      </c>
      <c r="B42" s="184" t="s">
        <v>1370</v>
      </c>
      <c r="C42" s="176">
        <f>C36+C40</f>
        <v>0</v>
      </c>
      <c r="D42" s="13" t="str">
        <f>"L "&amp;A36&amp;" + L "&amp;A40&amp;""</f>
        <v>L 24 + L 28</v>
      </c>
      <c r="E42" s="176">
        <f>E36+E40</f>
        <v>0</v>
      </c>
      <c r="F42" s="177" t="e">
        <f>E42/C42</f>
        <v>#DIV/0!</v>
      </c>
      <c r="G42" s="12" t="s">
        <v>396</v>
      </c>
      <c r="H42" s="12"/>
    </row>
    <row r="43" spans="1:9" x14ac:dyDescent="0.25">
      <c r="A43" s="2"/>
      <c r="B43" s="146"/>
      <c r="C43" s="147"/>
      <c r="D43" s="147"/>
      <c r="E43" s="147"/>
      <c r="F43" s="148"/>
      <c r="H43" s="151"/>
      <c r="I43" s="12"/>
    </row>
    <row r="44" spans="1:9" x14ac:dyDescent="0.3">
      <c r="A44" s="63"/>
      <c r="E44" s="143"/>
    </row>
    <row r="45" spans="1:9" x14ac:dyDescent="0.3">
      <c r="A45" s="91" t="s">
        <v>256</v>
      </c>
    </row>
    <row r="46" spans="1:9" x14ac:dyDescent="0.3">
      <c r="A46" s="13" t="s">
        <v>496</v>
      </c>
      <c r="E46" s="143"/>
    </row>
    <row r="47" spans="1:9" x14ac:dyDescent="0.3">
      <c r="A47" s="13" t="s">
        <v>501</v>
      </c>
    </row>
    <row r="48" spans="1:9" x14ac:dyDescent="0.3">
      <c r="A48" s="13" t="s">
        <v>498</v>
      </c>
      <c r="C48" s="143"/>
      <c r="D48" s="143"/>
    </row>
    <row r="49" spans="1:4" x14ac:dyDescent="0.3">
      <c r="A49" s="13" t="s">
        <v>500</v>
      </c>
      <c r="C49" s="144"/>
      <c r="D49" s="144"/>
    </row>
    <row r="50" spans="1:4" x14ac:dyDescent="0.3">
      <c r="A50" s="63"/>
      <c r="C50" s="143"/>
      <c r="D50" s="143"/>
    </row>
    <row r="51" spans="1:4" x14ac:dyDescent="0.3">
      <c r="A51" s="91" t="s">
        <v>420</v>
      </c>
    </row>
    <row r="52" spans="1:4" x14ac:dyDescent="0.3">
      <c r="A52" s="13" t="s">
        <v>499</v>
      </c>
    </row>
    <row r="53" spans="1:4" x14ac:dyDescent="0.3">
      <c r="A53" s="13" t="s">
        <v>1620</v>
      </c>
    </row>
    <row r="54" spans="1:4" x14ac:dyDescent="0.3">
      <c r="A54" s="555" t="s">
        <v>2531</v>
      </c>
    </row>
  </sheetData>
  <pageMargins left="0.7" right="0.7" top="0.75" bottom="0.75" header="0.3" footer="0.3"/>
  <pageSetup scale="90" orientation="portrait" cellComments="asDisplayed" r:id="rId1"/>
  <headerFooter>
    <oddHeader>&amp;CSchedule 7
Transmission Plant Study Summary
&amp;"Arial,Bold"Attachment 5</oddHeader>
    <oddFooter>&amp;R7-PlantStudy</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79"/>
  <sheetViews>
    <sheetView topLeftCell="A127" zoomScale="90" zoomScaleNormal="90" workbookViewId="0"/>
  </sheetViews>
  <sheetFormatPr defaultRowHeight="13.2" x14ac:dyDescent="0.25"/>
  <cols>
    <col min="1" max="1" width="4.6640625" customWidth="1"/>
    <col min="2" max="2" width="7.6640625" customWidth="1"/>
    <col min="3" max="3" width="10.6640625" customWidth="1"/>
    <col min="4" max="4" width="13.6640625" customWidth="1"/>
    <col min="5" max="6" width="14.6640625" customWidth="1"/>
    <col min="7" max="10" width="13.6640625" customWidth="1"/>
    <col min="11" max="12" width="11.6640625" customWidth="1"/>
    <col min="13" max="13" width="13.6640625" customWidth="1"/>
    <col min="14" max="14" width="14.6640625" customWidth="1"/>
    <col min="15" max="15" width="13.6640625" style="14" customWidth="1"/>
    <col min="16" max="23" width="9.109375" style="14"/>
  </cols>
  <sheetData>
    <row r="1" spans="1:18" x14ac:dyDescent="0.25">
      <c r="A1" s="1" t="s">
        <v>181</v>
      </c>
      <c r="B1" s="1"/>
      <c r="C1" s="251"/>
      <c r="D1" s="251"/>
      <c r="E1" s="251"/>
      <c r="F1" s="251"/>
      <c r="G1" s="251"/>
      <c r="H1" s="251"/>
      <c r="I1" s="251"/>
      <c r="J1" s="607" t="s">
        <v>497</v>
      </c>
      <c r="K1" s="203"/>
      <c r="L1" s="251"/>
      <c r="M1" s="251"/>
      <c r="N1" s="251"/>
      <c r="O1" s="261"/>
      <c r="P1" s="261"/>
      <c r="Q1" s="261"/>
      <c r="R1" s="261"/>
    </row>
    <row r="2" spans="1:18" x14ac:dyDescent="0.25">
      <c r="A2" s="251"/>
      <c r="B2" s="251"/>
      <c r="C2" s="251"/>
      <c r="D2" s="251"/>
      <c r="E2" s="251"/>
      <c r="F2" s="251"/>
      <c r="G2" s="251"/>
      <c r="H2" s="251"/>
      <c r="I2" s="251"/>
      <c r="L2" s="251"/>
      <c r="M2" s="251"/>
      <c r="N2" s="251"/>
      <c r="O2" s="261"/>
      <c r="P2" s="261"/>
      <c r="Q2" s="261"/>
      <c r="R2" s="261"/>
    </row>
    <row r="3" spans="1:18" x14ac:dyDescent="0.25">
      <c r="A3" s="251"/>
      <c r="B3" s="1" t="s">
        <v>358</v>
      </c>
      <c r="C3" s="251"/>
      <c r="D3" s="251"/>
      <c r="E3" s="251"/>
      <c r="F3" s="251"/>
      <c r="G3" s="1171" t="s">
        <v>1996</v>
      </c>
      <c r="H3" s="450"/>
      <c r="I3" s="251"/>
      <c r="J3" s="251"/>
      <c r="K3" s="251"/>
      <c r="L3" s="251"/>
      <c r="M3" s="251"/>
      <c r="N3" s="251"/>
      <c r="O3" s="261"/>
      <c r="P3" s="261"/>
      <c r="Q3" s="261"/>
      <c r="R3" s="261"/>
    </row>
    <row r="4" spans="1:18" x14ac:dyDescent="0.25">
      <c r="A4" s="251"/>
      <c r="B4" s="251"/>
      <c r="C4" s="251"/>
      <c r="D4" s="251"/>
      <c r="E4" s="251"/>
      <c r="F4" s="251"/>
      <c r="G4" s="251"/>
      <c r="H4" s="251"/>
      <c r="I4" s="251"/>
      <c r="J4" s="251"/>
      <c r="K4" s="251"/>
      <c r="L4" s="251"/>
      <c r="M4" s="251"/>
      <c r="N4" s="251"/>
      <c r="O4" s="261"/>
      <c r="P4" s="261"/>
      <c r="Q4" s="261"/>
      <c r="R4" s="261"/>
    </row>
    <row r="5" spans="1:18" x14ac:dyDescent="0.25">
      <c r="A5" s="251"/>
      <c r="B5" s="251"/>
      <c r="C5" s="551" t="s">
        <v>1752</v>
      </c>
      <c r="D5" s="251"/>
      <c r="E5" s="251"/>
      <c r="F5" s="251"/>
      <c r="G5" s="251"/>
      <c r="H5" s="251"/>
      <c r="I5" s="251"/>
      <c r="J5" s="551"/>
      <c r="K5" s="251"/>
      <c r="L5" s="251"/>
      <c r="M5" s="251"/>
      <c r="N5" s="251"/>
      <c r="O5" s="261"/>
      <c r="P5" s="261"/>
      <c r="Q5" s="261"/>
      <c r="R5" s="261"/>
    </row>
    <row r="6" spans="1:18" x14ac:dyDescent="0.25">
      <c r="A6" s="251"/>
      <c r="B6" s="251"/>
      <c r="C6" s="251"/>
      <c r="D6" s="251"/>
      <c r="E6" s="251"/>
      <c r="F6" s="251"/>
      <c r="G6" s="251"/>
      <c r="H6" s="251"/>
      <c r="I6" s="251"/>
      <c r="J6" s="251"/>
      <c r="K6" s="251"/>
      <c r="L6" s="251"/>
      <c r="M6" s="251"/>
      <c r="N6" s="251"/>
      <c r="O6" s="261"/>
      <c r="P6" s="261"/>
      <c r="Q6" s="261"/>
      <c r="R6" s="261"/>
    </row>
    <row r="7" spans="1:18" x14ac:dyDescent="0.25">
      <c r="A7" s="251"/>
      <c r="B7" s="251"/>
      <c r="C7" s="92" t="s">
        <v>394</v>
      </c>
      <c r="D7" s="92" t="s">
        <v>378</v>
      </c>
      <c r="E7" s="92" t="s">
        <v>379</v>
      </c>
      <c r="F7" s="92" t="s">
        <v>380</v>
      </c>
      <c r="G7" s="92" t="s">
        <v>381</v>
      </c>
      <c r="H7" s="92" t="s">
        <v>382</v>
      </c>
      <c r="I7" s="92" t="s">
        <v>383</v>
      </c>
      <c r="J7" s="92" t="s">
        <v>597</v>
      </c>
      <c r="K7" s="92" t="s">
        <v>1046</v>
      </c>
      <c r="L7" s="92" t="s">
        <v>1062</v>
      </c>
      <c r="M7" s="92" t="s">
        <v>1065</v>
      </c>
      <c r="N7" s="92" t="s">
        <v>1083</v>
      </c>
      <c r="O7" s="261"/>
      <c r="P7" s="261"/>
      <c r="Q7" s="261"/>
      <c r="R7" s="261"/>
    </row>
    <row r="8" spans="1:18" x14ac:dyDescent="0.25">
      <c r="A8" s="251"/>
      <c r="B8" s="251"/>
      <c r="C8" s="272"/>
      <c r="D8" s="251"/>
      <c r="E8" s="251"/>
      <c r="F8" s="251"/>
      <c r="G8" s="251"/>
      <c r="H8" s="251"/>
      <c r="I8" s="251"/>
      <c r="J8" s="251"/>
      <c r="K8" s="251"/>
      <c r="L8" s="251"/>
      <c r="M8" s="251"/>
      <c r="N8" s="526" t="s">
        <v>1898</v>
      </c>
      <c r="O8" s="261"/>
      <c r="P8" s="261"/>
      <c r="Q8" s="261"/>
      <c r="R8" s="261"/>
    </row>
    <row r="9" spans="1:18" x14ac:dyDescent="0.25">
      <c r="A9" s="251"/>
      <c r="B9" s="251"/>
      <c r="C9" s="518"/>
      <c r="D9" s="608" t="s">
        <v>12</v>
      </c>
      <c r="E9" s="251"/>
      <c r="F9" s="251"/>
      <c r="G9" s="251"/>
      <c r="H9" s="251"/>
      <c r="I9" s="251"/>
      <c r="J9" s="251"/>
      <c r="K9" s="251"/>
      <c r="L9" s="251"/>
      <c r="M9" s="251"/>
      <c r="N9" s="251"/>
      <c r="O9" s="261"/>
      <c r="P9" s="261"/>
      <c r="Q9" s="261"/>
      <c r="R9" s="261"/>
    </row>
    <row r="10" spans="1:18" x14ac:dyDescent="0.25">
      <c r="A10" s="251"/>
      <c r="B10" s="251"/>
      <c r="C10" s="121"/>
      <c r="D10" s="608" t="s">
        <v>1063</v>
      </c>
      <c r="E10" s="251"/>
      <c r="F10" s="251"/>
      <c r="G10" s="251"/>
      <c r="H10" s="251"/>
      <c r="I10" s="251"/>
      <c r="J10" s="251"/>
      <c r="K10" s="251"/>
      <c r="L10" s="251"/>
      <c r="M10" s="251"/>
      <c r="N10" s="251"/>
      <c r="O10" s="261"/>
      <c r="P10" s="261"/>
      <c r="Q10" s="261"/>
      <c r="R10" s="261"/>
    </row>
    <row r="11" spans="1:18" ht="12.75" customHeight="1" x14ac:dyDescent="0.25">
      <c r="A11" s="53" t="s">
        <v>360</v>
      </c>
      <c r="B11" s="53"/>
      <c r="C11" s="135" t="s">
        <v>2044</v>
      </c>
      <c r="D11" s="92">
        <v>350.1</v>
      </c>
      <c r="E11" s="92">
        <v>350.2</v>
      </c>
      <c r="F11" s="92">
        <v>352</v>
      </c>
      <c r="G11" s="92">
        <v>353</v>
      </c>
      <c r="H11" s="92">
        <v>354</v>
      </c>
      <c r="I11" s="92">
        <v>355</v>
      </c>
      <c r="J11" s="92">
        <v>356</v>
      </c>
      <c r="K11" s="92">
        <v>357</v>
      </c>
      <c r="L11" s="92">
        <v>358</v>
      </c>
      <c r="M11" s="92">
        <v>359</v>
      </c>
      <c r="N11" s="3" t="s">
        <v>215</v>
      </c>
      <c r="O11" s="261"/>
      <c r="P11" s="261"/>
      <c r="Q11" s="261"/>
      <c r="R11" s="261"/>
    </row>
    <row r="12" spans="1:18" ht="12.75" customHeight="1" x14ac:dyDescent="0.25">
      <c r="A12" s="588">
        <v>1</v>
      </c>
      <c r="B12" s="588"/>
      <c r="C12" s="711"/>
      <c r="D12" s="590"/>
      <c r="E12" s="590"/>
      <c r="F12" s="590"/>
      <c r="G12" s="590"/>
      <c r="H12" s="590"/>
      <c r="I12" s="590"/>
      <c r="J12" s="590"/>
      <c r="K12" s="590"/>
      <c r="L12" s="590"/>
      <c r="M12" s="590"/>
      <c r="N12" s="253">
        <f>SUM(D12:M12)</f>
        <v>0</v>
      </c>
      <c r="O12" s="261"/>
      <c r="P12" s="261"/>
      <c r="Q12" s="261"/>
      <c r="R12" s="261"/>
    </row>
    <row r="13" spans="1:18" ht="12.75" customHeight="1" x14ac:dyDescent="0.25">
      <c r="A13" s="588">
        <f>A12+1</f>
        <v>2</v>
      </c>
      <c r="B13" s="588"/>
      <c r="C13" s="712"/>
      <c r="D13" s="255">
        <v>0</v>
      </c>
      <c r="E13" s="255" t="e">
        <f t="shared" ref="E13:E23" si="0">E144+E91+E12</f>
        <v>#DIV/0!</v>
      </c>
      <c r="F13" s="255" t="e">
        <f t="shared" ref="F13:F23" si="1">F144+F91+F12</f>
        <v>#DIV/0!</v>
      </c>
      <c r="G13" s="255" t="e">
        <f t="shared" ref="G13:G23" si="2">G144+G91+G12</f>
        <v>#DIV/0!</v>
      </c>
      <c r="H13" s="255" t="e">
        <f t="shared" ref="H13:H23" si="3">H144+H91+H12</f>
        <v>#DIV/0!</v>
      </c>
      <c r="I13" s="255" t="e">
        <f t="shared" ref="I13:I23" si="4">I144+I91+I12</f>
        <v>#DIV/0!</v>
      </c>
      <c r="J13" s="255" t="e">
        <f t="shared" ref="J13:J23" si="5">J144+J91+J12</f>
        <v>#DIV/0!</v>
      </c>
      <c r="K13" s="255" t="e">
        <f t="shared" ref="K13:K23" si="6">K144+K91+K12</f>
        <v>#DIV/0!</v>
      </c>
      <c r="L13" s="255" t="e">
        <f t="shared" ref="L13:L23" si="7">L144+L91+L12</f>
        <v>#DIV/0!</v>
      </c>
      <c r="M13" s="255" t="e">
        <f t="shared" ref="M13:M23" si="8">M144+M91+M12</f>
        <v>#DIV/0!</v>
      </c>
      <c r="N13" s="253" t="e">
        <f t="shared" ref="N13:N24" si="9">SUM(D13:M13)</f>
        <v>#DIV/0!</v>
      </c>
      <c r="O13" s="261"/>
      <c r="P13" s="261"/>
      <c r="Q13" s="261"/>
      <c r="R13" s="261"/>
    </row>
    <row r="14" spans="1:18" ht="12.75" customHeight="1" x14ac:dyDescent="0.25">
      <c r="A14" s="588">
        <f t="shared" ref="A14:A25" si="10">A13+1</f>
        <v>3</v>
      </c>
      <c r="B14" s="588"/>
      <c r="C14" s="711"/>
      <c r="D14" s="255">
        <v>0</v>
      </c>
      <c r="E14" s="255" t="e">
        <f t="shared" si="0"/>
        <v>#DIV/0!</v>
      </c>
      <c r="F14" s="255" t="e">
        <f t="shared" si="1"/>
        <v>#DIV/0!</v>
      </c>
      <c r="G14" s="255" t="e">
        <f t="shared" si="2"/>
        <v>#DIV/0!</v>
      </c>
      <c r="H14" s="255" t="e">
        <f t="shared" si="3"/>
        <v>#DIV/0!</v>
      </c>
      <c r="I14" s="255" t="e">
        <f t="shared" si="4"/>
        <v>#DIV/0!</v>
      </c>
      <c r="J14" s="255" t="e">
        <f t="shared" si="5"/>
        <v>#DIV/0!</v>
      </c>
      <c r="K14" s="255" t="e">
        <f t="shared" si="6"/>
        <v>#DIV/0!</v>
      </c>
      <c r="L14" s="255" t="e">
        <f t="shared" si="7"/>
        <v>#DIV/0!</v>
      </c>
      <c r="M14" s="255" t="e">
        <f t="shared" si="8"/>
        <v>#DIV/0!</v>
      </c>
      <c r="N14" s="253" t="e">
        <f t="shared" si="9"/>
        <v>#DIV/0!</v>
      </c>
      <c r="O14" s="261"/>
      <c r="P14" s="261"/>
      <c r="Q14" s="261"/>
      <c r="R14" s="261"/>
    </row>
    <row r="15" spans="1:18" ht="12.75" customHeight="1" x14ac:dyDescent="0.25">
      <c r="A15" s="588">
        <f t="shared" si="10"/>
        <v>4</v>
      </c>
      <c r="B15" s="588"/>
      <c r="C15" s="711"/>
      <c r="D15" s="255">
        <v>0</v>
      </c>
      <c r="E15" s="255" t="e">
        <f t="shared" si="0"/>
        <v>#DIV/0!</v>
      </c>
      <c r="F15" s="255" t="e">
        <f t="shared" si="1"/>
        <v>#DIV/0!</v>
      </c>
      <c r="G15" s="255" t="e">
        <f t="shared" si="2"/>
        <v>#DIV/0!</v>
      </c>
      <c r="H15" s="255" t="e">
        <f t="shared" si="3"/>
        <v>#DIV/0!</v>
      </c>
      <c r="I15" s="255" t="e">
        <f t="shared" si="4"/>
        <v>#DIV/0!</v>
      </c>
      <c r="J15" s="255" t="e">
        <f t="shared" si="5"/>
        <v>#DIV/0!</v>
      </c>
      <c r="K15" s="255" t="e">
        <f t="shared" si="6"/>
        <v>#DIV/0!</v>
      </c>
      <c r="L15" s="255" t="e">
        <f t="shared" si="7"/>
        <v>#DIV/0!</v>
      </c>
      <c r="M15" s="255" t="e">
        <f t="shared" si="8"/>
        <v>#DIV/0!</v>
      </c>
      <c r="N15" s="253" t="e">
        <f t="shared" si="9"/>
        <v>#DIV/0!</v>
      </c>
      <c r="O15" s="261"/>
      <c r="P15" s="261"/>
      <c r="Q15" s="261"/>
      <c r="R15" s="261"/>
    </row>
    <row r="16" spans="1:18" ht="12.75" customHeight="1" x14ac:dyDescent="0.25">
      <c r="A16" s="588">
        <f t="shared" si="10"/>
        <v>5</v>
      </c>
      <c r="B16" s="588"/>
      <c r="C16" s="712"/>
      <c r="D16" s="255">
        <v>0</v>
      </c>
      <c r="E16" s="255" t="e">
        <f t="shared" si="0"/>
        <v>#DIV/0!</v>
      </c>
      <c r="F16" s="255" t="e">
        <f t="shared" si="1"/>
        <v>#DIV/0!</v>
      </c>
      <c r="G16" s="255" t="e">
        <f t="shared" si="2"/>
        <v>#DIV/0!</v>
      </c>
      <c r="H16" s="255" t="e">
        <f t="shared" si="3"/>
        <v>#DIV/0!</v>
      </c>
      <c r="I16" s="255" t="e">
        <f t="shared" si="4"/>
        <v>#DIV/0!</v>
      </c>
      <c r="J16" s="255" t="e">
        <f t="shared" si="5"/>
        <v>#DIV/0!</v>
      </c>
      <c r="K16" s="255" t="e">
        <f t="shared" si="6"/>
        <v>#DIV/0!</v>
      </c>
      <c r="L16" s="255" t="e">
        <f t="shared" si="7"/>
        <v>#DIV/0!</v>
      </c>
      <c r="M16" s="255" t="e">
        <f t="shared" si="8"/>
        <v>#DIV/0!</v>
      </c>
      <c r="N16" s="253" t="e">
        <f t="shared" si="9"/>
        <v>#DIV/0!</v>
      </c>
      <c r="O16" s="261"/>
      <c r="P16" s="261"/>
      <c r="Q16" s="261"/>
      <c r="R16" s="261"/>
    </row>
    <row r="17" spans="1:18" ht="12.75" customHeight="1" x14ac:dyDescent="0.25">
      <c r="A17" s="588">
        <f t="shared" si="10"/>
        <v>6</v>
      </c>
      <c r="B17" s="588"/>
      <c r="C17" s="711"/>
      <c r="D17" s="255">
        <v>0</v>
      </c>
      <c r="E17" s="255" t="e">
        <f t="shared" si="0"/>
        <v>#DIV/0!</v>
      </c>
      <c r="F17" s="255" t="e">
        <f t="shared" si="1"/>
        <v>#DIV/0!</v>
      </c>
      <c r="G17" s="255" t="e">
        <f t="shared" si="2"/>
        <v>#DIV/0!</v>
      </c>
      <c r="H17" s="255" t="e">
        <f t="shared" si="3"/>
        <v>#DIV/0!</v>
      </c>
      <c r="I17" s="255" t="e">
        <f t="shared" si="4"/>
        <v>#DIV/0!</v>
      </c>
      <c r="J17" s="255" t="e">
        <f t="shared" si="5"/>
        <v>#DIV/0!</v>
      </c>
      <c r="K17" s="255" t="e">
        <f t="shared" si="6"/>
        <v>#DIV/0!</v>
      </c>
      <c r="L17" s="255" t="e">
        <f t="shared" si="7"/>
        <v>#DIV/0!</v>
      </c>
      <c r="M17" s="255" t="e">
        <f t="shared" si="8"/>
        <v>#DIV/0!</v>
      </c>
      <c r="N17" s="253" t="e">
        <f t="shared" si="9"/>
        <v>#DIV/0!</v>
      </c>
      <c r="O17" s="261"/>
      <c r="P17" s="261"/>
      <c r="Q17" s="261"/>
      <c r="R17" s="261"/>
    </row>
    <row r="18" spans="1:18" ht="12.75" customHeight="1" x14ac:dyDescent="0.25">
      <c r="A18" s="588">
        <f t="shared" si="10"/>
        <v>7</v>
      </c>
      <c r="B18" s="588"/>
      <c r="C18" s="711"/>
      <c r="D18" s="255">
        <v>0</v>
      </c>
      <c r="E18" s="255" t="e">
        <f t="shared" si="0"/>
        <v>#DIV/0!</v>
      </c>
      <c r="F18" s="255" t="e">
        <f t="shared" si="1"/>
        <v>#DIV/0!</v>
      </c>
      <c r="G18" s="255" t="e">
        <f t="shared" si="2"/>
        <v>#DIV/0!</v>
      </c>
      <c r="H18" s="255" t="e">
        <f t="shared" si="3"/>
        <v>#DIV/0!</v>
      </c>
      <c r="I18" s="255" t="e">
        <f t="shared" si="4"/>
        <v>#DIV/0!</v>
      </c>
      <c r="J18" s="255" t="e">
        <f t="shared" si="5"/>
        <v>#DIV/0!</v>
      </c>
      <c r="K18" s="255" t="e">
        <f t="shared" si="6"/>
        <v>#DIV/0!</v>
      </c>
      <c r="L18" s="255" t="e">
        <f t="shared" si="7"/>
        <v>#DIV/0!</v>
      </c>
      <c r="M18" s="255" t="e">
        <f t="shared" si="8"/>
        <v>#DIV/0!</v>
      </c>
      <c r="N18" s="253" t="e">
        <f t="shared" si="9"/>
        <v>#DIV/0!</v>
      </c>
      <c r="O18" s="261"/>
      <c r="P18" s="261"/>
      <c r="Q18" s="261"/>
      <c r="R18" s="261"/>
    </row>
    <row r="19" spans="1:18" ht="12.75" customHeight="1" x14ac:dyDescent="0.25">
      <c r="A19" s="588">
        <f t="shared" si="10"/>
        <v>8</v>
      </c>
      <c r="B19" s="588"/>
      <c r="C19" s="712"/>
      <c r="D19" s="255">
        <v>0</v>
      </c>
      <c r="E19" s="255" t="e">
        <f t="shared" si="0"/>
        <v>#DIV/0!</v>
      </c>
      <c r="F19" s="255" t="e">
        <f t="shared" si="1"/>
        <v>#DIV/0!</v>
      </c>
      <c r="G19" s="255" t="e">
        <f t="shared" si="2"/>
        <v>#DIV/0!</v>
      </c>
      <c r="H19" s="255" t="e">
        <f t="shared" si="3"/>
        <v>#DIV/0!</v>
      </c>
      <c r="I19" s="255" t="e">
        <f t="shared" si="4"/>
        <v>#DIV/0!</v>
      </c>
      <c r="J19" s="255" t="e">
        <f t="shared" si="5"/>
        <v>#DIV/0!</v>
      </c>
      <c r="K19" s="255" t="e">
        <f t="shared" si="6"/>
        <v>#DIV/0!</v>
      </c>
      <c r="L19" s="255" t="e">
        <f t="shared" si="7"/>
        <v>#DIV/0!</v>
      </c>
      <c r="M19" s="255" t="e">
        <f t="shared" si="8"/>
        <v>#DIV/0!</v>
      </c>
      <c r="N19" s="253" t="e">
        <f t="shared" si="9"/>
        <v>#DIV/0!</v>
      </c>
      <c r="O19" s="261"/>
      <c r="P19" s="261"/>
      <c r="Q19" s="261"/>
      <c r="R19" s="261"/>
    </row>
    <row r="20" spans="1:18" ht="12.75" customHeight="1" x14ac:dyDescent="0.25">
      <c r="A20" s="588">
        <f t="shared" si="10"/>
        <v>9</v>
      </c>
      <c r="B20" s="588"/>
      <c r="C20" s="711"/>
      <c r="D20" s="255">
        <v>0</v>
      </c>
      <c r="E20" s="255" t="e">
        <f t="shared" si="0"/>
        <v>#DIV/0!</v>
      </c>
      <c r="F20" s="255" t="e">
        <f t="shared" si="1"/>
        <v>#DIV/0!</v>
      </c>
      <c r="G20" s="255" t="e">
        <f t="shared" si="2"/>
        <v>#DIV/0!</v>
      </c>
      <c r="H20" s="255" t="e">
        <f t="shared" si="3"/>
        <v>#DIV/0!</v>
      </c>
      <c r="I20" s="255" t="e">
        <f t="shared" si="4"/>
        <v>#DIV/0!</v>
      </c>
      <c r="J20" s="255" t="e">
        <f t="shared" si="5"/>
        <v>#DIV/0!</v>
      </c>
      <c r="K20" s="255" t="e">
        <f t="shared" si="6"/>
        <v>#DIV/0!</v>
      </c>
      <c r="L20" s="255" t="e">
        <f t="shared" si="7"/>
        <v>#DIV/0!</v>
      </c>
      <c r="M20" s="255" t="e">
        <f t="shared" si="8"/>
        <v>#DIV/0!</v>
      </c>
      <c r="N20" s="253" t="e">
        <f t="shared" si="9"/>
        <v>#DIV/0!</v>
      </c>
      <c r="O20" s="261"/>
      <c r="P20" s="261"/>
      <c r="Q20" s="261"/>
      <c r="R20" s="261"/>
    </row>
    <row r="21" spans="1:18" ht="12.75" customHeight="1" x14ac:dyDescent="0.25">
      <c r="A21" s="588">
        <f t="shared" si="10"/>
        <v>10</v>
      </c>
      <c r="B21" s="588"/>
      <c r="C21" s="711"/>
      <c r="D21" s="255">
        <v>0</v>
      </c>
      <c r="E21" s="255" t="e">
        <f t="shared" si="0"/>
        <v>#DIV/0!</v>
      </c>
      <c r="F21" s="255" t="e">
        <f t="shared" si="1"/>
        <v>#DIV/0!</v>
      </c>
      <c r="G21" s="255" t="e">
        <f t="shared" si="2"/>
        <v>#DIV/0!</v>
      </c>
      <c r="H21" s="255" t="e">
        <f t="shared" si="3"/>
        <v>#DIV/0!</v>
      </c>
      <c r="I21" s="255" t="e">
        <f t="shared" si="4"/>
        <v>#DIV/0!</v>
      </c>
      <c r="J21" s="255" t="e">
        <f t="shared" si="5"/>
        <v>#DIV/0!</v>
      </c>
      <c r="K21" s="255" t="e">
        <f t="shared" si="6"/>
        <v>#DIV/0!</v>
      </c>
      <c r="L21" s="255" t="e">
        <f t="shared" si="7"/>
        <v>#DIV/0!</v>
      </c>
      <c r="M21" s="255" t="e">
        <f t="shared" si="8"/>
        <v>#DIV/0!</v>
      </c>
      <c r="N21" s="253" t="e">
        <f t="shared" si="9"/>
        <v>#DIV/0!</v>
      </c>
      <c r="O21" s="261"/>
      <c r="P21" s="261"/>
      <c r="Q21" s="261"/>
      <c r="R21" s="261"/>
    </row>
    <row r="22" spans="1:18" ht="12.75" customHeight="1" x14ac:dyDescent="0.25">
      <c r="A22" s="588">
        <f t="shared" si="10"/>
        <v>11</v>
      </c>
      <c r="B22" s="588"/>
      <c r="C22" s="712"/>
      <c r="D22" s="255">
        <v>0</v>
      </c>
      <c r="E22" s="255" t="e">
        <f t="shared" si="0"/>
        <v>#DIV/0!</v>
      </c>
      <c r="F22" s="255" t="e">
        <f t="shared" si="1"/>
        <v>#DIV/0!</v>
      </c>
      <c r="G22" s="255" t="e">
        <f t="shared" si="2"/>
        <v>#DIV/0!</v>
      </c>
      <c r="H22" s="255" t="e">
        <f t="shared" si="3"/>
        <v>#DIV/0!</v>
      </c>
      <c r="I22" s="255" t="e">
        <f t="shared" si="4"/>
        <v>#DIV/0!</v>
      </c>
      <c r="J22" s="255" t="e">
        <f t="shared" si="5"/>
        <v>#DIV/0!</v>
      </c>
      <c r="K22" s="255" t="e">
        <f t="shared" si="6"/>
        <v>#DIV/0!</v>
      </c>
      <c r="L22" s="255" t="e">
        <f t="shared" si="7"/>
        <v>#DIV/0!</v>
      </c>
      <c r="M22" s="255" t="e">
        <f t="shared" si="8"/>
        <v>#DIV/0!</v>
      </c>
      <c r="N22" s="253" t="e">
        <f t="shared" si="9"/>
        <v>#DIV/0!</v>
      </c>
      <c r="O22" s="261"/>
      <c r="P22" s="261"/>
      <c r="Q22" s="261"/>
      <c r="R22" s="261"/>
    </row>
    <row r="23" spans="1:18" ht="12.75" customHeight="1" x14ac:dyDescent="0.25">
      <c r="A23" s="588">
        <f t="shared" si="10"/>
        <v>12</v>
      </c>
      <c r="B23" s="588"/>
      <c r="C23" s="712"/>
      <c r="D23" s="255">
        <v>0</v>
      </c>
      <c r="E23" s="255" t="e">
        <f t="shared" si="0"/>
        <v>#DIV/0!</v>
      </c>
      <c r="F23" s="255" t="e">
        <f t="shared" si="1"/>
        <v>#DIV/0!</v>
      </c>
      <c r="G23" s="255" t="e">
        <f t="shared" si="2"/>
        <v>#DIV/0!</v>
      </c>
      <c r="H23" s="255" t="e">
        <f t="shared" si="3"/>
        <v>#DIV/0!</v>
      </c>
      <c r="I23" s="255" t="e">
        <f t="shared" si="4"/>
        <v>#DIV/0!</v>
      </c>
      <c r="J23" s="255" t="e">
        <f t="shared" si="5"/>
        <v>#DIV/0!</v>
      </c>
      <c r="K23" s="255" t="e">
        <f t="shared" si="6"/>
        <v>#DIV/0!</v>
      </c>
      <c r="L23" s="255" t="e">
        <f t="shared" si="7"/>
        <v>#DIV/0!</v>
      </c>
      <c r="M23" s="255" t="e">
        <f t="shared" si="8"/>
        <v>#DIV/0!</v>
      </c>
      <c r="N23" s="253" t="e">
        <f t="shared" si="9"/>
        <v>#DIV/0!</v>
      </c>
      <c r="O23" s="261"/>
      <c r="P23" s="261"/>
      <c r="Q23" s="261"/>
      <c r="R23" s="261"/>
    </row>
    <row r="24" spans="1:18" x14ac:dyDescent="0.25">
      <c r="A24" s="588">
        <f t="shared" si="10"/>
        <v>13</v>
      </c>
      <c r="B24" s="588"/>
      <c r="C24" s="711"/>
      <c r="D24" s="127"/>
      <c r="E24" s="127"/>
      <c r="F24" s="127"/>
      <c r="G24" s="127"/>
      <c r="H24" s="127"/>
      <c r="I24" s="127"/>
      <c r="J24" s="127"/>
      <c r="K24" s="127"/>
      <c r="L24" s="127"/>
      <c r="M24" s="127"/>
      <c r="N24" s="397">
        <f t="shared" si="9"/>
        <v>0</v>
      </c>
      <c r="O24" s="261"/>
      <c r="P24" s="261"/>
      <c r="Q24" s="261"/>
      <c r="R24" s="261"/>
    </row>
    <row r="25" spans="1:18" x14ac:dyDescent="0.25">
      <c r="A25" s="588">
        <f t="shared" si="10"/>
        <v>14</v>
      </c>
      <c r="B25" s="251"/>
      <c r="C25" s="592" t="s">
        <v>1328</v>
      </c>
      <c r="D25" s="253">
        <f t="shared" ref="D25:N25" si="11">AVERAGE(D12:D24)</f>
        <v>0</v>
      </c>
      <c r="E25" s="253" t="e">
        <f>AVERAGE(E12:E24)</f>
        <v>#DIV/0!</v>
      </c>
      <c r="F25" s="253" t="e">
        <f t="shared" si="11"/>
        <v>#DIV/0!</v>
      </c>
      <c r="G25" s="253" t="e">
        <f t="shared" si="11"/>
        <v>#DIV/0!</v>
      </c>
      <c r="H25" s="253" t="e">
        <f t="shared" si="11"/>
        <v>#DIV/0!</v>
      </c>
      <c r="I25" s="253" t="e">
        <f t="shared" si="11"/>
        <v>#DIV/0!</v>
      </c>
      <c r="J25" s="253" t="e">
        <f t="shared" si="11"/>
        <v>#DIV/0!</v>
      </c>
      <c r="K25" s="253" t="e">
        <f t="shared" si="11"/>
        <v>#DIV/0!</v>
      </c>
      <c r="L25" s="253" t="e">
        <f t="shared" si="11"/>
        <v>#DIV/0!</v>
      </c>
      <c r="M25" s="253" t="e">
        <f t="shared" si="11"/>
        <v>#DIV/0!</v>
      </c>
      <c r="N25" s="253" t="e">
        <f t="shared" si="11"/>
        <v>#DIV/0!</v>
      </c>
      <c r="O25" s="261"/>
      <c r="P25" s="261"/>
      <c r="Q25" s="261"/>
      <c r="R25" s="261"/>
    </row>
    <row r="26" spans="1:18" x14ac:dyDescent="0.25">
      <c r="A26" s="251"/>
      <c r="B26" s="251"/>
      <c r="C26" s="251"/>
      <c r="D26" s="251"/>
      <c r="E26" s="251"/>
      <c r="F26" s="251"/>
      <c r="G26" s="251"/>
      <c r="H26" s="251"/>
      <c r="I26" s="251"/>
      <c r="J26" s="251"/>
      <c r="K26" s="251"/>
      <c r="L26" s="251"/>
      <c r="M26" s="251"/>
      <c r="N26" s="251"/>
      <c r="O26" s="261"/>
      <c r="P26" s="261"/>
      <c r="Q26" s="261"/>
      <c r="R26" s="261"/>
    </row>
    <row r="27" spans="1:18" x14ac:dyDescent="0.25">
      <c r="A27" s="251"/>
      <c r="B27" s="449" t="s">
        <v>1753</v>
      </c>
      <c r="C27" s="251"/>
      <c r="D27" s="251"/>
      <c r="E27" s="251"/>
      <c r="F27" s="251"/>
      <c r="G27" s="251"/>
      <c r="H27" s="251"/>
      <c r="I27" s="251"/>
      <c r="J27" s="251"/>
      <c r="K27" s="251"/>
      <c r="L27" s="251"/>
      <c r="M27" s="251"/>
      <c r="N27" s="251"/>
      <c r="O27" s="261"/>
      <c r="P27" s="261"/>
      <c r="Q27" s="261"/>
      <c r="R27" s="261"/>
    </row>
    <row r="28" spans="1:18" x14ac:dyDescent="0.25">
      <c r="A28" s="251"/>
      <c r="B28" s="449"/>
      <c r="C28" s="251"/>
      <c r="D28" s="251"/>
      <c r="E28" s="251"/>
      <c r="F28" s="251"/>
      <c r="G28" s="251"/>
      <c r="H28" s="251"/>
      <c r="I28" s="251"/>
      <c r="J28" s="251"/>
      <c r="K28" s="251"/>
      <c r="L28" s="251"/>
      <c r="M28" s="251"/>
      <c r="N28" s="251"/>
      <c r="O28" s="261"/>
      <c r="P28" s="261"/>
      <c r="Q28" s="261"/>
      <c r="R28" s="261"/>
    </row>
    <row r="29" spans="1:18" x14ac:dyDescent="0.25">
      <c r="A29" s="251"/>
      <c r="B29" s="251"/>
      <c r="C29" s="92" t="s">
        <v>394</v>
      </c>
      <c r="D29" s="92" t="s">
        <v>378</v>
      </c>
      <c r="E29" s="92" t="s">
        <v>379</v>
      </c>
      <c r="F29" s="92" t="s">
        <v>380</v>
      </c>
      <c r="G29" s="92" t="s">
        <v>381</v>
      </c>
      <c r="H29" s="251"/>
      <c r="I29" s="251"/>
      <c r="J29" s="251"/>
      <c r="K29" s="251"/>
      <c r="L29" s="251"/>
      <c r="M29" s="251"/>
      <c r="N29" s="251"/>
      <c r="O29" s="261"/>
      <c r="P29" s="261"/>
      <c r="Q29" s="261"/>
      <c r="R29" s="261"/>
    </row>
    <row r="30" spans="1:18" x14ac:dyDescent="0.25">
      <c r="A30" s="251"/>
      <c r="B30" s="251"/>
      <c r="C30" s="251"/>
      <c r="D30" s="608" t="s">
        <v>12</v>
      </c>
      <c r="E30" s="251"/>
      <c r="F30" s="251"/>
      <c r="G30" s="526" t="s">
        <v>1897</v>
      </c>
      <c r="H30" s="251"/>
      <c r="I30" s="251"/>
      <c r="J30" s="251"/>
      <c r="K30" s="251"/>
      <c r="L30" s="251"/>
      <c r="M30" s="251"/>
      <c r="N30" s="251"/>
      <c r="O30" s="610"/>
      <c r="P30" s="261"/>
      <c r="Q30" s="261"/>
      <c r="R30" s="261"/>
    </row>
    <row r="31" spans="1:18" x14ac:dyDescent="0.25">
      <c r="A31" s="251"/>
      <c r="B31" s="251"/>
      <c r="C31" s="251"/>
      <c r="D31" s="608" t="s">
        <v>1063</v>
      </c>
      <c r="E31" s="251"/>
      <c r="F31" s="251"/>
      <c r="G31" s="251"/>
      <c r="H31" s="251"/>
      <c r="I31" s="251"/>
      <c r="J31" s="251"/>
      <c r="K31" s="251"/>
      <c r="L31" s="251"/>
      <c r="M31" s="251"/>
      <c r="N31" s="251"/>
      <c r="O31" s="530"/>
      <c r="P31" s="261"/>
      <c r="Q31" s="261"/>
      <c r="R31" s="261"/>
    </row>
    <row r="32" spans="1:18" x14ac:dyDescent="0.25">
      <c r="A32" s="251"/>
      <c r="B32" s="251"/>
      <c r="C32" s="135" t="s">
        <v>2044</v>
      </c>
      <c r="D32" s="92">
        <v>360</v>
      </c>
      <c r="E32" s="92">
        <v>361</v>
      </c>
      <c r="F32" s="92">
        <v>362</v>
      </c>
      <c r="G32" s="3" t="s">
        <v>215</v>
      </c>
      <c r="H32" s="1176" t="s">
        <v>187</v>
      </c>
      <c r="I32" s="261"/>
      <c r="J32" s="261"/>
      <c r="K32" s="251"/>
      <c r="L32" s="251"/>
      <c r="M32" s="251"/>
      <c r="N32" s="251"/>
      <c r="O32" s="530"/>
      <c r="P32" s="261"/>
      <c r="Q32" s="261"/>
      <c r="R32" s="261"/>
    </row>
    <row r="33" spans="1:18" x14ac:dyDescent="0.25">
      <c r="A33" s="588">
        <f>A25+1</f>
        <v>15</v>
      </c>
      <c r="C33" s="882"/>
      <c r="D33" s="256"/>
      <c r="E33" s="256"/>
      <c r="F33" s="256"/>
      <c r="G33" s="253">
        <f>SUM(D33:F33)</f>
        <v>0</v>
      </c>
      <c r="H33" s="550" t="s">
        <v>2045</v>
      </c>
      <c r="I33" s="261"/>
      <c r="J33" s="261"/>
      <c r="K33" s="251"/>
      <c r="L33" s="251"/>
      <c r="M33" s="251"/>
      <c r="N33" s="251"/>
      <c r="O33" s="530"/>
      <c r="P33" s="261"/>
      <c r="Q33" s="261"/>
      <c r="R33" s="261"/>
    </row>
    <row r="34" spans="1:18" x14ac:dyDescent="0.25">
      <c r="A34" s="588">
        <v>16</v>
      </c>
      <c r="C34" s="882"/>
      <c r="D34" s="454"/>
      <c r="E34" s="454"/>
      <c r="F34" s="454"/>
      <c r="G34" s="397">
        <f>SUM(D34:F34)</f>
        <v>0</v>
      </c>
      <c r="H34" s="550" t="s">
        <v>100</v>
      </c>
      <c r="I34" s="261"/>
      <c r="J34" s="261"/>
      <c r="K34" s="251"/>
      <c r="L34" s="251"/>
      <c r="O34" s="530"/>
      <c r="P34" s="261"/>
      <c r="Q34" s="261"/>
      <c r="R34" s="261"/>
    </row>
    <row r="35" spans="1:18" x14ac:dyDescent="0.25">
      <c r="A35" s="588">
        <f>A34+1</f>
        <v>17</v>
      </c>
      <c r="C35" s="252" t="s">
        <v>1506</v>
      </c>
      <c r="D35" s="253" t="e">
        <f>AVERAGE(D33:D34)</f>
        <v>#DIV/0!</v>
      </c>
      <c r="E35" s="253" t="e">
        <f>AVERAGE(E33:E34)</f>
        <v>#DIV/0!</v>
      </c>
      <c r="F35" s="253" t="e">
        <f>AVERAGE(F33:F34)</f>
        <v>#DIV/0!</v>
      </c>
      <c r="G35" s="253">
        <f>AVERAGE(G33:G34)</f>
        <v>0</v>
      </c>
      <c r="H35" s="270" t="str">
        <f>"Average of Line "&amp;A33&amp;" and Line "&amp;A34&amp;""</f>
        <v>Average of Line 15 and Line 16</v>
      </c>
      <c r="I35" s="251"/>
      <c r="J35" s="251"/>
      <c r="K35" s="251"/>
      <c r="M35" s="589"/>
      <c r="N35" s="564"/>
      <c r="O35" s="530"/>
      <c r="P35" s="261"/>
      <c r="Q35" s="261"/>
      <c r="R35" s="261"/>
    </row>
    <row r="36" spans="1:18" x14ac:dyDescent="0.25">
      <c r="C36" s="252"/>
      <c r="I36" s="251"/>
      <c r="J36" s="251"/>
      <c r="K36" s="251"/>
      <c r="M36" s="600"/>
      <c r="N36" s="602"/>
      <c r="O36" s="530"/>
      <c r="P36" s="261"/>
      <c r="Q36" s="261"/>
      <c r="R36" s="261"/>
    </row>
    <row r="37" spans="1:18" x14ac:dyDescent="0.25">
      <c r="B37" s="449" t="s">
        <v>1749</v>
      </c>
      <c r="I37" s="251"/>
      <c r="J37" s="251"/>
      <c r="K37" s="251"/>
      <c r="L37" s="251"/>
      <c r="M37" s="589"/>
      <c r="N37" s="602"/>
      <c r="O37" s="530"/>
      <c r="P37" s="261"/>
      <c r="Q37" s="261"/>
      <c r="R37" s="261"/>
    </row>
    <row r="38" spans="1:18" ht="14.4" x14ac:dyDescent="0.3">
      <c r="B38" s="400"/>
      <c r="C38" s="388" t="s">
        <v>394</v>
      </c>
      <c r="D38" s="388" t="s">
        <v>378</v>
      </c>
      <c r="E38" s="388" t="s">
        <v>379</v>
      </c>
      <c r="F38" s="388" t="s">
        <v>380</v>
      </c>
      <c r="G38" s="388" t="s">
        <v>381</v>
      </c>
      <c r="J38" s="251"/>
      <c r="K38" s="254"/>
      <c r="L38" s="251"/>
      <c r="O38" s="261"/>
      <c r="P38" s="261"/>
      <c r="Q38" s="261"/>
      <c r="R38" s="261"/>
    </row>
    <row r="39" spans="1:18" ht="14.4" x14ac:dyDescent="0.3">
      <c r="B39" s="400"/>
      <c r="C39" s="388"/>
      <c r="D39" s="388"/>
      <c r="E39" s="635" t="s">
        <v>2087</v>
      </c>
      <c r="F39" s="388"/>
      <c r="G39" s="388"/>
      <c r="J39" s="251"/>
      <c r="K39" s="254"/>
      <c r="L39" s="251"/>
      <c r="O39" s="261"/>
      <c r="P39" s="261"/>
      <c r="Q39" s="261"/>
      <c r="R39" s="261"/>
    </row>
    <row r="40" spans="1:18" x14ac:dyDescent="0.25">
      <c r="C40" s="14"/>
      <c r="D40" s="14"/>
      <c r="E40" s="518" t="s">
        <v>215</v>
      </c>
      <c r="F40" s="14"/>
      <c r="G40" s="14"/>
      <c r="J40" s="251"/>
      <c r="K40" s="254"/>
      <c r="L40" s="251"/>
      <c r="O40" s="261"/>
      <c r="P40" s="261"/>
      <c r="Q40" s="261"/>
      <c r="R40" s="261"/>
    </row>
    <row r="41" spans="1:18" x14ac:dyDescent="0.25">
      <c r="B41" s="251"/>
      <c r="C41" s="14"/>
      <c r="D41" s="261"/>
      <c r="E41" s="518" t="s">
        <v>2086</v>
      </c>
      <c r="F41" s="121" t="s">
        <v>1352</v>
      </c>
      <c r="G41" s="121" t="s">
        <v>1353</v>
      </c>
      <c r="J41" s="251"/>
      <c r="K41" s="254"/>
      <c r="L41" s="251"/>
      <c r="O41" s="261"/>
      <c r="P41" s="261"/>
      <c r="Q41" s="261"/>
      <c r="R41" s="261"/>
    </row>
    <row r="42" spans="1:18" x14ac:dyDescent="0.25">
      <c r="B42" s="251"/>
      <c r="C42" s="14"/>
      <c r="D42" s="261"/>
      <c r="E42" s="518" t="s">
        <v>1507</v>
      </c>
      <c r="F42" s="518" t="s">
        <v>1507</v>
      </c>
      <c r="G42" s="518" t="s">
        <v>1507</v>
      </c>
      <c r="J42" s="251"/>
      <c r="K42" s="254"/>
      <c r="L42" s="251"/>
      <c r="Q42" s="261"/>
      <c r="R42" s="261"/>
    </row>
    <row r="43" spans="1:18" x14ac:dyDescent="0.25">
      <c r="B43" s="251"/>
      <c r="C43" s="135" t="s">
        <v>2044</v>
      </c>
      <c r="D43" s="261"/>
      <c r="E43" s="519" t="s">
        <v>1508</v>
      </c>
      <c r="F43" s="519" t="s">
        <v>1508</v>
      </c>
      <c r="G43" s="519" t="s">
        <v>1508</v>
      </c>
      <c r="H43" s="455" t="s">
        <v>198</v>
      </c>
      <c r="J43" s="251"/>
      <c r="K43" s="398"/>
      <c r="L43" s="251"/>
      <c r="O43" s="261"/>
      <c r="P43" s="261"/>
      <c r="Q43" s="261"/>
      <c r="R43" s="261"/>
    </row>
    <row r="44" spans="1:18" x14ac:dyDescent="0.25">
      <c r="A44" s="588">
        <f>A35+1</f>
        <v>18</v>
      </c>
      <c r="B44" s="251"/>
      <c r="C44" s="711"/>
      <c r="D44" s="593" t="s">
        <v>1504</v>
      </c>
      <c r="E44" s="255">
        <f>SUM(F44:G44)</f>
        <v>0</v>
      </c>
      <c r="F44" s="256"/>
      <c r="G44" s="716"/>
      <c r="H44" s="530" t="s">
        <v>2088</v>
      </c>
      <c r="I44" s="14"/>
      <c r="J44" s="261"/>
      <c r="L44" s="251"/>
      <c r="O44" s="261"/>
      <c r="P44" s="261"/>
      <c r="Q44" s="261"/>
      <c r="R44" s="261"/>
    </row>
    <row r="45" spans="1:18" x14ac:dyDescent="0.25">
      <c r="A45" s="588">
        <f>A44+1</f>
        <v>19</v>
      </c>
      <c r="B45" s="251"/>
      <c r="C45" s="711"/>
      <c r="D45" s="252" t="s">
        <v>1505</v>
      </c>
      <c r="E45" s="525">
        <f>SUM(F45:G45)</f>
        <v>0</v>
      </c>
      <c r="F45" s="256"/>
      <c r="G45" s="716"/>
      <c r="H45" s="530" t="s">
        <v>2089</v>
      </c>
      <c r="I45" s="14"/>
      <c r="J45" s="261"/>
      <c r="K45" s="609"/>
      <c r="L45" s="251"/>
      <c r="O45" s="261"/>
      <c r="P45" s="261"/>
      <c r="Q45" s="261"/>
      <c r="R45" s="261"/>
    </row>
    <row r="46" spans="1:18" x14ac:dyDescent="0.25">
      <c r="A46" s="588">
        <f>A45+1</f>
        <v>20</v>
      </c>
      <c r="B46" s="251"/>
      <c r="D46" s="252" t="s">
        <v>1506</v>
      </c>
      <c r="E46" s="253">
        <f>AVERAGE(E44:E45)</f>
        <v>0</v>
      </c>
      <c r="H46" s="270" t="str">
        <f>"Average of Line "&amp;A44&amp;" and Line "&amp;A45&amp;""</f>
        <v>Average of Line 18 and Line 19</v>
      </c>
      <c r="J46" s="251"/>
      <c r="K46" s="609"/>
      <c r="L46" s="251"/>
      <c r="O46" s="261"/>
      <c r="P46" s="261"/>
      <c r="Q46" s="261"/>
      <c r="R46" s="261"/>
    </row>
    <row r="47" spans="1:18" x14ac:dyDescent="0.25">
      <c r="I47" s="251"/>
      <c r="J47" s="251"/>
      <c r="K47" s="251"/>
      <c r="L47" s="251"/>
      <c r="O47" s="261"/>
      <c r="P47" s="261"/>
      <c r="Q47" s="261"/>
      <c r="R47" s="261"/>
    </row>
    <row r="48" spans="1:18" x14ac:dyDescent="0.25">
      <c r="B48" s="1" t="s">
        <v>1509</v>
      </c>
      <c r="C48" s="22"/>
      <c r="D48" s="597"/>
      <c r="E48" s="251"/>
      <c r="F48" s="251"/>
      <c r="G48" s="251"/>
      <c r="H48" s="251"/>
      <c r="I48" s="251"/>
      <c r="J48" s="251"/>
      <c r="K48" s="251"/>
      <c r="L48" s="251"/>
      <c r="M48" s="251"/>
      <c r="N48" s="251"/>
      <c r="O48" s="261"/>
      <c r="P48" s="261"/>
      <c r="Q48" s="261"/>
      <c r="R48" s="261"/>
    </row>
    <row r="49" spans="1:18" x14ac:dyDescent="0.25">
      <c r="B49" s="1"/>
      <c r="C49" s="22"/>
      <c r="D49" s="597"/>
      <c r="E49" s="251"/>
      <c r="F49" s="251"/>
      <c r="G49" s="251"/>
      <c r="H49" s="251"/>
      <c r="I49" s="251"/>
      <c r="J49" s="251"/>
      <c r="K49" s="251"/>
      <c r="L49" s="251"/>
      <c r="M49" s="251"/>
      <c r="N49" s="251"/>
      <c r="O49" s="261"/>
      <c r="P49" s="261"/>
      <c r="Q49" s="261"/>
      <c r="R49" s="261"/>
    </row>
    <row r="50" spans="1:18" x14ac:dyDescent="0.25">
      <c r="B50" s="251"/>
      <c r="C50" s="1"/>
      <c r="D50" s="22"/>
      <c r="E50" s="597"/>
      <c r="F50" s="398" t="s">
        <v>194</v>
      </c>
      <c r="G50" s="455" t="s">
        <v>198</v>
      </c>
      <c r="H50" s="251"/>
      <c r="I50" s="251"/>
      <c r="J50" s="251"/>
      <c r="K50" s="251"/>
      <c r="L50" s="251"/>
      <c r="M50" s="251"/>
      <c r="N50" s="251"/>
      <c r="O50" s="261"/>
      <c r="P50" s="261"/>
      <c r="Q50" s="261"/>
      <c r="R50" s="261"/>
    </row>
    <row r="51" spans="1:18" x14ac:dyDescent="0.25">
      <c r="A51" s="588">
        <f>A46+1</f>
        <v>21</v>
      </c>
      <c r="B51" s="251"/>
      <c r="C51" s="22"/>
      <c r="D51" s="22"/>
      <c r="E51" s="593" t="s">
        <v>1510</v>
      </c>
      <c r="F51" s="594">
        <f>E46</f>
        <v>0</v>
      </c>
      <c r="G51" s="270" t="str">
        <f>"Line "&amp;A46&amp;""</f>
        <v>Line 20</v>
      </c>
      <c r="H51" s="251"/>
      <c r="I51" s="251"/>
      <c r="J51" s="251"/>
      <c r="K51" s="251"/>
      <c r="L51" s="251"/>
      <c r="M51" s="251"/>
      <c r="N51" s="251"/>
      <c r="O51" s="261"/>
      <c r="P51" s="261"/>
      <c r="Q51" s="261"/>
      <c r="R51" s="261"/>
    </row>
    <row r="52" spans="1:18" x14ac:dyDescent="0.25">
      <c r="A52" s="588">
        <f>A51+1</f>
        <v>22</v>
      </c>
      <c r="B52" s="251"/>
      <c r="C52" s="22"/>
      <c r="D52" s="22"/>
      <c r="E52" s="605" t="s">
        <v>265</v>
      </c>
      <c r="F52" s="609" t="e">
        <f>'27-Allocators'!G15</f>
        <v>#DIV/0!</v>
      </c>
      <c r="G52" s="530" t="str">
        <f>"27-Allocators, Line "&amp;'27-Allocators'!A15&amp;""</f>
        <v>27-Allocators, Line 9</v>
      </c>
      <c r="H52" s="251"/>
      <c r="I52" s="251"/>
      <c r="J52" s="251"/>
      <c r="K52" s="251"/>
      <c r="L52" s="251"/>
      <c r="M52" s="251"/>
      <c r="N52" s="251"/>
      <c r="O52" s="261"/>
      <c r="P52" s="261"/>
      <c r="Q52" s="261"/>
      <c r="R52" s="261"/>
    </row>
    <row r="53" spans="1:18" x14ac:dyDescent="0.25">
      <c r="A53" s="588">
        <f>A52+1</f>
        <v>23</v>
      </c>
      <c r="B53" s="251"/>
      <c r="C53" s="22"/>
      <c r="D53" s="22"/>
      <c r="E53" s="605" t="s">
        <v>1511</v>
      </c>
      <c r="F53" s="594" t="e">
        <f>F51*F52</f>
        <v>#DIV/0!</v>
      </c>
      <c r="G53" s="530" t="str">
        <f>"Line "&amp;A51&amp;" * Line "&amp;A52&amp;""</f>
        <v>Line 21 * Line 22</v>
      </c>
      <c r="H53" s="251"/>
      <c r="I53" s="251"/>
      <c r="J53" s="251"/>
      <c r="K53" s="251"/>
      <c r="L53" s="251"/>
      <c r="M53" s="251"/>
      <c r="O53" s="261"/>
      <c r="P53" s="261"/>
      <c r="Q53" s="261"/>
      <c r="R53" s="261"/>
    </row>
    <row r="54" spans="1:18" x14ac:dyDescent="0.25">
      <c r="B54" s="22"/>
      <c r="C54" s="22"/>
      <c r="D54" s="605"/>
      <c r="E54" s="594"/>
      <c r="F54" s="251"/>
      <c r="G54" s="261"/>
      <c r="H54" s="251"/>
      <c r="I54" s="251"/>
      <c r="J54" s="251"/>
      <c r="K54" s="251"/>
      <c r="L54" s="251"/>
      <c r="M54" s="251"/>
      <c r="O54" s="261"/>
      <c r="P54" s="261"/>
      <c r="Q54" s="261"/>
      <c r="R54" s="261"/>
    </row>
    <row r="55" spans="1:18" x14ac:dyDescent="0.25">
      <c r="B55" s="1" t="s">
        <v>2772</v>
      </c>
      <c r="C55" s="22"/>
      <c r="D55" s="597"/>
      <c r="E55" s="251"/>
      <c r="F55" s="251"/>
      <c r="G55" s="261"/>
      <c r="H55" s="251"/>
      <c r="I55" s="251"/>
      <c r="J55" s="251"/>
      <c r="K55" s="251"/>
      <c r="L55" s="251"/>
      <c r="M55" s="251"/>
      <c r="O55" s="261"/>
      <c r="P55" s="261"/>
      <c r="Q55" s="261"/>
      <c r="R55" s="261"/>
    </row>
    <row r="56" spans="1:18" x14ac:dyDescent="0.25">
      <c r="B56" s="251"/>
      <c r="C56" s="251"/>
      <c r="D56" s="251"/>
      <c r="E56" s="251"/>
      <c r="F56" s="251"/>
      <c r="G56" s="261"/>
      <c r="H56" s="251"/>
      <c r="I56" s="251"/>
      <c r="J56" s="251"/>
      <c r="K56" s="251"/>
      <c r="L56" s="251"/>
      <c r="M56" s="251"/>
      <c r="O56" s="611"/>
      <c r="P56" s="81"/>
      <c r="Q56" s="261"/>
      <c r="R56" s="261"/>
    </row>
    <row r="57" spans="1:18" x14ac:dyDescent="0.25">
      <c r="B57" s="251"/>
      <c r="C57" s="251"/>
      <c r="D57" s="251"/>
      <c r="E57" s="251"/>
      <c r="F57" s="398" t="s">
        <v>194</v>
      </c>
      <c r="G57" s="610" t="s">
        <v>198</v>
      </c>
      <c r="H57" s="251"/>
      <c r="I57" s="251"/>
      <c r="J57" s="251"/>
      <c r="K57" s="251"/>
      <c r="L57" s="251"/>
      <c r="M57" s="251"/>
      <c r="O57" s="486"/>
      <c r="P57" s="486"/>
      <c r="Q57" s="261"/>
      <c r="R57" s="261"/>
    </row>
    <row r="58" spans="1:18" x14ac:dyDescent="0.25">
      <c r="A58" s="588">
        <f>A53+1</f>
        <v>24</v>
      </c>
      <c r="B58" s="22"/>
      <c r="C58" s="22"/>
      <c r="E58" s="593" t="s">
        <v>1512</v>
      </c>
      <c r="F58" s="594">
        <f>E45</f>
        <v>0</v>
      </c>
      <c r="G58" s="530" t="str">
        <f>"Line "&amp;A45&amp;""</f>
        <v>Line 19</v>
      </c>
      <c r="H58" s="251"/>
      <c r="I58" s="251"/>
      <c r="J58" s="251"/>
      <c r="K58" s="251"/>
      <c r="L58" s="251"/>
      <c r="M58" s="251"/>
      <c r="O58" s="42"/>
      <c r="P58" s="539"/>
      <c r="Q58" s="261"/>
      <c r="R58" s="261"/>
    </row>
    <row r="59" spans="1:18" x14ac:dyDescent="0.25">
      <c r="A59" s="588">
        <f>A58+1</f>
        <v>25</v>
      </c>
      <c r="B59" s="22"/>
      <c r="C59" s="22"/>
      <c r="E59" s="605" t="s">
        <v>265</v>
      </c>
      <c r="F59" s="609" t="e">
        <f>'27-Allocators'!G15</f>
        <v>#DIV/0!</v>
      </c>
      <c r="G59" s="530" t="str">
        <f>"27-Allocators, Line "&amp;'27-Allocators'!A15&amp;""</f>
        <v>27-Allocators, Line 9</v>
      </c>
      <c r="H59" s="251"/>
      <c r="I59" s="251"/>
      <c r="J59" s="251"/>
      <c r="K59" s="251"/>
      <c r="L59" s="251"/>
      <c r="M59" s="251"/>
      <c r="O59" s="42"/>
      <c r="P59" s="539"/>
      <c r="Q59" s="261"/>
      <c r="R59" s="261"/>
    </row>
    <row r="60" spans="1:18" x14ac:dyDescent="0.25">
      <c r="A60" s="588">
        <f>A59+1</f>
        <v>26</v>
      </c>
      <c r="B60" s="22"/>
      <c r="C60" s="22"/>
      <c r="E60" s="605" t="s">
        <v>1513</v>
      </c>
      <c r="F60" s="594" t="e">
        <f>F58*F59</f>
        <v>#DIV/0!</v>
      </c>
      <c r="G60" s="270" t="str">
        <f>"Line "&amp;A58&amp;" * Line "&amp;A59&amp;""</f>
        <v>Line 24 * Line 25</v>
      </c>
      <c r="H60" s="251"/>
      <c r="I60" s="251"/>
      <c r="J60" s="251"/>
      <c r="K60" s="251"/>
      <c r="L60" s="251"/>
      <c r="M60" s="251"/>
      <c r="Q60" s="261"/>
      <c r="R60" s="261"/>
    </row>
    <row r="61" spans="1:18" x14ac:dyDescent="0.25">
      <c r="B61" s="251"/>
      <c r="C61" s="251"/>
      <c r="D61" s="251"/>
      <c r="E61" s="251"/>
      <c r="F61" s="251"/>
      <c r="G61" s="251"/>
      <c r="H61" s="251"/>
      <c r="I61" s="251"/>
      <c r="J61" s="251"/>
      <c r="K61" s="251"/>
      <c r="L61" s="251"/>
      <c r="M61" s="251"/>
      <c r="Q61" s="261"/>
      <c r="R61" s="261"/>
    </row>
    <row r="62" spans="1:18" x14ac:dyDescent="0.25">
      <c r="Q62" s="261"/>
      <c r="R62" s="261"/>
    </row>
    <row r="63" spans="1:18" x14ac:dyDescent="0.25">
      <c r="B63" s="1" t="s">
        <v>1750</v>
      </c>
      <c r="Q63" s="261"/>
      <c r="R63" s="261"/>
    </row>
    <row r="64" spans="1:18" x14ac:dyDescent="0.25">
      <c r="Q64" s="261"/>
      <c r="R64" s="261"/>
    </row>
    <row r="65" spans="1:18" x14ac:dyDescent="0.25">
      <c r="C65" s="1" t="s">
        <v>1744</v>
      </c>
      <c r="D65" s="551"/>
      <c r="E65" s="551"/>
      <c r="F65" s="551"/>
      <c r="G65" s="551"/>
      <c r="H65" s="551"/>
      <c r="I65" s="551"/>
      <c r="J65" s="551"/>
      <c r="K65" s="551"/>
      <c r="L65" s="551"/>
      <c r="M65" s="551"/>
      <c r="Q65" s="261"/>
      <c r="R65" s="261"/>
    </row>
    <row r="66" spans="1:18" x14ac:dyDescent="0.25">
      <c r="A66" s="551"/>
      <c r="D66" s="551"/>
      <c r="E66" s="551"/>
      <c r="F66" s="551"/>
      <c r="G66" s="551"/>
      <c r="H66" s="551"/>
      <c r="I66" s="551"/>
      <c r="J66" s="551"/>
      <c r="K66" s="551"/>
      <c r="L66" s="551"/>
      <c r="M66" s="551"/>
      <c r="Q66" s="261"/>
      <c r="R66" s="261"/>
    </row>
    <row r="67" spans="1:18" x14ac:dyDescent="0.25">
      <c r="A67" s="449"/>
      <c r="C67" s="92" t="s">
        <v>394</v>
      </c>
      <c r="D67" s="92" t="s">
        <v>378</v>
      </c>
      <c r="E67" s="92" t="s">
        <v>379</v>
      </c>
      <c r="F67" s="92" t="s">
        <v>380</v>
      </c>
      <c r="G67" s="92" t="s">
        <v>381</v>
      </c>
      <c r="H67" s="92" t="s">
        <v>382</v>
      </c>
      <c r="I67" s="92" t="s">
        <v>383</v>
      </c>
      <c r="J67" s="92" t="s">
        <v>597</v>
      </c>
      <c r="K67" s="92" t="s">
        <v>1046</v>
      </c>
      <c r="L67" s="92" t="s">
        <v>1062</v>
      </c>
      <c r="M67" s="92" t="s">
        <v>1065</v>
      </c>
      <c r="N67" s="92" t="s">
        <v>1083</v>
      </c>
      <c r="Q67" s="261"/>
      <c r="R67" s="261"/>
    </row>
    <row r="68" spans="1:18" x14ac:dyDescent="0.25">
      <c r="A68" s="251"/>
      <c r="C68" s="272"/>
      <c r="D68" s="251"/>
      <c r="E68" s="251"/>
      <c r="F68" s="251"/>
      <c r="G68" s="251"/>
      <c r="H68" s="251"/>
      <c r="I68" s="251"/>
      <c r="J68" s="251"/>
      <c r="K68" s="251"/>
      <c r="L68" s="251"/>
      <c r="N68" s="272" t="s">
        <v>1369</v>
      </c>
      <c r="O68" s="261"/>
      <c r="P68" s="261"/>
      <c r="Q68" s="261"/>
      <c r="R68" s="261"/>
    </row>
    <row r="69" spans="1:18" x14ac:dyDescent="0.25">
      <c r="A69" s="251"/>
      <c r="C69" s="121"/>
      <c r="D69" s="92"/>
      <c r="E69" s="92"/>
      <c r="F69" s="251"/>
      <c r="G69" s="251"/>
      <c r="H69" s="251"/>
      <c r="I69" s="251"/>
      <c r="J69" s="251"/>
      <c r="K69" s="251"/>
      <c r="L69" s="251"/>
      <c r="M69" s="251"/>
      <c r="O69" s="261"/>
      <c r="P69" s="261"/>
      <c r="Q69" s="261"/>
      <c r="R69" s="261"/>
    </row>
    <row r="70" spans="1:18" x14ac:dyDescent="0.25">
      <c r="A70" s="53"/>
      <c r="C70" s="135" t="s">
        <v>2044</v>
      </c>
      <c r="D70" s="92">
        <v>350.1</v>
      </c>
      <c r="E70" s="92">
        <v>350.2</v>
      </c>
      <c r="F70" s="92">
        <v>352</v>
      </c>
      <c r="G70" s="92">
        <v>353</v>
      </c>
      <c r="H70" s="92">
        <v>354</v>
      </c>
      <c r="I70" s="92">
        <v>355</v>
      </c>
      <c r="J70" s="92">
        <v>356</v>
      </c>
      <c r="K70" s="92">
        <v>357</v>
      </c>
      <c r="L70" s="92">
        <v>358</v>
      </c>
      <c r="M70" s="92">
        <v>359</v>
      </c>
      <c r="N70" s="3" t="s">
        <v>215</v>
      </c>
      <c r="O70" s="261"/>
      <c r="P70" s="261"/>
      <c r="Q70" s="261"/>
      <c r="R70" s="261"/>
    </row>
    <row r="71" spans="1:18" x14ac:dyDescent="0.25">
      <c r="A71" s="588">
        <f>A60+1</f>
        <v>27</v>
      </c>
      <c r="C71" s="712"/>
      <c r="D71" s="590"/>
      <c r="E71" s="683"/>
      <c r="F71" s="683"/>
      <c r="G71" s="683"/>
      <c r="H71" s="683"/>
      <c r="I71" s="683"/>
      <c r="J71" s="683"/>
      <c r="K71" s="683"/>
      <c r="L71" s="683"/>
      <c r="M71" s="683"/>
      <c r="N71" s="253">
        <f t="shared" ref="N71:N82" si="12">SUM(D71:M71)</f>
        <v>0</v>
      </c>
      <c r="O71" s="261"/>
      <c r="P71" s="261"/>
      <c r="Q71" s="261"/>
      <c r="R71" s="261"/>
    </row>
    <row r="72" spans="1:18" x14ac:dyDescent="0.25">
      <c r="A72" s="588">
        <f t="shared" ref="A72:A83" si="13">A71+1</f>
        <v>28</v>
      </c>
      <c r="C72" s="711"/>
      <c r="D72" s="590"/>
      <c r="E72" s="683"/>
      <c r="F72" s="683"/>
      <c r="G72" s="683"/>
      <c r="H72" s="683"/>
      <c r="I72" s="683"/>
      <c r="J72" s="683"/>
      <c r="K72" s="683"/>
      <c r="L72" s="683"/>
      <c r="M72" s="683"/>
      <c r="N72" s="253">
        <f t="shared" si="12"/>
        <v>0</v>
      </c>
      <c r="P72" s="261"/>
      <c r="Q72" s="261"/>
      <c r="R72" s="261"/>
    </row>
    <row r="73" spans="1:18" x14ac:dyDescent="0.25">
      <c r="A73" s="588">
        <f t="shared" si="13"/>
        <v>29</v>
      </c>
      <c r="C73" s="711"/>
      <c r="D73" s="590"/>
      <c r="E73" s="683"/>
      <c r="F73" s="683"/>
      <c r="G73" s="683"/>
      <c r="H73" s="683"/>
      <c r="I73" s="683"/>
      <c r="J73" s="683"/>
      <c r="K73" s="683"/>
      <c r="L73" s="683"/>
      <c r="M73" s="683"/>
      <c r="N73" s="253">
        <f t="shared" si="12"/>
        <v>0</v>
      </c>
      <c r="P73" s="261"/>
      <c r="Q73" s="261"/>
      <c r="R73" s="261"/>
    </row>
    <row r="74" spans="1:18" x14ac:dyDescent="0.25">
      <c r="A74" s="588">
        <f t="shared" si="13"/>
        <v>30</v>
      </c>
      <c r="C74" s="712"/>
      <c r="D74" s="590"/>
      <c r="E74" s="683"/>
      <c r="F74" s="683"/>
      <c r="G74" s="683"/>
      <c r="H74" s="683"/>
      <c r="I74" s="683"/>
      <c r="J74" s="683"/>
      <c r="K74" s="683"/>
      <c r="L74" s="683"/>
      <c r="M74" s="683"/>
      <c r="N74" s="253">
        <f t="shared" si="12"/>
        <v>0</v>
      </c>
      <c r="P74" s="261"/>
      <c r="Q74" s="261"/>
      <c r="R74" s="261"/>
    </row>
    <row r="75" spans="1:18" x14ac:dyDescent="0.25">
      <c r="A75" s="588">
        <f t="shared" si="13"/>
        <v>31</v>
      </c>
      <c r="C75" s="711"/>
      <c r="D75" s="590"/>
      <c r="E75" s="683"/>
      <c r="F75" s="683"/>
      <c r="G75" s="683"/>
      <c r="H75" s="683"/>
      <c r="I75" s="683"/>
      <c r="J75" s="683"/>
      <c r="K75" s="683"/>
      <c r="L75" s="683"/>
      <c r="M75" s="683"/>
      <c r="N75" s="253">
        <f t="shared" si="12"/>
        <v>0</v>
      </c>
    </row>
    <row r="76" spans="1:18" x14ac:dyDescent="0.25">
      <c r="A76" s="588">
        <f t="shared" si="13"/>
        <v>32</v>
      </c>
      <c r="C76" s="711"/>
      <c r="D76" s="590"/>
      <c r="E76" s="683"/>
      <c r="F76" s="683"/>
      <c r="G76" s="683"/>
      <c r="H76" s="683"/>
      <c r="I76" s="683"/>
      <c r="J76" s="683"/>
      <c r="K76" s="683"/>
      <c r="L76" s="683"/>
      <c r="M76" s="683"/>
      <c r="N76" s="253">
        <f t="shared" si="12"/>
        <v>0</v>
      </c>
    </row>
    <row r="77" spans="1:18" x14ac:dyDescent="0.25">
      <c r="A77" s="588">
        <f t="shared" si="13"/>
        <v>33</v>
      </c>
      <c r="C77" s="712"/>
      <c r="D77" s="590"/>
      <c r="E77" s="683"/>
      <c r="F77" s="683"/>
      <c r="G77" s="683"/>
      <c r="H77" s="683"/>
      <c r="I77" s="683"/>
      <c r="J77" s="683"/>
      <c r="K77" s="683"/>
      <c r="L77" s="683"/>
      <c r="M77" s="683"/>
      <c r="N77" s="253">
        <f t="shared" si="12"/>
        <v>0</v>
      </c>
    </row>
    <row r="78" spans="1:18" x14ac:dyDescent="0.25">
      <c r="A78" s="588">
        <f t="shared" si="13"/>
        <v>34</v>
      </c>
      <c r="C78" s="711"/>
      <c r="D78" s="590"/>
      <c r="E78" s="683"/>
      <c r="F78" s="683"/>
      <c r="G78" s="683"/>
      <c r="H78" s="683"/>
      <c r="I78" s="683"/>
      <c r="J78" s="683"/>
      <c r="K78" s="683"/>
      <c r="L78" s="683"/>
      <c r="M78" s="683"/>
      <c r="N78" s="253">
        <f t="shared" si="12"/>
        <v>0</v>
      </c>
    </row>
    <row r="79" spans="1:18" x14ac:dyDescent="0.25">
      <c r="A79" s="588">
        <f t="shared" si="13"/>
        <v>35</v>
      </c>
      <c r="C79" s="711"/>
      <c r="D79" s="590"/>
      <c r="E79" s="683"/>
      <c r="F79" s="683"/>
      <c r="G79" s="683"/>
      <c r="H79" s="683"/>
      <c r="I79" s="683"/>
      <c r="J79" s="683"/>
      <c r="K79" s="683"/>
      <c r="L79" s="683"/>
      <c r="M79" s="683"/>
      <c r="N79" s="253">
        <f t="shared" si="12"/>
        <v>0</v>
      </c>
    </row>
    <row r="80" spans="1:18" x14ac:dyDescent="0.25">
      <c r="A80" s="588">
        <f t="shared" si="13"/>
        <v>36</v>
      </c>
      <c r="C80" s="712"/>
      <c r="D80" s="590"/>
      <c r="E80" s="683"/>
      <c r="F80" s="683"/>
      <c r="G80" s="683"/>
      <c r="H80" s="683"/>
      <c r="I80" s="683"/>
      <c r="J80" s="683"/>
      <c r="K80" s="683"/>
      <c r="L80" s="683"/>
      <c r="M80" s="683"/>
      <c r="N80" s="253">
        <f t="shared" si="12"/>
        <v>0</v>
      </c>
    </row>
    <row r="81" spans="1:15" x14ac:dyDescent="0.25">
      <c r="A81" s="588">
        <f t="shared" si="13"/>
        <v>37</v>
      </c>
      <c r="C81" s="712"/>
      <c r="D81" s="590"/>
      <c r="E81" s="683"/>
      <c r="F81" s="683"/>
      <c r="G81" s="683"/>
      <c r="H81" s="683"/>
      <c r="I81" s="683"/>
      <c r="J81" s="683"/>
      <c r="K81" s="683"/>
      <c r="L81" s="683"/>
      <c r="M81" s="683"/>
      <c r="N81" s="253">
        <f t="shared" si="12"/>
        <v>0</v>
      </c>
    </row>
    <row r="82" spans="1:15" x14ac:dyDescent="0.25">
      <c r="A82" s="588">
        <f t="shared" si="13"/>
        <v>38</v>
      </c>
      <c r="C82" s="711"/>
      <c r="D82" s="127"/>
      <c r="E82" s="683"/>
      <c r="F82" s="683"/>
      <c r="G82" s="683"/>
      <c r="H82" s="683"/>
      <c r="I82" s="683"/>
      <c r="J82" s="683"/>
      <c r="K82" s="683"/>
      <c r="L82" s="683"/>
      <c r="M82" s="683"/>
      <c r="N82" s="397">
        <f t="shared" si="12"/>
        <v>0</v>
      </c>
      <c r="O82" s="261"/>
    </row>
    <row r="83" spans="1:15" x14ac:dyDescent="0.25">
      <c r="A83" s="588">
        <f t="shared" si="13"/>
        <v>39</v>
      </c>
      <c r="C83" s="592" t="s">
        <v>4</v>
      </c>
      <c r="D83" s="253">
        <f>SUM(D71:D82)</f>
        <v>0</v>
      </c>
      <c r="E83" s="253">
        <f t="shared" ref="E83:M83" si="14">SUM(E71:E82)</f>
        <v>0</v>
      </c>
      <c r="F83" s="253">
        <f t="shared" si="14"/>
        <v>0</v>
      </c>
      <c r="G83" s="253">
        <f t="shared" si="14"/>
        <v>0</v>
      </c>
      <c r="H83" s="253">
        <f t="shared" si="14"/>
        <v>0</v>
      </c>
      <c r="I83" s="253">
        <f t="shared" si="14"/>
        <v>0</v>
      </c>
      <c r="J83" s="253">
        <f t="shared" si="14"/>
        <v>0</v>
      </c>
      <c r="K83" s="253">
        <f t="shared" si="14"/>
        <v>0</v>
      </c>
      <c r="L83" s="253">
        <f t="shared" si="14"/>
        <v>0</v>
      </c>
      <c r="M83" s="253">
        <f t="shared" si="14"/>
        <v>0</v>
      </c>
      <c r="N83" s="253">
        <f>SUM(N71:N82)</f>
        <v>0</v>
      </c>
      <c r="O83" s="261"/>
    </row>
    <row r="85" spans="1:15" x14ac:dyDescent="0.25">
      <c r="C85" s="1" t="s">
        <v>1755</v>
      </c>
      <c r="D85" s="551"/>
      <c r="E85" s="551"/>
      <c r="F85" s="551"/>
      <c r="G85" s="551"/>
      <c r="H85" s="551"/>
      <c r="I85" s="551"/>
      <c r="J85" s="551"/>
      <c r="K85" s="551"/>
      <c r="L85" s="551"/>
    </row>
    <row r="86" spans="1:15" x14ac:dyDescent="0.25">
      <c r="A86" s="551"/>
      <c r="C86" s="551"/>
      <c r="D86" s="551"/>
      <c r="E86" s="551"/>
      <c r="F86" s="551"/>
      <c r="G86" s="551"/>
      <c r="H86" s="551"/>
      <c r="I86" s="551"/>
      <c r="J86" s="551"/>
      <c r="K86" s="551"/>
      <c r="L86" s="551"/>
    </row>
    <row r="87" spans="1:15" x14ac:dyDescent="0.25">
      <c r="A87" s="449"/>
      <c r="C87" s="92" t="s">
        <v>394</v>
      </c>
      <c r="D87" s="92" t="s">
        <v>378</v>
      </c>
      <c r="E87" s="92" t="s">
        <v>379</v>
      </c>
      <c r="F87" s="92" t="s">
        <v>380</v>
      </c>
      <c r="G87" s="92" t="s">
        <v>381</v>
      </c>
      <c r="H87" s="92" t="s">
        <v>382</v>
      </c>
      <c r="I87" s="92" t="s">
        <v>383</v>
      </c>
      <c r="J87" s="92" t="s">
        <v>597</v>
      </c>
      <c r="K87" s="92" t="s">
        <v>1046</v>
      </c>
      <c r="L87" s="92" t="s">
        <v>1062</v>
      </c>
      <c r="M87" s="92" t="s">
        <v>1065</v>
      </c>
      <c r="N87" s="92" t="s">
        <v>1083</v>
      </c>
    </row>
    <row r="88" spans="1:15" x14ac:dyDescent="0.25">
      <c r="A88" s="251"/>
      <c r="C88" s="272"/>
      <c r="D88" s="251"/>
      <c r="E88" s="251"/>
      <c r="F88" s="251"/>
      <c r="G88" s="251"/>
      <c r="H88" s="251"/>
      <c r="I88" s="251"/>
      <c r="J88" s="251"/>
      <c r="K88" s="251"/>
      <c r="L88" s="251"/>
      <c r="N88" s="272" t="s">
        <v>1369</v>
      </c>
    </row>
    <row r="89" spans="1:15" x14ac:dyDescent="0.25">
      <c r="A89" s="251"/>
      <c r="C89" s="121"/>
      <c r="D89" s="92"/>
      <c r="E89" s="92"/>
      <c r="F89" s="251"/>
      <c r="G89" s="251"/>
      <c r="H89" s="251"/>
      <c r="I89" s="251"/>
      <c r="J89" s="251"/>
      <c r="K89" s="251"/>
      <c r="L89" s="251"/>
      <c r="M89" s="251"/>
    </row>
    <row r="90" spans="1:15" x14ac:dyDescent="0.25">
      <c r="A90" s="53"/>
      <c r="C90" s="135" t="s">
        <v>2044</v>
      </c>
      <c r="D90" s="92">
        <v>350.1</v>
      </c>
      <c r="E90" s="92">
        <v>350.2</v>
      </c>
      <c r="F90" s="92">
        <v>352</v>
      </c>
      <c r="G90" s="92">
        <v>353</v>
      </c>
      <c r="H90" s="92">
        <v>354</v>
      </c>
      <c r="I90" s="92">
        <v>355</v>
      </c>
      <c r="J90" s="92">
        <v>356</v>
      </c>
      <c r="K90" s="92">
        <v>357</v>
      </c>
      <c r="L90" s="92">
        <v>358</v>
      </c>
      <c r="M90" s="92">
        <v>359</v>
      </c>
      <c r="N90" s="3" t="s">
        <v>215</v>
      </c>
    </row>
    <row r="91" spans="1:15" x14ac:dyDescent="0.25">
      <c r="A91" s="588">
        <f>A83+1</f>
        <v>40</v>
      </c>
      <c r="C91" s="883"/>
      <c r="D91" s="566">
        <f>'17-Depreciation'!C49</f>
        <v>0</v>
      </c>
      <c r="E91" s="566">
        <f>'17-Depreciation'!D49</f>
        <v>0</v>
      </c>
      <c r="F91" s="566">
        <f>'17-Depreciation'!E49</f>
        <v>0</v>
      </c>
      <c r="G91" s="566">
        <f>'17-Depreciation'!F49</f>
        <v>0</v>
      </c>
      <c r="H91" s="566">
        <f>'17-Depreciation'!G49</f>
        <v>0</v>
      </c>
      <c r="I91" s="566">
        <f>'17-Depreciation'!H49</f>
        <v>0</v>
      </c>
      <c r="J91" s="566">
        <f>'17-Depreciation'!I49</f>
        <v>0</v>
      </c>
      <c r="K91" s="566">
        <f>'17-Depreciation'!J49</f>
        <v>0</v>
      </c>
      <c r="L91" s="566">
        <f>'17-Depreciation'!K49</f>
        <v>0</v>
      </c>
      <c r="M91" s="566">
        <f>'17-Depreciation'!L49</f>
        <v>0</v>
      </c>
      <c r="N91" s="253">
        <f t="shared" ref="N91:N102" si="15">SUM(D91:M91)</f>
        <v>0</v>
      </c>
    </row>
    <row r="92" spans="1:15" x14ac:dyDescent="0.25">
      <c r="A92" s="588">
        <f t="shared" ref="A92:A103" si="16">A91+1</f>
        <v>41</v>
      </c>
      <c r="C92" s="882"/>
      <c r="D92" s="566" t="e">
        <f>'17-Depreciation'!C50</f>
        <v>#DIV/0!</v>
      </c>
      <c r="E92" s="566" t="e">
        <f>'17-Depreciation'!D50</f>
        <v>#DIV/0!</v>
      </c>
      <c r="F92" s="566" t="e">
        <f>'17-Depreciation'!E50</f>
        <v>#DIV/0!</v>
      </c>
      <c r="G92" s="566" t="e">
        <f>'17-Depreciation'!F50</f>
        <v>#DIV/0!</v>
      </c>
      <c r="H92" s="566" t="e">
        <f>'17-Depreciation'!G50</f>
        <v>#DIV/0!</v>
      </c>
      <c r="I92" s="566" t="e">
        <f>'17-Depreciation'!H50</f>
        <v>#DIV/0!</v>
      </c>
      <c r="J92" s="566" t="e">
        <f>'17-Depreciation'!I50</f>
        <v>#DIV/0!</v>
      </c>
      <c r="K92" s="566" t="e">
        <f>'17-Depreciation'!J50</f>
        <v>#DIV/0!</v>
      </c>
      <c r="L92" s="566" t="e">
        <f>'17-Depreciation'!K50</f>
        <v>#DIV/0!</v>
      </c>
      <c r="M92" s="566" t="e">
        <f>'17-Depreciation'!L50</f>
        <v>#DIV/0!</v>
      </c>
      <c r="N92" s="253" t="e">
        <f t="shared" si="15"/>
        <v>#DIV/0!</v>
      </c>
    </row>
    <row r="93" spans="1:15" x14ac:dyDescent="0.25">
      <c r="A93" s="588">
        <f t="shared" si="16"/>
        <v>42</v>
      </c>
      <c r="C93" s="882"/>
      <c r="D93" s="566" t="e">
        <f>'17-Depreciation'!C51</f>
        <v>#DIV/0!</v>
      </c>
      <c r="E93" s="566" t="e">
        <f>'17-Depreciation'!D51</f>
        <v>#DIV/0!</v>
      </c>
      <c r="F93" s="566" t="e">
        <f>'17-Depreciation'!E51</f>
        <v>#DIV/0!</v>
      </c>
      <c r="G93" s="566" t="e">
        <f>'17-Depreciation'!F51</f>
        <v>#DIV/0!</v>
      </c>
      <c r="H93" s="566" t="e">
        <f>'17-Depreciation'!G51</f>
        <v>#DIV/0!</v>
      </c>
      <c r="I93" s="566" t="e">
        <f>'17-Depreciation'!H51</f>
        <v>#DIV/0!</v>
      </c>
      <c r="J93" s="566" t="e">
        <f>'17-Depreciation'!I51</f>
        <v>#DIV/0!</v>
      </c>
      <c r="K93" s="566" t="e">
        <f>'17-Depreciation'!J51</f>
        <v>#DIV/0!</v>
      </c>
      <c r="L93" s="566" t="e">
        <f>'17-Depreciation'!K51</f>
        <v>#DIV/0!</v>
      </c>
      <c r="M93" s="566" t="e">
        <f>'17-Depreciation'!L51</f>
        <v>#DIV/0!</v>
      </c>
      <c r="N93" s="253" t="e">
        <f t="shared" si="15"/>
        <v>#DIV/0!</v>
      </c>
    </row>
    <row r="94" spans="1:15" x14ac:dyDescent="0.25">
      <c r="A94" s="588">
        <f t="shared" si="16"/>
        <v>43</v>
      </c>
      <c r="C94" s="883"/>
      <c r="D94" s="566" t="e">
        <f>'17-Depreciation'!C52</f>
        <v>#DIV/0!</v>
      </c>
      <c r="E94" s="566" t="e">
        <f>'17-Depreciation'!D52</f>
        <v>#DIV/0!</v>
      </c>
      <c r="F94" s="566" t="e">
        <f>'17-Depreciation'!E52</f>
        <v>#DIV/0!</v>
      </c>
      <c r="G94" s="566" t="e">
        <f>'17-Depreciation'!F52</f>
        <v>#DIV/0!</v>
      </c>
      <c r="H94" s="566" t="e">
        <f>'17-Depreciation'!G52</f>
        <v>#DIV/0!</v>
      </c>
      <c r="I94" s="566" t="e">
        <f>'17-Depreciation'!H52</f>
        <v>#DIV/0!</v>
      </c>
      <c r="J94" s="566" t="e">
        <f>'17-Depreciation'!I52</f>
        <v>#DIV/0!</v>
      </c>
      <c r="K94" s="566" t="e">
        <f>'17-Depreciation'!J52</f>
        <v>#DIV/0!</v>
      </c>
      <c r="L94" s="566" t="e">
        <f>'17-Depreciation'!K52</f>
        <v>#DIV/0!</v>
      </c>
      <c r="M94" s="566" t="e">
        <f>'17-Depreciation'!L52</f>
        <v>#DIV/0!</v>
      </c>
      <c r="N94" s="253" t="e">
        <f t="shared" si="15"/>
        <v>#DIV/0!</v>
      </c>
    </row>
    <row r="95" spans="1:15" x14ac:dyDescent="0.25">
      <c r="A95" s="588">
        <f t="shared" si="16"/>
        <v>44</v>
      </c>
      <c r="C95" s="882"/>
      <c r="D95" s="566" t="e">
        <f>'17-Depreciation'!C53</f>
        <v>#DIV/0!</v>
      </c>
      <c r="E95" s="566" t="e">
        <f>'17-Depreciation'!D53</f>
        <v>#DIV/0!</v>
      </c>
      <c r="F95" s="566" t="e">
        <f>'17-Depreciation'!E53</f>
        <v>#DIV/0!</v>
      </c>
      <c r="G95" s="566" t="e">
        <f>'17-Depreciation'!F53</f>
        <v>#DIV/0!</v>
      </c>
      <c r="H95" s="566" t="e">
        <f>'17-Depreciation'!G53</f>
        <v>#DIV/0!</v>
      </c>
      <c r="I95" s="566" t="e">
        <f>'17-Depreciation'!H53</f>
        <v>#DIV/0!</v>
      </c>
      <c r="J95" s="566" t="e">
        <f>'17-Depreciation'!I53</f>
        <v>#DIV/0!</v>
      </c>
      <c r="K95" s="566" t="e">
        <f>'17-Depreciation'!J53</f>
        <v>#DIV/0!</v>
      </c>
      <c r="L95" s="566" t="e">
        <f>'17-Depreciation'!K53</f>
        <v>#DIV/0!</v>
      </c>
      <c r="M95" s="566" t="e">
        <f>'17-Depreciation'!L53</f>
        <v>#DIV/0!</v>
      </c>
      <c r="N95" s="253" t="e">
        <f t="shared" si="15"/>
        <v>#DIV/0!</v>
      </c>
    </row>
    <row r="96" spans="1:15" x14ac:dyDescent="0.25">
      <c r="A96" s="588">
        <f t="shared" si="16"/>
        <v>45</v>
      </c>
      <c r="C96" s="882"/>
      <c r="D96" s="566" t="e">
        <f>'17-Depreciation'!C54</f>
        <v>#DIV/0!</v>
      </c>
      <c r="E96" s="566" t="e">
        <f>'17-Depreciation'!D54</f>
        <v>#DIV/0!</v>
      </c>
      <c r="F96" s="566" t="e">
        <f>'17-Depreciation'!E54</f>
        <v>#DIV/0!</v>
      </c>
      <c r="G96" s="566" t="e">
        <f>'17-Depreciation'!F54</f>
        <v>#DIV/0!</v>
      </c>
      <c r="H96" s="566" t="e">
        <f>'17-Depreciation'!G54</f>
        <v>#DIV/0!</v>
      </c>
      <c r="I96" s="566" t="e">
        <f>'17-Depreciation'!H54</f>
        <v>#DIV/0!</v>
      </c>
      <c r="J96" s="566" t="e">
        <f>'17-Depreciation'!I54</f>
        <v>#DIV/0!</v>
      </c>
      <c r="K96" s="566" t="e">
        <f>'17-Depreciation'!J54</f>
        <v>#DIV/0!</v>
      </c>
      <c r="L96" s="566" t="e">
        <f>'17-Depreciation'!K54</f>
        <v>#DIV/0!</v>
      </c>
      <c r="M96" s="566" t="e">
        <f>'17-Depreciation'!L54</f>
        <v>#DIV/0!</v>
      </c>
      <c r="N96" s="253" t="e">
        <f t="shared" si="15"/>
        <v>#DIV/0!</v>
      </c>
    </row>
    <row r="97" spans="1:14" x14ac:dyDescent="0.25">
      <c r="A97" s="588">
        <f t="shared" si="16"/>
        <v>46</v>
      </c>
      <c r="C97" s="883"/>
      <c r="D97" s="566" t="e">
        <f>'17-Depreciation'!C55</f>
        <v>#DIV/0!</v>
      </c>
      <c r="E97" s="566" t="e">
        <f>'17-Depreciation'!D55</f>
        <v>#DIV/0!</v>
      </c>
      <c r="F97" s="566" t="e">
        <f>'17-Depreciation'!E55</f>
        <v>#DIV/0!</v>
      </c>
      <c r="G97" s="566" t="e">
        <f>'17-Depreciation'!F55</f>
        <v>#DIV/0!</v>
      </c>
      <c r="H97" s="566" t="e">
        <f>'17-Depreciation'!G55</f>
        <v>#DIV/0!</v>
      </c>
      <c r="I97" s="566" t="e">
        <f>'17-Depreciation'!H55</f>
        <v>#DIV/0!</v>
      </c>
      <c r="J97" s="566" t="e">
        <f>'17-Depreciation'!I55</f>
        <v>#DIV/0!</v>
      </c>
      <c r="K97" s="566" t="e">
        <f>'17-Depreciation'!J55</f>
        <v>#DIV/0!</v>
      </c>
      <c r="L97" s="566" t="e">
        <f>'17-Depreciation'!K55</f>
        <v>#DIV/0!</v>
      </c>
      <c r="M97" s="566" t="e">
        <f>'17-Depreciation'!L55</f>
        <v>#DIV/0!</v>
      </c>
      <c r="N97" s="253" t="e">
        <f t="shared" si="15"/>
        <v>#DIV/0!</v>
      </c>
    </row>
    <row r="98" spans="1:14" x14ac:dyDescent="0.25">
      <c r="A98" s="588">
        <f t="shared" si="16"/>
        <v>47</v>
      </c>
      <c r="C98" s="882"/>
      <c r="D98" s="566" t="e">
        <f>'17-Depreciation'!C56</f>
        <v>#DIV/0!</v>
      </c>
      <c r="E98" s="566" t="e">
        <f>'17-Depreciation'!D56</f>
        <v>#DIV/0!</v>
      </c>
      <c r="F98" s="566" t="e">
        <f>'17-Depreciation'!E56</f>
        <v>#DIV/0!</v>
      </c>
      <c r="G98" s="566" t="e">
        <f>'17-Depreciation'!F56</f>
        <v>#DIV/0!</v>
      </c>
      <c r="H98" s="566" t="e">
        <f>'17-Depreciation'!G56</f>
        <v>#DIV/0!</v>
      </c>
      <c r="I98" s="566" t="e">
        <f>'17-Depreciation'!H56</f>
        <v>#DIV/0!</v>
      </c>
      <c r="J98" s="566" t="e">
        <f>'17-Depreciation'!I56</f>
        <v>#DIV/0!</v>
      </c>
      <c r="K98" s="566" t="e">
        <f>'17-Depreciation'!J56</f>
        <v>#DIV/0!</v>
      </c>
      <c r="L98" s="566" t="e">
        <f>'17-Depreciation'!K56</f>
        <v>#DIV/0!</v>
      </c>
      <c r="M98" s="566" t="e">
        <f>'17-Depreciation'!L56</f>
        <v>#DIV/0!</v>
      </c>
      <c r="N98" s="253" t="e">
        <f t="shared" si="15"/>
        <v>#DIV/0!</v>
      </c>
    </row>
    <row r="99" spans="1:14" x14ac:dyDescent="0.25">
      <c r="A99" s="588">
        <f t="shared" si="16"/>
        <v>48</v>
      </c>
      <c r="C99" s="882"/>
      <c r="D99" s="566" t="e">
        <f>'17-Depreciation'!C57</f>
        <v>#DIV/0!</v>
      </c>
      <c r="E99" s="566" t="e">
        <f>'17-Depreciation'!D57</f>
        <v>#DIV/0!</v>
      </c>
      <c r="F99" s="566" t="e">
        <f>'17-Depreciation'!E57</f>
        <v>#DIV/0!</v>
      </c>
      <c r="G99" s="566" t="e">
        <f>'17-Depreciation'!F57</f>
        <v>#DIV/0!</v>
      </c>
      <c r="H99" s="566" t="e">
        <f>'17-Depreciation'!G57</f>
        <v>#DIV/0!</v>
      </c>
      <c r="I99" s="566" t="e">
        <f>'17-Depreciation'!H57</f>
        <v>#DIV/0!</v>
      </c>
      <c r="J99" s="566" t="e">
        <f>'17-Depreciation'!I57</f>
        <v>#DIV/0!</v>
      </c>
      <c r="K99" s="566" t="e">
        <f>'17-Depreciation'!J57</f>
        <v>#DIV/0!</v>
      </c>
      <c r="L99" s="566" t="e">
        <f>'17-Depreciation'!K57</f>
        <v>#DIV/0!</v>
      </c>
      <c r="M99" s="566" t="e">
        <f>'17-Depreciation'!L57</f>
        <v>#DIV/0!</v>
      </c>
      <c r="N99" s="253" t="e">
        <f t="shared" si="15"/>
        <v>#DIV/0!</v>
      </c>
    </row>
    <row r="100" spans="1:14" x14ac:dyDescent="0.25">
      <c r="A100" s="588">
        <f t="shared" si="16"/>
        <v>49</v>
      </c>
      <c r="C100" s="883"/>
      <c r="D100" s="566" t="e">
        <f>'17-Depreciation'!C58</f>
        <v>#DIV/0!</v>
      </c>
      <c r="E100" s="566" t="e">
        <f>'17-Depreciation'!D58</f>
        <v>#DIV/0!</v>
      </c>
      <c r="F100" s="566" t="e">
        <f>'17-Depreciation'!E58</f>
        <v>#DIV/0!</v>
      </c>
      <c r="G100" s="566" t="e">
        <f>'17-Depreciation'!F58</f>
        <v>#DIV/0!</v>
      </c>
      <c r="H100" s="566" t="e">
        <f>'17-Depreciation'!G58</f>
        <v>#DIV/0!</v>
      </c>
      <c r="I100" s="566" t="e">
        <f>'17-Depreciation'!H58</f>
        <v>#DIV/0!</v>
      </c>
      <c r="J100" s="566" t="e">
        <f>'17-Depreciation'!I58</f>
        <v>#DIV/0!</v>
      </c>
      <c r="K100" s="566" t="e">
        <f>'17-Depreciation'!J58</f>
        <v>#DIV/0!</v>
      </c>
      <c r="L100" s="566" t="e">
        <f>'17-Depreciation'!K58</f>
        <v>#DIV/0!</v>
      </c>
      <c r="M100" s="566" t="e">
        <f>'17-Depreciation'!L58</f>
        <v>#DIV/0!</v>
      </c>
      <c r="N100" s="253" t="e">
        <f t="shared" si="15"/>
        <v>#DIV/0!</v>
      </c>
    </row>
    <row r="101" spans="1:14" x14ac:dyDescent="0.25">
      <c r="A101" s="588">
        <f t="shared" si="16"/>
        <v>50</v>
      </c>
      <c r="C101" s="883"/>
      <c r="D101" s="566" t="e">
        <f>'17-Depreciation'!C59</f>
        <v>#DIV/0!</v>
      </c>
      <c r="E101" s="566" t="e">
        <f>'17-Depreciation'!D59</f>
        <v>#DIV/0!</v>
      </c>
      <c r="F101" s="566" t="e">
        <f>'17-Depreciation'!E59</f>
        <v>#DIV/0!</v>
      </c>
      <c r="G101" s="566" t="e">
        <f>'17-Depreciation'!F59</f>
        <v>#DIV/0!</v>
      </c>
      <c r="H101" s="566" t="e">
        <f>'17-Depreciation'!G59</f>
        <v>#DIV/0!</v>
      </c>
      <c r="I101" s="566" t="e">
        <f>'17-Depreciation'!H59</f>
        <v>#DIV/0!</v>
      </c>
      <c r="J101" s="566" t="e">
        <f>'17-Depreciation'!I59</f>
        <v>#DIV/0!</v>
      </c>
      <c r="K101" s="566" t="e">
        <f>'17-Depreciation'!J59</f>
        <v>#DIV/0!</v>
      </c>
      <c r="L101" s="566" t="e">
        <f>'17-Depreciation'!K59</f>
        <v>#DIV/0!</v>
      </c>
      <c r="M101" s="566" t="e">
        <f>'17-Depreciation'!L59</f>
        <v>#DIV/0!</v>
      </c>
      <c r="N101" s="253" t="e">
        <f t="shared" si="15"/>
        <v>#DIV/0!</v>
      </c>
    </row>
    <row r="102" spans="1:14" x14ac:dyDescent="0.25">
      <c r="A102" s="588">
        <f t="shared" si="16"/>
        <v>51</v>
      </c>
      <c r="C102" s="882"/>
      <c r="D102" s="122" t="e">
        <f>'17-Depreciation'!C60</f>
        <v>#DIV/0!</v>
      </c>
      <c r="E102" s="122" t="e">
        <f>'17-Depreciation'!D60</f>
        <v>#DIV/0!</v>
      </c>
      <c r="F102" s="122" t="e">
        <f>'17-Depreciation'!E60</f>
        <v>#DIV/0!</v>
      </c>
      <c r="G102" s="122" t="e">
        <f>'17-Depreciation'!F60</f>
        <v>#DIV/0!</v>
      </c>
      <c r="H102" s="122" t="e">
        <f>'17-Depreciation'!G60</f>
        <v>#DIV/0!</v>
      </c>
      <c r="I102" s="122" t="e">
        <f>'17-Depreciation'!H60</f>
        <v>#DIV/0!</v>
      </c>
      <c r="J102" s="122" t="e">
        <f>'17-Depreciation'!I60</f>
        <v>#DIV/0!</v>
      </c>
      <c r="K102" s="122" t="e">
        <f>'17-Depreciation'!J60</f>
        <v>#DIV/0!</v>
      </c>
      <c r="L102" s="122" t="e">
        <f>'17-Depreciation'!K60</f>
        <v>#DIV/0!</v>
      </c>
      <c r="M102" s="122" t="e">
        <f>'17-Depreciation'!L60</f>
        <v>#DIV/0!</v>
      </c>
      <c r="N102" s="397" t="e">
        <f t="shared" si="15"/>
        <v>#DIV/0!</v>
      </c>
    </row>
    <row r="103" spans="1:14" x14ac:dyDescent="0.25">
      <c r="A103" s="588">
        <f t="shared" si="16"/>
        <v>52</v>
      </c>
      <c r="C103" s="592" t="s">
        <v>4</v>
      </c>
      <c r="D103" s="253" t="e">
        <f>SUM(D91:D102)</f>
        <v>#DIV/0!</v>
      </c>
      <c r="E103" s="253" t="e">
        <f t="shared" ref="E103:M103" si="17">SUM(E91:E102)</f>
        <v>#DIV/0!</v>
      </c>
      <c r="F103" s="253" t="e">
        <f t="shared" si="17"/>
        <v>#DIV/0!</v>
      </c>
      <c r="G103" s="253" t="e">
        <f t="shared" si="17"/>
        <v>#DIV/0!</v>
      </c>
      <c r="H103" s="253" t="e">
        <f t="shared" si="17"/>
        <v>#DIV/0!</v>
      </c>
      <c r="I103" s="253" t="e">
        <f t="shared" si="17"/>
        <v>#DIV/0!</v>
      </c>
      <c r="J103" s="253" t="e">
        <f t="shared" si="17"/>
        <v>#DIV/0!</v>
      </c>
      <c r="K103" s="253" t="e">
        <f t="shared" si="17"/>
        <v>#DIV/0!</v>
      </c>
      <c r="L103" s="253" t="e">
        <f t="shared" si="17"/>
        <v>#DIV/0!</v>
      </c>
      <c r="M103" s="253" t="e">
        <f t="shared" si="17"/>
        <v>#DIV/0!</v>
      </c>
      <c r="N103" s="253" t="e">
        <f>SUM(N91:N102)</f>
        <v>#DIV/0!</v>
      </c>
    </row>
    <row r="105" spans="1:14" x14ac:dyDescent="0.25">
      <c r="C105" s="1" t="s">
        <v>1756</v>
      </c>
      <c r="D105" s="551"/>
      <c r="E105" s="551"/>
      <c r="F105" s="551"/>
      <c r="G105" s="551"/>
      <c r="H105" s="551"/>
      <c r="I105" s="551"/>
      <c r="J105" s="551"/>
      <c r="K105" s="551"/>
      <c r="L105" s="551"/>
    </row>
    <row r="106" spans="1:14" x14ac:dyDescent="0.25">
      <c r="C106" s="551"/>
      <c r="D106" s="551"/>
      <c r="E106" s="551"/>
      <c r="F106" s="551"/>
      <c r="G106" s="551"/>
      <c r="H106" s="551"/>
      <c r="I106" s="551"/>
      <c r="J106" s="551"/>
      <c r="K106" s="551"/>
      <c r="L106" s="551"/>
    </row>
    <row r="107" spans="1:14" x14ac:dyDescent="0.25">
      <c r="C107" s="92" t="s">
        <v>394</v>
      </c>
      <c r="D107" s="92" t="s">
        <v>378</v>
      </c>
      <c r="E107" s="92" t="s">
        <v>379</v>
      </c>
      <c r="F107" s="92" t="s">
        <v>380</v>
      </c>
      <c r="G107" s="92" t="s">
        <v>381</v>
      </c>
      <c r="H107" s="92" t="s">
        <v>382</v>
      </c>
      <c r="I107" s="92" t="s">
        <v>383</v>
      </c>
      <c r="J107" s="92" t="s">
        <v>597</v>
      </c>
      <c r="K107" s="92" t="s">
        <v>1046</v>
      </c>
      <c r="L107" s="92" t="s">
        <v>1062</v>
      </c>
      <c r="M107" s="92" t="s">
        <v>1065</v>
      </c>
      <c r="N107" s="92" t="s">
        <v>1083</v>
      </c>
    </row>
    <row r="108" spans="1:14" x14ac:dyDescent="0.25">
      <c r="C108" s="272"/>
      <c r="D108" s="251"/>
      <c r="E108" s="251"/>
      <c r="F108" s="251"/>
      <c r="G108" s="251"/>
      <c r="H108" s="251"/>
      <c r="I108" s="251"/>
      <c r="J108" s="251"/>
      <c r="K108" s="251"/>
      <c r="L108" s="251"/>
      <c r="N108" s="272" t="s">
        <v>1369</v>
      </c>
    </row>
    <row r="109" spans="1:14" x14ac:dyDescent="0.25">
      <c r="C109" s="121"/>
      <c r="D109" s="92"/>
      <c r="E109" s="92"/>
      <c r="F109" s="251"/>
      <c r="G109" s="251"/>
      <c r="H109" s="251"/>
      <c r="I109" s="251"/>
      <c r="J109" s="251"/>
      <c r="K109" s="251"/>
      <c r="L109" s="251"/>
      <c r="M109" s="251"/>
    </row>
    <row r="110" spans="1:14" x14ac:dyDescent="0.25">
      <c r="C110" s="135" t="s">
        <v>2044</v>
      </c>
      <c r="D110" s="92">
        <v>350.1</v>
      </c>
      <c r="E110" s="92">
        <v>350.2</v>
      </c>
      <c r="F110" s="92">
        <v>352</v>
      </c>
      <c r="G110" s="92">
        <v>353</v>
      </c>
      <c r="H110" s="92">
        <v>354</v>
      </c>
      <c r="I110" s="92">
        <v>355</v>
      </c>
      <c r="J110" s="92">
        <v>356</v>
      </c>
      <c r="K110" s="92">
        <v>357</v>
      </c>
      <c r="L110" s="92">
        <v>358</v>
      </c>
      <c r="M110" s="92">
        <v>359</v>
      </c>
      <c r="N110" s="3" t="s">
        <v>215</v>
      </c>
    </row>
    <row r="111" spans="1:14" x14ac:dyDescent="0.25">
      <c r="A111" s="588">
        <f>A103+1</f>
        <v>53</v>
      </c>
      <c r="C111" s="883"/>
      <c r="D111" s="566">
        <f t="shared" ref="D111:M111" si="18">D71-D91</f>
        <v>0</v>
      </c>
      <c r="E111" s="566">
        <f t="shared" si="18"/>
        <v>0</v>
      </c>
      <c r="F111" s="566">
        <f t="shared" si="18"/>
        <v>0</v>
      </c>
      <c r="G111" s="566">
        <f t="shared" si="18"/>
        <v>0</v>
      </c>
      <c r="H111" s="566">
        <f t="shared" si="18"/>
        <v>0</v>
      </c>
      <c r="I111" s="566">
        <f t="shared" si="18"/>
        <v>0</v>
      </c>
      <c r="J111" s="566">
        <f t="shared" si="18"/>
        <v>0</v>
      </c>
      <c r="K111" s="566">
        <f t="shared" si="18"/>
        <v>0</v>
      </c>
      <c r="L111" s="566">
        <f t="shared" si="18"/>
        <v>0</v>
      </c>
      <c r="M111" s="566">
        <f t="shared" si="18"/>
        <v>0</v>
      </c>
      <c r="N111" s="253">
        <f t="shared" ref="N111:N122" si="19">SUM(D111:M111)</f>
        <v>0</v>
      </c>
    </row>
    <row r="112" spans="1:14" x14ac:dyDescent="0.25">
      <c r="A112" s="588">
        <f t="shared" ref="A112:A123" si="20">A111+1</f>
        <v>54</v>
      </c>
      <c r="C112" s="882"/>
      <c r="D112" s="566" t="e">
        <f t="shared" ref="D112:M112" si="21">D72-D92</f>
        <v>#DIV/0!</v>
      </c>
      <c r="E112" s="566" t="e">
        <f t="shared" si="21"/>
        <v>#DIV/0!</v>
      </c>
      <c r="F112" s="566" t="e">
        <f t="shared" si="21"/>
        <v>#DIV/0!</v>
      </c>
      <c r="G112" s="566" t="e">
        <f t="shared" si="21"/>
        <v>#DIV/0!</v>
      </c>
      <c r="H112" s="566" t="e">
        <f t="shared" si="21"/>
        <v>#DIV/0!</v>
      </c>
      <c r="I112" s="566" t="e">
        <f t="shared" si="21"/>
        <v>#DIV/0!</v>
      </c>
      <c r="J112" s="566" t="e">
        <f t="shared" si="21"/>
        <v>#DIV/0!</v>
      </c>
      <c r="K112" s="566" t="e">
        <f t="shared" si="21"/>
        <v>#DIV/0!</v>
      </c>
      <c r="L112" s="566" t="e">
        <f t="shared" si="21"/>
        <v>#DIV/0!</v>
      </c>
      <c r="M112" s="566" t="e">
        <f t="shared" si="21"/>
        <v>#DIV/0!</v>
      </c>
      <c r="N112" s="253" t="e">
        <f t="shared" si="19"/>
        <v>#DIV/0!</v>
      </c>
    </row>
    <row r="113" spans="1:14" x14ac:dyDescent="0.25">
      <c r="A113" s="588">
        <f t="shared" si="20"/>
        <v>55</v>
      </c>
      <c r="C113" s="882"/>
      <c r="D113" s="566" t="e">
        <f t="shared" ref="D113:M113" si="22">D73-D93</f>
        <v>#DIV/0!</v>
      </c>
      <c r="E113" s="566" t="e">
        <f t="shared" si="22"/>
        <v>#DIV/0!</v>
      </c>
      <c r="F113" s="566" t="e">
        <f t="shared" si="22"/>
        <v>#DIV/0!</v>
      </c>
      <c r="G113" s="566" t="e">
        <f t="shared" si="22"/>
        <v>#DIV/0!</v>
      </c>
      <c r="H113" s="566" t="e">
        <f t="shared" si="22"/>
        <v>#DIV/0!</v>
      </c>
      <c r="I113" s="566" t="e">
        <f t="shared" si="22"/>
        <v>#DIV/0!</v>
      </c>
      <c r="J113" s="566" t="e">
        <f t="shared" si="22"/>
        <v>#DIV/0!</v>
      </c>
      <c r="K113" s="566" t="e">
        <f t="shared" si="22"/>
        <v>#DIV/0!</v>
      </c>
      <c r="L113" s="566" t="e">
        <f t="shared" si="22"/>
        <v>#DIV/0!</v>
      </c>
      <c r="M113" s="566" t="e">
        <f t="shared" si="22"/>
        <v>#DIV/0!</v>
      </c>
      <c r="N113" s="253" t="e">
        <f t="shared" si="19"/>
        <v>#DIV/0!</v>
      </c>
    </row>
    <row r="114" spans="1:14" x14ac:dyDescent="0.25">
      <c r="A114" s="588">
        <f t="shared" si="20"/>
        <v>56</v>
      </c>
      <c r="C114" s="883"/>
      <c r="D114" s="566" t="e">
        <f t="shared" ref="D114:M114" si="23">D74-D94</f>
        <v>#DIV/0!</v>
      </c>
      <c r="E114" s="566" t="e">
        <f t="shared" si="23"/>
        <v>#DIV/0!</v>
      </c>
      <c r="F114" s="566" t="e">
        <f t="shared" si="23"/>
        <v>#DIV/0!</v>
      </c>
      <c r="G114" s="566" t="e">
        <f t="shared" si="23"/>
        <v>#DIV/0!</v>
      </c>
      <c r="H114" s="566" t="e">
        <f t="shared" si="23"/>
        <v>#DIV/0!</v>
      </c>
      <c r="I114" s="566" t="e">
        <f t="shared" si="23"/>
        <v>#DIV/0!</v>
      </c>
      <c r="J114" s="566" t="e">
        <f t="shared" si="23"/>
        <v>#DIV/0!</v>
      </c>
      <c r="K114" s="566" t="e">
        <f t="shared" si="23"/>
        <v>#DIV/0!</v>
      </c>
      <c r="L114" s="566" t="e">
        <f t="shared" si="23"/>
        <v>#DIV/0!</v>
      </c>
      <c r="M114" s="566" t="e">
        <f t="shared" si="23"/>
        <v>#DIV/0!</v>
      </c>
      <c r="N114" s="253" t="e">
        <f t="shared" si="19"/>
        <v>#DIV/0!</v>
      </c>
    </row>
    <row r="115" spans="1:14" x14ac:dyDescent="0.25">
      <c r="A115" s="588">
        <f t="shared" si="20"/>
        <v>57</v>
      </c>
      <c r="C115" s="882"/>
      <c r="D115" s="566" t="e">
        <f t="shared" ref="D115:M115" si="24">D75-D95</f>
        <v>#DIV/0!</v>
      </c>
      <c r="E115" s="566" t="e">
        <f t="shared" si="24"/>
        <v>#DIV/0!</v>
      </c>
      <c r="F115" s="566" t="e">
        <f t="shared" si="24"/>
        <v>#DIV/0!</v>
      </c>
      <c r="G115" s="566" t="e">
        <f t="shared" si="24"/>
        <v>#DIV/0!</v>
      </c>
      <c r="H115" s="566" t="e">
        <f t="shared" si="24"/>
        <v>#DIV/0!</v>
      </c>
      <c r="I115" s="566" t="e">
        <f t="shared" si="24"/>
        <v>#DIV/0!</v>
      </c>
      <c r="J115" s="566" t="e">
        <f t="shared" si="24"/>
        <v>#DIV/0!</v>
      </c>
      <c r="K115" s="566" t="e">
        <f t="shared" si="24"/>
        <v>#DIV/0!</v>
      </c>
      <c r="L115" s="566" t="e">
        <f t="shared" si="24"/>
        <v>#DIV/0!</v>
      </c>
      <c r="M115" s="566" t="e">
        <f t="shared" si="24"/>
        <v>#DIV/0!</v>
      </c>
      <c r="N115" s="253" t="e">
        <f t="shared" si="19"/>
        <v>#DIV/0!</v>
      </c>
    </row>
    <row r="116" spans="1:14" x14ac:dyDescent="0.25">
      <c r="A116" s="588">
        <f t="shared" si="20"/>
        <v>58</v>
      </c>
      <c r="C116" s="882"/>
      <c r="D116" s="566" t="e">
        <f t="shared" ref="D116:M116" si="25">D76-D96</f>
        <v>#DIV/0!</v>
      </c>
      <c r="E116" s="566" t="e">
        <f t="shared" si="25"/>
        <v>#DIV/0!</v>
      </c>
      <c r="F116" s="566" t="e">
        <f t="shared" si="25"/>
        <v>#DIV/0!</v>
      </c>
      <c r="G116" s="566" t="e">
        <f t="shared" si="25"/>
        <v>#DIV/0!</v>
      </c>
      <c r="H116" s="566" t="e">
        <f t="shared" si="25"/>
        <v>#DIV/0!</v>
      </c>
      <c r="I116" s="566" t="e">
        <f t="shared" si="25"/>
        <v>#DIV/0!</v>
      </c>
      <c r="J116" s="566" t="e">
        <f t="shared" si="25"/>
        <v>#DIV/0!</v>
      </c>
      <c r="K116" s="566" t="e">
        <f t="shared" si="25"/>
        <v>#DIV/0!</v>
      </c>
      <c r="L116" s="566" t="e">
        <f t="shared" si="25"/>
        <v>#DIV/0!</v>
      </c>
      <c r="M116" s="566" t="e">
        <f t="shared" si="25"/>
        <v>#DIV/0!</v>
      </c>
      <c r="N116" s="253" t="e">
        <f t="shared" si="19"/>
        <v>#DIV/0!</v>
      </c>
    </row>
    <row r="117" spans="1:14" x14ac:dyDescent="0.25">
      <c r="A117" s="588">
        <f t="shared" si="20"/>
        <v>59</v>
      </c>
      <c r="C117" s="883"/>
      <c r="D117" s="566" t="e">
        <f t="shared" ref="D117:M117" si="26">D77-D97</f>
        <v>#DIV/0!</v>
      </c>
      <c r="E117" s="566" t="e">
        <f t="shared" si="26"/>
        <v>#DIV/0!</v>
      </c>
      <c r="F117" s="566" t="e">
        <f t="shared" si="26"/>
        <v>#DIV/0!</v>
      </c>
      <c r="G117" s="566" t="e">
        <f t="shared" si="26"/>
        <v>#DIV/0!</v>
      </c>
      <c r="H117" s="566" t="e">
        <f t="shared" si="26"/>
        <v>#DIV/0!</v>
      </c>
      <c r="I117" s="566" t="e">
        <f t="shared" si="26"/>
        <v>#DIV/0!</v>
      </c>
      <c r="J117" s="566" t="e">
        <f t="shared" si="26"/>
        <v>#DIV/0!</v>
      </c>
      <c r="K117" s="566" t="e">
        <f t="shared" si="26"/>
        <v>#DIV/0!</v>
      </c>
      <c r="L117" s="566" t="e">
        <f t="shared" si="26"/>
        <v>#DIV/0!</v>
      </c>
      <c r="M117" s="566" t="e">
        <f t="shared" si="26"/>
        <v>#DIV/0!</v>
      </c>
      <c r="N117" s="253" t="e">
        <f t="shared" si="19"/>
        <v>#DIV/0!</v>
      </c>
    </row>
    <row r="118" spans="1:14" x14ac:dyDescent="0.25">
      <c r="A118" s="588">
        <f t="shared" si="20"/>
        <v>60</v>
      </c>
      <c r="C118" s="882"/>
      <c r="D118" s="566" t="e">
        <f t="shared" ref="D118:M118" si="27">D78-D98</f>
        <v>#DIV/0!</v>
      </c>
      <c r="E118" s="566" t="e">
        <f t="shared" si="27"/>
        <v>#DIV/0!</v>
      </c>
      <c r="F118" s="566" t="e">
        <f t="shared" si="27"/>
        <v>#DIV/0!</v>
      </c>
      <c r="G118" s="566" t="e">
        <f t="shared" si="27"/>
        <v>#DIV/0!</v>
      </c>
      <c r="H118" s="566" t="e">
        <f t="shared" si="27"/>
        <v>#DIV/0!</v>
      </c>
      <c r="I118" s="566" t="e">
        <f t="shared" si="27"/>
        <v>#DIV/0!</v>
      </c>
      <c r="J118" s="566" t="e">
        <f t="shared" si="27"/>
        <v>#DIV/0!</v>
      </c>
      <c r="K118" s="566" t="e">
        <f t="shared" si="27"/>
        <v>#DIV/0!</v>
      </c>
      <c r="L118" s="566" t="e">
        <f t="shared" si="27"/>
        <v>#DIV/0!</v>
      </c>
      <c r="M118" s="566" t="e">
        <f t="shared" si="27"/>
        <v>#DIV/0!</v>
      </c>
      <c r="N118" s="253" t="e">
        <f t="shared" si="19"/>
        <v>#DIV/0!</v>
      </c>
    </row>
    <row r="119" spans="1:14" x14ac:dyDescent="0.25">
      <c r="A119" s="588">
        <f t="shared" si="20"/>
        <v>61</v>
      </c>
      <c r="C119" s="882"/>
      <c r="D119" s="566" t="e">
        <f t="shared" ref="D119:M119" si="28">D79-D99</f>
        <v>#DIV/0!</v>
      </c>
      <c r="E119" s="566" t="e">
        <f t="shared" si="28"/>
        <v>#DIV/0!</v>
      </c>
      <c r="F119" s="566" t="e">
        <f t="shared" si="28"/>
        <v>#DIV/0!</v>
      </c>
      <c r="G119" s="566" t="e">
        <f t="shared" si="28"/>
        <v>#DIV/0!</v>
      </c>
      <c r="H119" s="566" t="e">
        <f t="shared" si="28"/>
        <v>#DIV/0!</v>
      </c>
      <c r="I119" s="566" t="e">
        <f t="shared" si="28"/>
        <v>#DIV/0!</v>
      </c>
      <c r="J119" s="566" t="e">
        <f t="shared" si="28"/>
        <v>#DIV/0!</v>
      </c>
      <c r="K119" s="566" t="e">
        <f t="shared" si="28"/>
        <v>#DIV/0!</v>
      </c>
      <c r="L119" s="566" t="e">
        <f t="shared" si="28"/>
        <v>#DIV/0!</v>
      </c>
      <c r="M119" s="566" t="e">
        <f t="shared" si="28"/>
        <v>#DIV/0!</v>
      </c>
      <c r="N119" s="253" t="e">
        <f t="shared" si="19"/>
        <v>#DIV/0!</v>
      </c>
    </row>
    <row r="120" spans="1:14" x14ac:dyDescent="0.25">
      <c r="A120" s="588">
        <f t="shared" si="20"/>
        <v>62</v>
      </c>
      <c r="C120" s="883"/>
      <c r="D120" s="566" t="e">
        <f t="shared" ref="D120:M120" si="29">D80-D100</f>
        <v>#DIV/0!</v>
      </c>
      <c r="E120" s="566" t="e">
        <f t="shared" si="29"/>
        <v>#DIV/0!</v>
      </c>
      <c r="F120" s="566" t="e">
        <f t="shared" si="29"/>
        <v>#DIV/0!</v>
      </c>
      <c r="G120" s="566" t="e">
        <f t="shared" si="29"/>
        <v>#DIV/0!</v>
      </c>
      <c r="H120" s="566" t="e">
        <f t="shared" si="29"/>
        <v>#DIV/0!</v>
      </c>
      <c r="I120" s="566" t="e">
        <f t="shared" si="29"/>
        <v>#DIV/0!</v>
      </c>
      <c r="J120" s="566" t="e">
        <f t="shared" si="29"/>
        <v>#DIV/0!</v>
      </c>
      <c r="K120" s="566" t="e">
        <f t="shared" si="29"/>
        <v>#DIV/0!</v>
      </c>
      <c r="L120" s="566" t="e">
        <f t="shared" si="29"/>
        <v>#DIV/0!</v>
      </c>
      <c r="M120" s="566" t="e">
        <f t="shared" si="29"/>
        <v>#DIV/0!</v>
      </c>
      <c r="N120" s="253" t="e">
        <f t="shared" si="19"/>
        <v>#DIV/0!</v>
      </c>
    </row>
    <row r="121" spans="1:14" x14ac:dyDescent="0.25">
      <c r="A121" s="588">
        <f t="shared" si="20"/>
        <v>63</v>
      </c>
      <c r="C121" s="883"/>
      <c r="D121" s="566" t="e">
        <f t="shared" ref="D121:M121" si="30">D81-D101</f>
        <v>#DIV/0!</v>
      </c>
      <c r="E121" s="566" t="e">
        <f t="shared" si="30"/>
        <v>#DIV/0!</v>
      </c>
      <c r="F121" s="566" t="e">
        <f t="shared" si="30"/>
        <v>#DIV/0!</v>
      </c>
      <c r="G121" s="566" t="e">
        <f t="shared" si="30"/>
        <v>#DIV/0!</v>
      </c>
      <c r="H121" s="566" t="e">
        <f t="shared" si="30"/>
        <v>#DIV/0!</v>
      </c>
      <c r="I121" s="566" t="e">
        <f t="shared" si="30"/>
        <v>#DIV/0!</v>
      </c>
      <c r="J121" s="566" t="e">
        <f t="shared" si="30"/>
        <v>#DIV/0!</v>
      </c>
      <c r="K121" s="566" t="e">
        <f t="shared" si="30"/>
        <v>#DIV/0!</v>
      </c>
      <c r="L121" s="566" t="e">
        <f t="shared" si="30"/>
        <v>#DIV/0!</v>
      </c>
      <c r="M121" s="566" t="e">
        <f t="shared" si="30"/>
        <v>#DIV/0!</v>
      </c>
      <c r="N121" s="253" t="e">
        <f t="shared" si="19"/>
        <v>#DIV/0!</v>
      </c>
    </row>
    <row r="122" spans="1:14" x14ac:dyDescent="0.25">
      <c r="A122" s="588">
        <f t="shared" si="20"/>
        <v>64</v>
      </c>
      <c r="C122" s="882"/>
      <c r="D122" s="122" t="e">
        <f t="shared" ref="D122:M122" si="31">D82-D102</f>
        <v>#DIV/0!</v>
      </c>
      <c r="E122" s="122" t="e">
        <f t="shared" si="31"/>
        <v>#DIV/0!</v>
      </c>
      <c r="F122" s="122" t="e">
        <f t="shared" si="31"/>
        <v>#DIV/0!</v>
      </c>
      <c r="G122" s="122" t="e">
        <f t="shared" si="31"/>
        <v>#DIV/0!</v>
      </c>
      <c r="H122" s="122" t="e">
        <f t="shared" si="31"/>
        <v>#DIV/0!</v>
      </c>
      <c r="I122" s="122" t="e">
        <f t="shared" si="31"/>
        <v>#DIV/0!</v>
      </c>
      <c r="J122" s="122" t="e">
        <f t="shared" si="31"/>
        <v>#DIV/0!</v>
      </c>
      <c r="K122" s="122" t="e">
        <f t="shared" si="31"/>
        <v>#DIV/0!</v>
      </c>
      <c r="L122" s="122" t="e">
        <f t="shared" si="31"/>
        <v>#DIV/0!</v>
      </c>
      <c r="M122" s="122" t="e">
        <f t="shared" si="31"/>
        <v>#DIV/0!</v>
      </c>
      <c r="N122" s="397" t="e">
        <f t="shared" si="19"/>
        <v>#DIV/0!</v>
      </c>
    </row>
    <row r="123" spans="1:14" x14ac:dyDescent="0.25">
      <c r="A123" s="588">
        <f t="shared" si="20"/>
        <v>65</v>
      </c>
      <c r="C123" s="592" t="s">
        <v>4</v>
      </c>
      <c r="D123" s="253" t="e">
        <f>SUM(D111:D122)</f>
        <v>#DIV/0!</v>
      </c>
      <c r="E123" s="253" t="e">
        <f t="shared" ref="E123:M123" si="32">SUM(E111:E122)</f>
        <v>#DIV/0!</v>
      </c>
      <c r="F123" s="253" t="e">
        <f t="shared" si="32"/>
        <v>#DIV/0!</v>
      </c>
      <c r="G123" s="253" t="e">
        <f t="shared" si="32"/>
        <v>#DIV/0!</v>
      </c>
      <c r="H123" s="253" t="e">
        <f t="shared" si="32"/>
        <v>#DIV/0!</v>
      </c>
      <c r="I123" s="253" t="e">
        <f t="shared" si="32"/>
        <v>#DIV/0!</v>
      </c>
      <c r="J123" s="253" t="e">
        <f t="shared" si="32"/>
        <v>#DIV/0!</v>
      </c>
      <c r="K123" s="253" t="e">
        <f t="shared" si="32"/>
        <v>#DIV/0!</v>
      </c>
      <c r="L123" s="253" t="e">
        <f t="shared" si="32"/>
        <v>#DIV/0!</v>
      </c>
      <c r="M123" s="253" t="e">
        <f t="shared" si="32"/>
        <v>#DIV/0!</v>
      </c>
      <c r="N123" s="253" t="e">
        <f>SUM(N111:N122)</f>
        <v>#DIV/0!</v>
      </c>
    </row>
    <row r="125" spans="1:14" x14ac:dyDescent="0.25">
      <c r="C125" s="1" t="s">
        <v>1751</v>
      </c>
    </row>
    <row r="127" spans="1:14" x14ac:dyDescent="0.25">
      <c r="C127" s="555" t="s">
        <v>1757</v>
      </c>
    </row>
    <row r="128" spans="1:14" x14ac:dyDescent="0.25">
      <c r="C128" s="16"/>
      <c r="D128" s="92">
        <v>350.1</v>
      </c>
      <c r="E128" s="92">
        <v>350.2</v>
      </c>
      <c r="F128" s="92">
        <v>352</v>
      </c>
      <c r="G128" s="92">
        <v>353</v>
      </c>
      <c r="H128" s="92">
        <v>354</v>
      </c>
      <c r="I128" s="92">
        <v>355</v>
      </c>
      <c r="J128" s="92">
        <v>356</v>
      </c>
      <c r="K128" s="92">
        <v>357</v>
      </c>
      <c r="L128" s="92">
        <v>358</v>
      </c>
      <c r="M128" s="92">
        <v>359</v>
      </c>
      <c r="N128" s="3" t="s">
        <v>215</v>
      </c>
    </row>
    <row r="129" spans="1:14" x14ac:dyDescent="0.25">
      <c r="A129" s="588">
        <f>A123+1</f>
        <v>66</v>
      </c>
      <c r="C129" s="16"/>
      <c r="D129" s="7">
        <f t="shared" ref="D129:M129" si="33">D24-D12</f>
        <v>0</v>
      </c>
      <c r="E129" s="7">
        <f t="shared" si="33"/>
        <v>0</v>
      </c>
      <c r="F129" s="7">
        <f t="shared" si="33"/>
        <v>0</v>
      </c>
      <c r="G129" s="7">
        <f t="shared" si="33"/>
        <v>0</v>
      </c>
      <c r="H129" s="7">
        <f t="shared" si="33"/>
        <v>0</v>
      </c>
      <c r="I129" s="7">
        <f t="shared" si="33"/>
        <v>0</v>
      </c>
      <c r="J129" s="7">
        <f t="shared" si="33"/>
        <v>0</v>
      </c>
      <c r="K129" s="7">
        <f t="shared" si="33"/>
        <v>0</v>
      </c>
      <c r="L129" s="7">
        <f t="shared" si="33"/>
        <v>0</v>
      </c>
      <c r="M129" s="7">
        <f t="shared" si="33"/>
        <v>0</v>
      </c>
      <c r="N129" s="7">
        <f>SUM(D129:M129)</f>
        <v>0</v>
      </c>
    </row>
    <row r="130" spans="1:14" x14ac:dyDescent="0.25">
      <c r="C130" s="16"/>
    </row>
    <row r="131" spans="1:14" x14ac:dyDescent="0.25">
      <c r="C131" s="555" t="s">
        <v>1758</v>
      </c>
    </row>
    <row r="132" spans="1:14" x14ac:dyDescent="0.25">
      <c r="C132" s="16"/>
      <c r="D132" s="92">
        <v>350.1</v>
      </c>
      <c r="E132" s="92">
        <v>350.2</v>
      </c>
      <c r="F132" s="92">
        <v>352</v>
      </c>
      <c r="G132" s="92">
        <v>353</v>
      </c>
      <c r="H132" s="92">
        <v>354</v>
      </c>
      <c r="I132" s="92">
        <v>355</v>
      </c>
      <c r="J132" s="92">
        <v>356</v>
      </c>
      <c r="K132" s="92">
        <v>357</v>
      </c>
      <c r="L132" s="92">
        <v>358</v>
      </c>
      <c r="M132" s="92">
        <v>359</v>
      </c>
      <c r="N132" s="3" t="s">
        <v>215</v>
      </c>
    </row>
    <row r="133" spans="1:14" x14ac:dyDescent="0.25">
      <c r="A133" s="588">
        <f>A129+1</f>
        <v>67</v>
      </c>
      <c r="C133" s="16"/>
      <c r="D133" s="7" t="e">
        <f t="shared" ref="D133:M133" si="34">D103</f>
        <v>#DIV/0!</v>
      </c>
      <c r="E133" s="7" t="e">
        <f t="shared" si="34"/>
        <v>#DIV/0!</v>
      </c>
      <c r="F133" s="7" t="e">
        <f t="shared" si="34"/>
        <v>#DIV/0!</v>
      </c>
      <c r="G133" s="7" t="e">
        <f t="shared" si="34"/>
        <v>#DIV/0!</v>
      </c>
      <c r="H133" s="7" t="e">
        <f t="shared" si="34"/>
        <v>#DIV/0!</v>
      </c>
      <c r="I133" s="7" t="e">
        <f t="shared" si="34"/>
        <v>#DIV/0!</v>
      </c>
      <c r="J133" s="7" t="e">
        <f t="shared" si="34"/>
        <v>#DIV/0!</v>
      </c>
      <c r="K133" s="7" t="e">
        <f t="shared" si="34"/>
        <v>#DIV/0!</v>
      </c>
      <c r="L133" s="7" t="e">
        <f t="shared" si="34"/>
        <v>#DIV/0!</v>
      </c>
      <c r="M133" s="7" t="e">
        <f t="shared" si="34"/>
        <v>#DIV/0!</v>
      </c>
      <c r="N133" s="7" t="e">
        <f>SUM(D133:M133)</f>
        <v>#DIV/0!</v>
      </c>
    </row>
    <row r="134" spans="1:14" x14ac:dyDescent="0.25">
      <c r="C134" s="555" t="s">
        <v>1759</v>
      </c>
    </row>
    <row r="135" spans="1:14" x14ac:dyDescent="0.25">
      <c r="D135" s="92">
        <v>350.1</v>
      </c>
      <c r="E135" s="92">
        <v>350.2</v>
      </c>
      <c r="F135" s="92">
        <v>352</v>
      </c>
      <c r="G135" s="92">
        <v>353</v>
      </c>
      <c r="H135" s="92">
        <v>354</v>
      </c>
      <c r="I135" s="92">
        <v>355</v>
      </c>
      <c r="J135" s="92">
        <v>356</v>
      </c>
      <c r="K135" s="92">
        <v>357</v>
      </c>
      <c r="L135" s="92">
        <v>358</v>
      </c>
      <c r="M135" s="92">
        <v>359</v>
      </c>
      <c r="N135" s="3" t="s">
        <v>215</v>
      </c>
    </row>
    <row r="136" spans="1:14" x14ac:dyDescent="0.25">
      <c r="A136" s="588">
        <f>A133+1</f>
        <v>68</v>
      </c>
      <c r="D136" s="7" t="e">
        <f t="shared" ref="D136:M136" si="35">D129-D133</f>
        <v>#DIV/0!</v>
      </c>
      <c r="E136" s="7" t="e">
        <f t="shared" si="35"/>
        <v>#DIV/0!</v>
      </c>
      <c r="F136" s="7" t="e">
        <f t="shared" si="35"/>
        <v>#DIV/0!</v>
      </c>
      <c r="G136" s="7" t="e">
        <f t="shared" si="35"/>
        <v>#DIV/0!</v>
      </c>
      <c r="H136" s="7" t="e">
        <f t="shared" si="35"/>
        <v>#DIV/0!</v>
      </c>
      <c r="I136" s="7" t="e">
        <f t="shared" si="35"/>
        <v>#DIV/0!</v>
      </c>
      <c r="J136" s="7" t="e">
        <f t="shared" si="35"/>
        <v>#DIV/0!</v>
      </c>
      <c r="K136" s="7" t="e">
        <f t="shared" si="35"/>
        <v>#DIV/0!</v>
      </c>
      <c r="L136" s="7" t="e">
        <f t="shared" si="35"/>
        <v>#DIV/0!</v>
      </c>
      <c r="M136" s="7" t="e">
        <f t="shared" si="35"/>
        <v>#DIV/0!</v>
      </c>
      <c r="N136" s="7" t="e">
        <f>SUM(D136:M136)</f>
        <v>#DIV/0!</v>
      </c>
    </row>
    <row r="138" spans="1:14" x14ac:dyDescent="0.25">
      <c r="C138" s="1" t="s">
        <v>1760</v>
      </c>
      <c r="D138" s="551"/>
      <c r="E138" s="551"/>
      <c r="F138" s="551"/>
      <c r="G138" s="551"/>
      <c r="H138" s="551"/>
      <c r="I138" s="551"/>
      <c r="J138" s="551"/>
      <c r="K138" s="551"/>
      <c r="L138" s="551"/>
    </row>
    <row r="139" spans="1:14" x14ac:dyDescent="0.25">
      <c r="C139" s="551"/>
      <c r="D139" s="551"/>
      <c r="E139" s="551"/>
      <c r="F139" s="551"/>
      <c r="G139" s="551"/>
      <c r="H139" s="551"/>
      <c r="I139" s="551"/>
      <c r="J139" s="551"/>
      <c r="K139" s="551"/>
      <c r="L139" s="551"/>
    </row>
    <row r="140" spans="1:14" x14ac:dyDescent="0.25">
      <c r="C140" s="92" t="s">
        <v>394</v>
      </c>
      <c r="D140" s="92" t="s">
        <v>378</v>
      </c>
      <c r="E140" s="92" t="s">
        <v>379</v>
      </c>
      <c r="F140" s="92" t="s">
        <v>380</v>
      </c>
      <c r="G140" s="92" t="s">
        <v>381</v>
      </c>
      <c r="H140" s="92" t="s">
        <v>382</v>
      </c>
      <c r="I140" s="92" t="s">
        <v>383</v>
      </c>
      <c r="J140" s="92" t="s">
        <v>597</v>
      </c>
      <c r="K140" s="92" t="s">
        <v>1046</v>
      </c>
      <c r="L140" s="92" t="s">
        <v>1062</v>
      </c>
      <c r="M140" s="92" t="s">
        <v>1065</v>
      </c>
      <c r="N140" s="92" t="s">
        <v>1083</v>
      </c>
    </row>
    <row r="141" spans="1:14" x14ac:dyDescent="0.25">
      <c r="C141" s="272"/>
      <c r="D141" s="251"/>
      <c r="E141" s="251"/>
      <c r="F141" s="251"/>
      <c r="G141" s="251"/>
      <c r="H141" s="251"/>
      <c r="I141" s="251"/>
      <c r="J141" s="251"/>
      <c r="K141" s="251"/>
      <c r="L141" s="251"/>
      <c r="N141" s="272" t="s">
        <v>1369</v>
      </c>
    </row>
    <row r="142" spans="1:14" x14ac:dyDescent="0.25">
      <c r="C142" s="121"/>
      <c r="D142" s="92"/>
      <c r="E142" s="92"/>
      <c r="F142" s="251"/>
      <c r="G142" s="251"/>
      <c r="H142" s="251"/>
      <c r="I142" s="251"/>
      <c r="J142" s="251"/>
      <c r="K142" s="251"/>
      <c r="L142" s="251"/>
      <c r="M142" s="251"/>
    </row>
    <row r="143" spans="1:14" x14ac:dyDescent="0.25">
      <c r="C143" s="135" t="s">
        <v>2044</v>
      </c>
      <c r="D143" s="92">
        <v>350.1</v>
      </c>
      <c r="E143" s="92">
        <v>350.2</v>
      </c>
      <c r="F143" s="92">
        <v>352</v>
      </c>
      <c r="G143" s="92">
        <v>353</v>
      </c>
      <c r="H143" s="92">
        <v>354</v>
      </c>
      <c r="I143" s="92">
        <v>355</v>
      </c>
      <c r="J143" s="92">
        <v>356</v>
      </c>
      <c r="K143" s="92">
        <v>357</v>
      </c>
      <c r="L143" s="92">
        <v>358</v>
      </c>
      <c r="M143" s="92">
        <v>359</v>
      </c>
      <c r="N143" s="3" t="s">
        <v>215</v>
      </c>
    </row>
    <row r="144" spans="1:14" x14ac:dyDescent="0.25">
      <c r="A144" s="588">
        <f>A136+1</f>
        <v>69</v>
      </c>
      <c r="C144" s="883"/>
      <c r="D144" s="255">
        <v>0</v>
      </c>
      <c r="E144" s="255" t="e">
        <f t="shared" ref="E144:M144" si="36">E111*(E$136/E$123)</f>
        <v>#DIV/0!</v>
      </c>
      <c r="F144" s="255" t="e">
        <f t="shared" si="36"/>
        <v>#DIV/0!</v>
      </c>
      <c r="G144" s="255" t="e">
        <f t="shared" si="36"/>
        <v>#DIV/0!</v>
      </c>
      <c r="H144" s="255" t="e">
        <f t="shared" si="36"/>
        <v>#DIV/0!</v>
      </c>
      <c r="I144" s="255" t="e">
        <f t="shared" si="36"/>
        <v>#DIV/0!</v>
      </c>
      <c r="J144" s="255" t="e">
        <f t="shared" si="36"/>
        <v>#DIV/0!</v>
      </c>
      <c r="K144" s="255" t="e">
        <f t="shared" si="36"/>
        <v>#DIV/0!</v>
      </c>
      <c r="L144" s="255" t="e">
        <f t="shared" si="36"/>
        <v>#DIV/0!</v>
      </c>
      <c r="M144" s="255" t="e">
        <f t="shared" si="36"/>
        <v>#DIV/0!</v>
      </c>
      <c r="N144" s="253" t="e">
        <f t="shared" ref="N144:N155" si="37">SUM(D144:M144)</f>
        <v>#DIV/0!</v>
      </c>
    </row>
    <row r="145" spans="1:14" x14ac:dyDescent="0.25">
      <c r="A145" s="588">
        <f t="shared" ref="A145:A156" si="38">A144+1</f>
        <v>70</v>
      </c>
      <c r="C145" s="882"/>
      <c r="D145" s="255">
        <v>0</v>
      </c>
      <c r="E145" s="255" t="e">
        <f t="shared" ref="E145:M145" si="39">E112*(E$136/E$123)</f>
        <v>#DIV/0!</v>
      </c>
      <c r="F145" s="255" t="e">
        <f t="shared" si="39"/>
        <v>#DIV/0!</v>
      </c>
      <c r="G145" s="255" t="e">
        <f t="shared" si="39"/>
        <v>#DIV/0!</v>
      </c>
      <c r="H145" s="255" t="e">
        <f t="shared" si="39"/>
        <v>#DIV/0!</v>
      </c>
      <c r="I145" s="255" t="e">
        <f t="shared" si="39"/>
        <v>#DIV/0!</v>
      </c>
      <c r="J145" s="255" t="e">
        <f t="shared" si="39"/>
        <v>#DIV/0!</v>
      </c>
      <c r="K145" s="255" t="e">
        <f t="shared" si="39"/>
        <v>#DIV/0!</v>
      </c>
      <c r="L145" s="255" t="e">
        <f t="shared" si="39"/>
        <v>#DIV/0!</v>
      </c>
      <c r="M145" s="255" t="e">
        <f t="shared" si="39"/>
        <v>#DIV/0!</v>
      </c>
      <c r="N145" s="253" t="e">
        <f t="shared" si="37"/>
        <v>#DIV/0!</v>
      </c>
    </row>
    <row r="146" spans="1:14" x14ac:dyDescent="0.25">
      <c r="A146" s="588">
        <f t="shared" si="38"/>
        <v>71</v>
      </c>
      <c r="C146" s="882"/>
      <c r="D146" s="255">
        <v>0</v>
      </c>
      <c r="E146" s="255" t="e">
        <f t="shared" ref="E146:M146" si="40">E113*(E$136/E$123)</f>
        <v>#DIV/0!</v>
      </c>
      <c r="F146" s="255" t="e">
        <f t="shared" si="40"/>
        <v>#DIV/0!</v>
      </c>
      <c r="G146" s="255" t="e">
        <f t="shared" si="40"/>
        <v>#DIV/0!</v>
      </c>
      <c r="H146" s="255" t="e">
        <f t="shared" si="40"/>
        <v>#DIV/0!</v>
      </c>
      <c r="I146" s="255" t="e">
        <f t="shared" si="40"/>
        <v>#DIV/0!</v>
      </c>
      <c r="J146" s="255" t="e">
        <f t="shared" si="40"/>
        <v>#DIV/0!</v>
      </c>
      <c r="K146" s="255" t="e">
        <f t="shared" si="40"/>
        <v>#DIV/0!</v>
      </c>
      <c r="L146" s="255" t="e">
        <f t="shared" si="40"/>
        <v>#DIV/0!</v>
      </c>
      <c r="M146" s="255" t="e">
        <f t="shared" si="40"/>
        <v>#DIV/0!</v>
      </c>
      <c r="N146" s="253" t="e">
        <f t="shared" si="37"/>
        <v>#DIV/0!</v>
      </c>
    </row>
    <row r="147" spans="1:14" x14ac:dyDescent="0.25">
      <c r="A147" s="588">
        <f t="shared" si="38"/>
        <v>72</v>
      </c>
      <c r="C147" s="883"/>
      <c r="D147" s="255">
        <v>0</v>
      </c>
      <c r="E147" s="255" t="e">
        <f t="shared" ref="E147:M147" si="41">E114*(E$136/E$123)</f>
        <v>#DIV/0!</v>
      </c>
      <c r="F147" s="255" t="e">
        <f t="shared" si="41"/>
        <v>#DIV/0!</v>
      </c>
      <c r="G147" s="255" t="e">
        <f t="shared" si="41"/>
        <v>#DIV/0!</v>
      </c>
      <c r="H147" s="255" t="e">
        <f t="shared" si="41"/>
        <v>#DIV/0!</v>
      </c>
      <c r="I147" s="255" t="e">
        <f t="shared" si="41"/>
        <v>#DIV/0!</v>
      </c>
      <c r="J147" s="255" t="e">
        <f t="shared" si="41"/>
        <v>#DIV/0!</v>
      </c>
      <c r="K147" s="255" t="e">
        <f t="shared" si="41"/>
        <v>#DIV/0!</v>
      </c>
      <c r="L147" s="255" t="e">
        <f t="shared" si="41"/>
        <v>#DIV/0!</v>
      </c>
      <c r="M147" s="255" t="e">
        <f t="shared" si="41"/>
        <v>#DIV/0!</v>
      </c>
      <c r="N147" s="253" t="e">
        <f t="shared" si="37"/>
        <v>#DIV/0!</v>
      </c>
    </row>
    <row r="148" spans="1:14" x14ac:dyDescent="0.25">
      <c r="A148" s="588">
        <f t="shared" si="38"/>
        <v>73</v>
      </c>
      <c r="C148" s="882"/>
      <c r="D148" s="255">
        <v>0</v>
      </c>
      <c r="E148" s="255" t="e">
        <f t="shared" ref="E148:M148" si="42">E115*(E$136/E$123)</f>
        <v>#DIV/0!</v>
      </c>
      <c r="F148" s="255" t="e">
        <f t="shared" si="42"/>
        <v>#DIV/0!</v>
      </c>
      <c r="G148" s="255" t="e">
        <f t="shared" si="42"/>
        <v>#DIV/0!</v>
      </c>
      <c r="H148" s="255" t="e">
        <f t="shared" si="42"/>
        <v>#DIV/0!</v>
      </c>
      <c r="I148" s="255" t="e">
        <f t="shared" si="42"/>
        <v>#DIV/0!</v>
      </c>
      <c r="J148" s="255" t="e">
        <f t="shared" si="42"/>
        <v>#DIV/0!</v>
      </c>
      <c r="K148" s="255" t="e">
        <f t="shared" si="42"/>
        <v>#DIV/0!</v>
      </c>
      <c r="L148" s="255" t="e">
        <f t="shared" si="42"/>
        <v>#DIV/0!</v>
      </c>
      <c r="M148" s="255" t="e">
        <f t="shared" si="42"/>
        <v>#DIV/0!</v>
      </c>
      <c r="N148" s="253" t="e">
        <f t="shared" si="37"/>
        <v>#DIV/0!</v>
      </c>
    </row>
    <row r="149" spans="1:14" x14ac:dyDescent="0.25">
      <c r="A149" s="588">
        <f t="shared" si="38"/>
        <v>74</v>
      </c>
      <c r="C149" s="882"/>
      <c r="D149" s="255">
        <v>0</v>
      </c>
      <c r="E149" s="255" t="e">
        <f t="shared" ref="E149:M149" si="43">E116*(E$136/E$123)</f>
        <v>#DIV/0!</v>
      </c>
      <c r="F149" s="255" t="e">
        <f t="shared" si="43"/>
        <v>#DIV/0!</v>
      </c>
      <c r="G149" s="255" t="e">
        <f t="shared" si="43"/>
        <v>#DIV/0!</v>
      </c>
      <c r="H149" s="255" t="e">
        <f t="shared" si="43"/>
        <v>#DIV/0!</v>
      </c>
      <c r="I149" s="255" t="e">
        <f t="shared" si="43"/>
        <v>#DIV/0!</v>
      </c>
      <c r="J149" s="255" t="e">
        <f t="shared" si="43"/>
        <v>#DIV/0!</v>
      </c>
      <c r="K149" s="255" t="e">
        <f t="shared" si="43"/>
        <v>#DIV/0!</v>
      </c>
      <c r="L149" s="255" t="e">
        <f t="shared" si="43"/>
        <v>#DIV/0!</v>
      </c>
      <c r="M149" s="255" t="e">
        <f t="shared" si="43"/>
        <v>#DIV/0!</v>
      </c>
      <c r="N149" s="253" t="e">
        <f t="shared" si="37"/>
        <v>#DIV/0!</v>
      </c>
    </row>
    <row r="150" spans="1:14" x14ac:dyDescent="0.25">
      <c r="A150" s="588">
        <f t="shared" si="38"/>
        <v>75</v>
      </c>
      <c r="C150" s="883"/>
      <c r="D150" s="255">
        <v>0</v>
      </c>
      <c r="E150" s="255" t="e">
        <f t="shared" ref="E150:M150" si="44">E117*(E$136/E$123)</f>
        <v>#DIV/0!</v>
      </c>
      <c r="F150" s="255" t="e">
        <f t="shared" si="44"/>
        <v>#DIV/0!</v>
      </c>
      <c r="G150" s="255" t="e">
        <f t="shared" si="44"/>
        <v>#DIV/0!</v>
      </c>
      <c r="H150" s="255" t="e">
        <f t="shared" si="44"/>
        <v>#DIV/0!</v>
      </c>
      <c r="I150" s="255" t="e">
        <f t="shared" si="44"/>
        <v>#DIV/0!</v>
      </c>
      <c r="J150" s="255" t="e">
        <f t="shared" si="44"/>
        <v>#DIV/0!</v>
      </c>
      <c r="K150" s="255" t="e">
        <f t="shared" si="44"/>
        <v>#DIV/0!</v>
      </c>
      <c r="L150" s="255" t="e">
        <f t="shared" si="44"/>
        <v>#DIV/0!</v>
      </c>
      <c r="M150" s="255" t="e">
        <f t="shared" si="44"/>
        <v>#DIV/0!</v>
      </c>
      <c r="N150" s="253" t="e">
        <f t="shared" si="37"/>
        <v>#DIV/0!</v>
      </c>
    </row>
    <row r="151" spans="1:14" x14ac:dyDescent="0.25">
      <c r="A151" s="588">
        <f t="shared" si="38"/>
        <v>76</v>
      </c>
      <c r="C151" s="882"/>
      <c r="D151" s="255">
        <v>0</v>
      </c>
      <c r="E151" s="255" t="e">
        <f t="shared" ref="E151:M151" si="45">E118*(E$136/E$123)</f>
        <v>#DIV/0!</v>
      </c>
      <c r="F151" s="255" t="e">
        <f t="shared" si="45"/>
        <v>#DIV/0!</v>
      </c>
      <c r="G151" s="255" t="e">
        <f t="shared" si="45"/>
        <v>#DIV/0!</v>
      </c>
      <c r="H151" s="255" t="e">
        <f t="shared" si="45"/>
        <v>#DIV/0!</v>
      </c>
      <c r="I151" s="255" t="e">
        <f t="shared" si="45"/>
        <v>#DIV/0!</v>
      </c>
      <c r="J151" s="255" t="e">
        <f t="shared" si="45"/>
        <v>#DIV/0!</v>
      </c>
      <c r="K151" s="255" t="e">
        <f t="shared" si="45"/>
        <v>#DIV/0!</v>
      </c>
      <c r="L151" s="255" t="e">
        <f t="shared" si="45"/>
        <v>#DIV/0!</v>
      </c>
      <c r="M151" s="255" t="e">
        <f t="shared" si="45"/>
        <v>#DIV/0!</v>
      </c>
      <c r="N151" s="253" t="e">
        <f t="shared" si="37"/>
        <v>#DIV/0!</v>
      </c>
    </row>
    <row r="152" spans="1:14" x14ac:dyDescent="0.25">
      <c r="A152" s="588">
        <f t="shared" si="38"/>
        <v>77</v>
      </c>
      <c r="C152" s="882"/>
      <c r="D152" s="255">
        <v>0</v>
      </c>
      <c r="E152" s="255" t="e">
        <f t="shared" ref="E152:M152" si="46">E119*(E$136/E$123)</f>
        <v>#DIV/0!</v>
      </c>
      <c r="F152" s="255" t="e">
        <f t="shared" si="46"/>
        <v>#DIV/0!</v>
      </c>
      <c r="G152" s="255" t="e">
        <f t="shared" si="46"/>
        <v>#DIV/0!</v>
      </c>
      <c r="H152" s="255" t="e">
        <f t="shared" si="46"/>
        <v>#DIV/0!</v>
      </c>
      <c r="I152" s="255" t="e">
        <f t="shared" si="46"/>
        <v>#DIV/0!</v>
      </c>
      <c r="J152" s="255" t="e">
        <f t="shared" si="46"/>
        <v>#DIV/0!</v>
      </c>
      <c r="K152" s="255" t="e">
        <f t="shared" si="46"/>
        <v>#DIV/0!</v>
      </c>
      <c r="L152" s="255" t="e">
        <f t="shared" si="46"/>
        <v>#DIV/0!</v>
      </c>
      <c r="M152" s="255" t="e">
        <f t="shared" si="46"/>
        <v>#DIV/0!</v>
      </c>
      <c r="N152" s="253" t="e">
        <f t="shared" si="37"/>
        <v>#DIV/0!</v>
      </c>
    </row>
    <row r="153" spans="1:14" x14ac:dyDescent="0.25">
      <c r="A153" s="588">
        <f t="shared" si="38"/>
        <v>78</v>
      </c>
      <c r="C153" s="883"/>
      <c r="D153" s="255">
        <v>0</v>
      </c>
      <c r="E153" s="255" t="e">
        <f t="shared" ref="E153:M153" si="47">E120*(E$136/E$123)</f>
        <v>#DIV/0!</v>
      </c>
      <c r="F153" s="255" t="e">
        <f t="shared" si="47"/>
        <v>#DIV/0!</v>
      </c>
      <c r="G153" s="255" t="e">
        <f t="shared" si="47"/>
        <v>#DIV/0!</v>
      </c>
      <c r="H153" s="255" t="e">
        <f t="shared" si="47"/>
        <v>#DIV/0!</v>
      </c>
      <c r="I153" s="255" t="e">
        <f t="shared" si="47"/>
        <v>#DIV/0!</v>
      </c>
      <c r="J153" s="255" t="e">
        <f t="shared" si="47"/>
        <v>#DIV/0!</v>
      </c>
      <c r="K153" s="255" t="e">
        <f t="shared" si="47"/>
        <v>#DIV/0!</v>
      </c>
      <c r="L153" s="255" t="e">
        <f t="shared" si="47"/>
        <v>#DIV/0!</v>
      </c>
      <c r="M153" s="255" t="e">
        <f t="shared" si="47"/>
        <v>#DIV/0!</v>
      </c>
      <c r="N153" s="253" t="e">
        <f t="shared" si="37"/>
        <v>#DIV/0!</v>
      </c>
    </row>
    <row r="154" spans="1:14" x14ac:dyDescent="0.25">
      <c r="A154" s="588">
        <f t="shared" si="38"/>
        <v>79</v>
      </c>
      <c r="C154" s="883"/>
      <c r="D154" s="255">
        <v>0</v>
      </c>
      <c r="E154" s="255" t="e">
        <f t="shared" ref="E154:M154" si="48">E121*(E$136/E$123)</f>
        <v>#DIV/0!</v>
      </c>
      <c r="F154" s="255" t="e">
        <f t="shared" si="48"/>
        <v>#DIV/0!</v>
      </c>
      <c r="G154" s="255" t="e">
        <f t="shared" si="48"/>
        <v>#DIV/0!</v>
      </c>
      <c r="H154" s="255" t="e">
        <f t="shared" si="48"/>
        <v>#DIV/0!</v>
      </c>
      <c r="I154" s="255" t="e">
        <f t="shared" si="48"/>
        <v>#DIV/0!</v>
      </c>
      <c r="J154" s="255" t="e">
        <f t="shared" si="48"/>
        <v>#DIV/0!</v>
      </c>
      <c r="K154" s="255" t="e">
        <f t="shared" si="48"/>
        <v>#DIV/0!</v>
      </c>
      <c r="L154" s="255" t="e">
        <f t="shared" si="48"/>
        <v>#DIV/0!</v>
      </c>
      <c r="M154" s="255" t="e">
        <f t="shared" si="48"/>
        <v>#DIV/0!</v>
      </c>
      <c r="N154" s="253" t="e">
        <f t="shared" si="37"/>
        <v>#DIV/0!</v>
      </c>
    </row>
    <row r="155" spans="1:14" x14ac:dyDescent="0.25">
      <c r="A155" s="588">
        <f t="shared" si="38"/>
        <v>80</v>
      </c>
      <c r="C155" s="882"/>
      <c r="D155" s="122">
        <v>0</v>
      </c>
      <c r="E155" s="525" t="e">
        <f t="shared" ref="E155:M155" si="49">E122*(E$136/E$123)</f>
        <v>#DIV/0!</v>
      </c>
      <c r="F155" s="525" t="e">
        <f t="shared" si="49"/>
        <v>#DIV/0!</v>
      </c>
      <c r="G155" s="525" t="e">
        <f t="shared" si="49"/>
        <v>#DIV/0!</v>
      </c>
      <c r="H155" s="525" t="e">
        <f t="shared" si="49"/>
        <v>#DIV/0!</v>
      </c>
      <c r="I155" s="525" t="e">
        <f t="shared" si="49"/>
        <v>#DIV/0!</v>
      </c>
      <c r="J155" s="525" t="e">
        <f t="shared" si="49"/>
        <v>#DIV/0!</v>
      </c>
      <c r="K155" s="525" t="e">
        <f t="shared" si="49"/>
        <v>#DIV/0!</v>
      </c>
      <c r="L155" s="525" t="e">
        <f t="shared" si="49"/>
        <v>#DIV/0!</v>
      </c>
      <c r="M155" s="525" t="e">
        <f t="shared" si="49"/>
        <v>#DIV/0!</v>
      </c>
      <c r="N155" s="397" t="e">
        <f t="shared" si="37"/>
        <v>#DIV/0!</v>
      </c>
    </row>
    <row r="156" spans="1:14" x14ac:dyDescent="0.25">
      <c r="A156" s="588">
        <f t="shared" si="38"/>
        <v>81</v>
      </c>
      <c r="C156" s="592" t="s">
        <v>4</v>
      </c>
      <c r="D156" s="253">
        <f>SUM(D144:D155)</f>
        <v>0</v>
      </c>
      <c r="E156" s="253" t="e">
        <f t="shared" ref="E156:M156" si="50">SUM(E144:E155)</f>
        <v>#DIV/0!</v>
      </c>
      <c r="F156" s="253" t="e">
        <f t="shared" si="50"/>
        <v>#DIV/0!</v>
      </c>
      <c r="G156" s="253" t="e">
        <f t="shared" si="50"/>
        <v>#DIV/0!</v>
      </c>
      <c r="H156" s="253" t="e">
        <f t="shared" si="50"/>
        <v>#DIV/0!</v>
      </c>
      <c r="I156" s="253" t="e">
        <f t="shared" si="50"/>
        <v>#DIV/0!</v>
      </c>
      <c r="J156" s="253" t="e">
        <f t="shared" si="50"/>
        <v>#DIV/0!</v>
      </c>
      <c r="K156" s="253" t="e">
        <f t="shared" si="50"/>
        <v>#DIV/0!</v>
      </c>
      <c r="L156" s="253" t="e">
        <f t="shared" si="50"/>
        <v>#DIV/0!</v>
      </c>
      <c r="M156" s="253" t="e">
        <f t="shared" si="50"/>
        <v>#DIV/0!</v>
      </c>
      <c r="N156" s="253" t="e">
        <f>SUM(N144:N155)</f>
        <v>#DIV/0!</v>
      </c>
    </row>
    <row r="158" spans="1:14" x14ac:dyDescent="0.25">
      <c r="B158" s="455" t="s">
        <v>256</v>
      </c>
    </row>
    <row r="159" spans="1:14" x14ac:dyDescent="0.25">
      <c r="B159" s="1172" t="s">
        <v>2296</v>
      </c>
      <c r="C159" s="14"/>
      <c r="D159" s="14"/>
      <c r="E159" s="14"/>
      <c r="F159" s="14"/>
      <c r="G159" s="14"/>
      <c r="H159" s="14"/>
      <c r="I159" s="14"/>
      <c r="J159" s="14"/>
    </row>
    <row r="160" spans="1:14" x14ac:dyDescent="0.25">
      <c r="B160" s="1172" t="s">
        <v>2297</v>
      </c>
      <c r="C160" s="14"/>
      <c r="D160" s="14"/>
      <c r="E160" s="14"/>
      <c r="F160" s="14"/>
      <c r="G160" s="14"/>
      <c r="H160" s="14"/>
      <c r="I160" s="14"/>
      <c r="J160" s="14"/>
    </row>
    <row r="161" spans="2:14" x14ac:dyDescent="0.25">
      <c r="B161" s="742" t="s">
        <v>2259</v>
      </c>
      <c r="C161" s="724"/>
      <c r="D161" s="724"/>
      <c r="E161" s="724"/>
      <c r="F161" s="724"/>
      <c r="G161" s="724"/>
      <c r="H161" s="724"/>
      <c r="I161" s="724"/>
      <c r="J161" s="14"/>
      <c r="K161" s="14"/>
      <c r="L161" s="724"/>
      <c r="M161" s="724"/>
      <c r="N161" s="14"/>
    </row>
    <row r="162" spans="2:14" x14ac:dyDescent="0.25">
      <c r="B162" s="1177" t="s">
        <v>2560</v>
      </c>
      <c r="C162" s="724"/>
      <c r="D162" s="724"/>
      <c r="E162" s="724"/>
      <c r="F162" s="724"/>
      <c r="G162" s="724"/>
      <c r="H162" s="724"/>
      <c r="I162" s="724"/>
      <c r="J162" s="724"/>
      <c r="K162" s="724"/>
      <c r="L162" s="724"/>
      <c r="M162" s="724"/>
      <c r="N162" s="14"/>
    </row>
    <row r="163" spans="2:14" x14ac:dyDescent="0.25">
      <c r="B163" s="1177" t="s">
        <v>2260</v>
      </c>
      <c r="C163" s="724"/>
      <c r="D163" s="724"/>
      <c r="E163" s="724"/>
      <c r="F163" s="724"/>
      <c r="G163" s="724"/>
      <c r="H163" s="724"/>
      <c r="I163" s="724"/>
      <c r="J163" s="724"/>
      <c r="K163" s="724"/>
      <c r="L163" s="724"/>
      <c r="M163" s="724"/>
      <c r="N163" s="14"/>
    </row>
    <row r="164" spans="2:14" x14ac:dyDescent="0.25">
      <c r="B164" s="1177" t="s">
        <v>2261</v>
      </c>
      <c r="C164" s="724"/>
      <c r="D164" s="724"/>
      <c r="E164" s="724"/>
      <c r="F164" s="724"/>
      <c r="G164" s="724"/>
      <c r="H164" s="724"/>
      <c r="I164" s="724"/>
      <c r="J164" s="724"/>
      <c r="K164" s="724"/>
      <c r="L164" s="724"/>
      <c r="M164" s="724"/>
      <c r="N164" s="14"/>
    </row>
    <row r="165" spans="2:14" x14ac:dyDescent="0.25">
      <c r="B165" s="742" t="s">
        <v>2262</v>
      </c>
      <c r="C165" s="724"/>
      <c r="D165" s="724"/>
      <c r="E165" s="724"/>
      <c r="F165" s="724"/>
      <c r="G165" s="724"/>
      <c r="H165" s="724"/>
      <c r="I165" s="724"/>
      <c r="J165" s="724"/>
      <c r="K165" s="724"/>
      <c r="L165" s="724"/>
      <c r="M165" s="724"/>
      <c r="N165" s="14"/>
    </row>
    <row r="166" spans="2:14" x14ac:dyDescent="0.25">
      <c r="B166" s="1177" t="s">
        <v>2263</v>
      </c>
      <c r="C166" s="724"/>
      <c r="D166" s="724"/>
      <c r="E166" s="724"/>
      <c r="F166" s="724"/>
      <c r="G166" s="724"/>
      <c r="H166" s="724"/>
      <c r="I166" s="724"/>
      <c r="J166" s="724"/>
      <c r="K166" s="724"/>
      <c r="L166" s="724"/>
      <c r="M166" s="724"/>
      <c r="N166" s="14"/>
    </row>
    <row r="167" spans="2:14" x14ac:dyDescent="0.25">
      <c r="B167" s="1177" t="s">
        <v>2264</v>
      </c>
      <c r="C167" s="724"/>
      <c r="D167" s="724"/>
      <c r="E167" s="724"/>
      <c r="F167" s="724"/>
      <c r="G167" s="724"/>
      <c r="H167" s="724"/>
      <c r="I167" s="724"/>
      <c r="J167" s="724"/>
      <c r="K167" s="724"/>
      <c r="L167" s="724"/>
      <c r="M167" s="724"/>
      <c r="N167" s="14"/>
    </row>
    <row r="168" spans="2:14" x14ac:dyDescent="0.25">
      <c r="B168" s="1177" t="s">
        <v>2265</v>
      </c>
      <c r="C168" s="724"/>
      <c r="D168" s="724"/>
      <c r="E168" s="724"/>
      <c r="F168" s="724"/>
      <c r="G168" s="724"/>
      <c r="H168" s="724"/>
      <c r="I168" s="724"/>
      <c r="J168" s="724"/>
      <c r="K168" s="724"/>
      <c r="L168" s="724"/>
      <c r="M168" s="724"/>
      <c r="N168" s="14"/>
    </row>
    <row r="169" spans="2:14" x14ac:dyDescent="0.25">
      <c r="B169" s="553" t="str">
        <f>"2) Amounts on Line "&amp;A33&amp;" derived from Plant Study for previous year Prior Year."</f>
        <v>2) Amounts on Line 15 derived from Plant Study for previous year Prior Year.</v>
      </c>
      <c r="C169" s="14"/>
      <c r="D169" s="14"/>
      <c r="E169" s="14"/>
      <c r="F169" s="14"/>
      <c r="G169" s="14"/>
      <c r="H169" s="14"/>
      <c r="I169" s="14"/>
      <c r="J169" s="14"/>
    </row>
    <row r="170" spans="2:14" x14ac:dyDescent="0.25">
      <c r="B170" s="550" t="str">
        <f>"Amounts on Line "&amp;A34&amp;" derived from Plant Study for Prior Year."</f>
        <v>Amounts on Line 16 derived from Plant Study for Prior Year.</v>
      </c>
      <c r="C170" s="14"/>
      <c r="D170" s="14"/>
      <c r="E170" s="14"/>
      <c r="F170" s="14"/>
      <c r="G170" s="14"/>
      <c r="H170" s="14"/>
      <c r="I170" s="14"/>
      <c r="J170" s="14"/>
    </row>
    <row r="171" spans="2:14" x14ac:dyDescent="0.25">
      <c r="B171" s="553" t="s">
        <v>1754</v>
      </c>
      <c r="C171" s="14"/>
      <c r="D171" s="14"/>
      <c r="E171" s="14"/>
      <c r="F171" s="14"/>
      <c r="G171" s="14"/>
      <c r="H171" s="14"/>
      <c r="I171" s="14"/>
      <c r="J171" s="14"/>
    </row>
    <row r="172" spans="2:14" x14ac:dyDescent="0.25">
      <c r="B172" s="14" t="str">
        <f>"4) From 17-Depreciation, Lines "&amp;'17-Depreciation'!A49&amp;" to "&amp;'17-Depreciation'!A60&amp;"."</f>
        <v>4) From 17-Depreciation, Lines 24 to 35.</v>
      </c>
      <c r="C172" s="14"/>
      <c r="D172" s="14"/>
      <c r="E172" s="14"/>
      <c r="F172" s="14"/>
      <c r="G172" s="14"/>
      <c r="H172" s="14"/>
      <c r="I172" s="14"/>
      <c r="J172" s="14"/>
    </row>
    <row r="173" spans="2:14" x14ac:dyDescent="0.25">
      <c r="B173" s="553" t="str">
        <f>"5) Amount in matrix on lines "&amp;A71&amp;" to "&amp;A82&amp;" minus amount in matrix on lines "&amp;A91&amp;" to "&amp;A102&amp;"."</f>
        <v>5) Amount in matrix on lines 27 to 38 minus amount in matrix on lines 40 to 51.</v>
      </c>
      <c r="C173" s="14"/>
      <c r="D173" s="14"/>
      <c r="E173" s="14"/>
      <c r="F173" s="14"/>
      <c r="G173" s="14"/>
      <c r="H173" s="14"/>
      <c r="I173" s="14"/>
      <c r="J173" s="14"/>
    </row>
    <row r="174" spans="2:14" x14ac:dyDescent="0.25">
      <c r="B174" s="553" t="str">
        <f>"6) Line "&amp;A24&amp;" - Line "&amp;A12&amp;"."</f>
        <v>6) Line 13 - Line 1.</v>
      </c>
      <c r="C174" s="14"/>
      <c r="D174" s="14"/>
      <c r="E174" s="14"/>
      <c r="F174" s="14"/>
      <c r="G174" s="14"/>
      <c r="H174" s="14"/>
      <c r="I174" s="14"/>
      <c r="J174" s="14"/>
    </row>
    <row r="175" spans="2:14" x14ac:dyDescent="0.25">
      <c r="B175" s="14" t="str">
        <f>"7) Line "&amp;A103&amp;"."</f>
        <v>7) Line 52.</v>
      </c>
      <c r="C175" s="14"/>
      <c r="D175" s="14"/>
      <c r="E175" s="14"/>
      <c r="F175" s="14"/>
      <c r="G175" s="14"/>
      <c r="H175" s="14"/>
      <c r="I175" s="14"/>
      <c r="J175" s="14"/>
    </row>
    <row r="176" spans="2:14" x14ac:dyDescent="0.25">
      <c r="B176" s="553" t="str">
        <f>"8) Line "&amp;A129&amp;" - Line "&amp;A133&amp;"."</f>
        <v>8) Line 66 - Line 67.</v>
      </c>
      <c r="C176" s="14"/>
      <c r="D176" s="14"/>
      <c r="E176" s="14"/>
      <c r="F176" s="14"/>
      <c r="G176" s="14"/>
      <c r="H176" s="14"/>
      <c r="I176" s="14"/>
      <c r="J176" s="14"/>
    </row>
    <row r="177" spans="2:10" x14ac:dyDescent="0.25">
      <c r="B177" s="553" t="str">
        <f>"9) For each column (FERC Account) divide Line "&amp;A136&amp;" by Line "&amp;A123&amp;" to arrive at a ratio for each column."</f>
        <v>9) For each column (FERC Account) divide Line 68 by Line 65 to arrive at a ratio for each column.</v>
      </c>
      <c r="C177" s="14"/>
      <c r="D177" s="14"/>
      <c r="E177" s="14"/>
      <c r="F177" s="14"/>
      <c r="G177" s="14"/>
      <c r="H177" s="14"/>
      <c r="I177" s="14"/>
      <c r="J177" s="14"/>
    </row>
    <row r="178" spans="2:10" x14ac:dyDescent="0.25">
      <c r="B178" s="553" t="str">
        <f>"Apply the ratio of each column to each monthly value from Lines "&amp;A111&amp;"-"&amp;A122&amp;" to calculate the values for"</f>
        <v>Apply the ratio of each column to each monthly value from Lines 53-64 to calculate the values for</v>
      </c>
      <c r="C178" s="14"/>
      <c r="D178" s="14"/>
      <c r="E178" s="14"/>
      <c r="F178" s="14"/>
      <c r="G178" s="14"/>
      <c r="H178" s="14"/>
      <c r="I178" s="14"/>
      <c r="J178" s="14"/>
    </row>
    <row r="179" spans="2:10" x14ac:dyDescent="0.25">
      <c r="B179" s="553" t="str">
        <f>"the corresponsing months listed in Lines "&amp;A144&amp;"-"&amp;A155&amp;"."</f>
        <v>the corresponsing months listed in Lines 69-80.</v>
      </c>
      <c r="C179" s="14"/>
      <c r="D179" s="14"/>
      <c r="E179" s="14"/>
      <c r="F179" s="14"/>
      <c r="G179" s="14"/>
      <c r="H179" s="14"/>
      <c r="I179" s="14"/>
      <c r="J179" s="14"/>
    </row>
  </sheetData>
  <phoneticPr fontId="12" type="noConversion"/>
  <pageMargins left="0.75" right="0.75" top="1" bottom="1" header="0.5" footer="0.5"/>
  <pageSetup scale="65" orientation="landscape" cellComments="asDisplayed" r:id="rId1"/>
  <headerFooter alignWithMargins="0">
    <oddHeader>&amp;CSchedule 8
Accumulated Depreciation
&amp;"Arial,Bold"Attachment 5</oddHeader>
    <oddFooter>&amp;R&amp;A</oddFooter>
  </headerFooter>
  <rowBreaks count="3" manualBreakCount="3">
    <brk id="36" max="16383" man="1"/>
    <brk id="84" max="16383" man="1"/>
    <brk id="124"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7"/>
  <sheetViews>
    <sheetView topLeftCell="A10" zoomScaleNormal="100" workbookViewId="0"/>
  </sheetViews>
  <sheetFormatPr defaultRowHeight="13.8" x14ac:dyDescent="0.3"/>
  <cols>
    <col min="1" max="1" width="4.6640625" customWidth="1"/>
    <col min="2" max="2" width="9.6640625" style="626" customWidth="1"/>
    <col min="3" max="3" width="44.6640625" style="626" customWidth="1"/>
    <col min="4" max="8" width="15.6640625" style="626" customWidth="1"/>
    <col min="9" max="9" width="16.109375" style="626" bestFit="1" customWidth="1"/>
    <col min="10" max="10" width="33.6640625" style="626" customWidth="1"/>
  </cols>
  <sheetData>
    <row r="1" spans="1:12" ht="13.2" x14ac:dyDescent="0.25">
      <c r="A1" s="1178" t="s">
        <v>1359</v>
      </c>
      <c r="B1" s="261"/>
      <c r="C1" s="261"/>
      <c r="D1" s="261"/>
      <c r="E1" s="261"/>
      <c r="F1" s="450" t="s">
        <v>332</v>
      </c>
      <c r="G1" s="450"/>
      <c r="H1" s="261"/>
      <c r="I1" s="251"/>
      <c r="J1" s="251"/>
      <c r="K1" s="625"/>
      <c r="L1" s="625"/>
    </row>
    <row r="2" spans="1:12" ht="13.2" x14ac:dyDescent="0.25">
      <c r="A2" s="251"/>
      <c r="B2" s="729"/>
      <c r="C2" s="730"/>
      <c r="D2" s="730"/>
      <c r="E2" s="251"/>
      <c r="F2" s="251"/>
      <c r="G2" s="251"/>
      <c r="H2" s="251"/>
      <c r="I2" s="251"/>
      <c r="J2" s="251"/>
      <c r="K2" s="625"/>
      <c r="L2" s="625"/>
    </row>
    <row r="3" spans="1:12" ht="13.2" x14ac:dyDescent="0.25">
      <c r="A3" s="251"/>
      <c r="B3" s="729" t="s">
        <v>1782</v>
      </c>
      <c r="C3" s="730"/>
      <c r="D3" s="730"/>
      <c r="E3" s="251"/>
      <c r="F3" s="251"/>
      <c r="G3" s="251"/>
      <c r="H3" s="251"/>
      <c r="I3" s="251"/>
      <c r="J3" s="251"/>
      <c r="K3" s="625"/>
      <c r="L3" s="625"/>
    </row>
    <row r="4" spans="1:12" ht="13.2" x14ac:dyDescent="0.25">
      <c r="A4" s="251"/>
      <c r="B4" s="729"/>
      <c r="C4" s="730"/>
      <c r="D4" s="730"/>
      <c r="E4" s="251"/>
      <c r="F4" s="251"/>
      <c r="G4" s="251"/>
      <c r="H4" s="251"/>
      <c r="I4" s="251"/>
      <c r="J4" s="251"/>
      <c r="K4" s="625"/>
      <c r="L4" s="625"/>
    </row>
    <row r="5" spans="1:12" ht="13.2" x14ac:dyDescent="0.25">
      <c r="A5" s="251"/>
      <c r="B5" s="731" t="s">
        <v>1783</v>
      </c>
      <c r="C5" s="730"/>
      <c r="D5" s="730"/>
      <c r="E5" s="251"/>
      <c r="F5" s="251"/>
      <c r="G5" s="251"/>
      <c r="H5" s="251"/>
      <c r="I5" s="251"/>
      <c r="J5" s="251"/>
      <c r="K5" s="625"/>
      <c r="L5" s="625"/>
    </row>
    <row r="6" spans="1:12" x14ac:dyDescent="0.3">
      <c r="A6" s="251"/>
      <c r="B6" s="729"/>
      <c r="C6" s="92" t="s">
        <v>394</v>
      </c>
      <c r="D6" s="92" t="s">
        <v>378</v>
      </c>
      <c r="E6" s="251"/>
      <c r="I6" s="251"/>
      <c r="J6" s="251"/>
      <c r="K6" s="625"/>
      <c r="L6" s="625"/>
    </row>
    <row r="7" spans="1:12" x14ac:dyDescent="0.3">
      <c r="A7" s="251"/>
      <c r="C7" s="730"/>
      <c r="D7" s="251"/>
      <c r="E7" s="251"/>
      <c r="I7" s="251"/>
      <c r="J7" s="251"/>
      <c r="K7" s="625"/>
      <c r="L7" s="625"/>
    </row>
    <row r="8" spans="1:12" x14ac:dyDescent="0.3">
      <c r="A8" s="251"/>
      <c r="B8" s="729"/>
      <c r="C8" s="261"/>
      <c r="D8" s="121" t="s">
        <v>215</v>
      </c>
      <c r="J8" s="251"/>
      <c r="K8" s="625"/>
      <c r="L8" s="625"/>
    </row>
    <row r="9" spans="1:12" x14ac:dyDescent="0.3">
      <c r="A9" s="55" t="s">
        <v>360</v>
      </c>
      <c r="B9" s="729"/>
      <c r="C9" s="610" t="s">
        <v>110</v>
      </c>
      <c r="D9" s="135" t="s">
        <v>220</v>
      </c>
      <c r="E9" s="398" t="s">
        <v>198</v>
      </c>
      <c r="J9" s="251"/>
      <c r="K9" s="625"/>
      <c r="L9" s="625"/>
    </row>
    <row r="10" spans="1:12" ht="14.4" x14ac:dyDescent="0.3">
      <c r="A10" s="424">
        <v>1</v>
      </c>
      <c r="B10" s="729"/>
      <c r="C10" s="553" t="s">
        <v>1364</v>
      </c>
      <c r="D10" s="566" t="e">
        <f>+D139</f>
        <v>#DIV/0!</v>
      </c>
      <c r="E10" s="550" t="str">
        <f>"Line "&amp;A139&amp;", Col. 2"</f>
        <v>Line 353, Col. 2</v>
      </c>
      <c r="J10" s="251"/>
      <c r="K10" s="625"/>
      <c r="L10" s="625"/>
    </row>
    <row r="11" spans="1:12" x14ac:dyDescent="0.3">
      <c r="A11" s="689">
        <f>A10+1</f>
        <v>2</v>
      </c>
      <c r="B11" s="729"/>
      <c r="C11" s="553" t="s">
        <v>1362</v>
      </c>
      <c r="D11" s="566" t="e">
        <f>+D173</f>
        <v>#DIV/0!</v>
      </c>
      <c r="E11" s="550" t="str">
        <f>"Line "&amp;A173&amp;", Col. 2"</f>
        <v>Line 452, Col. 2</v>
      </c>
      <c r="J11" s="251"/>
      <c r="K11" s="625"/>
      <c r="L11" s="625"/>
    </row>
    <row r="12" spans="1:12" x14ac:dyDescent="0.3">
      <c r="A12" s="689">
        <f t="shared" ref="A12:A24" si="0">A11+1</f>
        <v>3</v>
      </c>
      <c r="B12" s="729"/>
      <c r="C12" s="553" t="s">
        <v>1363</v>
      </c>
      <c r="D12" s="566" t="e">
        <f>+D285</f>
        <v>#DIV/0!</v>
      </c>
      <c r="E12" s="550" t="str">
        <f>"Line "&amp;A285&amp;", Col. 2"</f>
        <v>Line 803, Col. 2</v>
      </c>
      <c r="I12" s="627"/>
      <c r="J12" s="251"/>
      <c r="K12" s="625"/>
      <c r="L12" s="625"/>
    </row>
    <row r="13" spans="1:12" x14ac:dyDescent="0.3">
      <c r="A13" s="689">
        <f t="shared" si="0"/>
        <v>4</v>
      </c>
      <c r="B13" s="729"/>
      <c r="C13" s="551" t="s">
        <v>1924</v>
      </c>
      <c r="D13" s="566" t="e">
        <f>G300</f>
        <v>#DIV/0!</v>
      </c>
      <c r="E13" s="550" t="str">
        <f>"Line "&amp;A300&amp;", Col. 5"</f>
        <v>Line 809, Col. 5</v>
      </c>
      <c r="I13" s="627"/>
      <c r="J13" s="251"/>
      <c r="K13" s="625"/>
      <c r="L13" s="625"/>
    </row>
    <row r="14" spans="1:12" x14ac:dyDescent="0.3">
      <c r="A14" s="689">
        <f t="shared" si="0"/>
        <v>5</v>
      </c>
      <c r="B14" s="729"/>
      <c r="C14" s="553" t="s">
        <v>1786</v>
      </c>
      <c r="D14" s="568" t="e">
        <f t="shared" ref="D14" si="1">SUM(D10:D13)</f>
        <v>#DIV/0!</v>
      </c>
      <c r="E14" s="654" t="str">
        <f>"Sum of Lines "&amp;A10&amp;" to "&amp;A13&amp;""</f>
        <v>Sum of Lines 1 to 4</v>
      </c>
      <c r="J14" s="251"/>
      <c r="K14" s="625"/>
      <c r="L14" s="625"/>
    </row>
    <row r="15" spans="1:12" x14ac:dyDescent="0.3">
      <c r="A15" s="689">
        <f t="shared" si="0"/>
        <v>6</v>
      </c>
      <c r="B15" s="729"/>
      <c r="D15" s="261"/>
      <c r="E15" s="261"/>
      <c r="G15" s="628"/>
      <c r="H15" s="270"/>
      <c r="I15" s="261"/>
      <c r="J15" s="251"/>
      <c r="K15" s="625"/>
      <c r="L15" s="625"/>
    </row>
    <row r="16" spans="1:12" x14ac:dyDescent="0.3">
      <c r="A16" s="689">
        <f t="shared" si="0"/>
        <v>7</v>
      </c>
      <c r="B16" s="731" t="s">
        <v>1785</v>
      </c>
      <c r="E16" s="261"/>
      <c r="G16" s="627"/>
      <c r="H16" s="629"/>
      <c r="I16" s="627"/>
      <c r="J16" s="251"/>
      <c r="K16" s="625"/>
      <c r="L16" s="625"/>
    </row>
    <row r="17" spans="1:12" x14ac:dyDescent="0.3">
      <c r="A17" s="689">
        <f t="shared" si="0"/>
        <v>8</v>
      </c>
      <c r="B17" s="731"/>
      <c r="D17" s="121" t="s">
        <v>423</v>
      </c>
      <c r="E17" s="261"/>
      <c r="G17" s="627"/>
      <c r="H17" s="629"/>
      <c r="I17" s="627"/>
      <c r="J17" s="251"/>
      <c r="K17" s="625"/>
      <c r="L17" s="625"/>
    </row>
    <row r="18" spans="1:12" x14ac:dyDescent="0.3">
      <c r="A18" s="689">
        <f t="shared" si="0"/>
        <v>9</v>
      </c>
      <c r="B18" s="729"/>
      <c r="D18" s="135" t="s">
        <v>220</v>
      </c>
      <c r="E18" s="398" t="s">
        <v>198</v>
      </c>
      <c r="G18" s="630"/>
      <c r="H18" s="627"/>
      <c r="I18" s="627"/>
      <c r="J18" s="251"/>
      <c r="K18" s="625"/>
      <c r="L18" s="625"/>
    </row>
    <row r="19" spans="1:12" x14ac:dyDescent="0.3">
      <c r="A19" s="689">
        <f t="shared" si="0"/>
        <v>10</v>
      </c>
      <c r="B19" s="729"/>
      <c r="C19" s="553" t="s">
        <v>1786</v>
      </c>
      <c r="D19" s="590"/>
      <c r="E19" s="530" t="str">
        <f>"Previous Year Informational Filing, Line "&amp;A14&amp;", Col. 2"</f>
        <v>Previous Year Informational Filing, Line 5, Col. 2</v>
      </c>
      <c r="G19" s="627"/>
      <c r="H19" s="627"/>
      <c r="I19" s="627"/>
      <c r="K19" s="625"/>
      <c r="L19" s="625"/>
    </row>
    <row r="20" spans="1:12" x14ac:dyDescent="0.3">
      <c r="A20" s="689">
        <f t="shared" si="0"/>
        <v>11</v>
      </c>
      <c r="B20" s="729"/>
      <c r="D20" s="261"/>
      <c r="E20" s="261"/>
      <c r="F20" s="627"/>
      <c r="G20" s="627"/>
      <c r="H20" s="627"/>
      <c r="I20" s="627"/>
      <c r="J20" s="251"/>
      <c r="K20" s="625"/>
      <c r="L20" s="625"/>
    </row>
    <row r="21" spans="1:12" x14ac:dyDescent="0.3">
      <c r="A21" s="689">
        <f t="shared" si="0"/>
        <v>12</v>
      </c>
      <c r="B21" s="731" t="s">
        <v>1787</v>
      </c>
      <c r="D21" s="261"/>
      <c r="E21" s="261"/>
      <c r="F21" s="627"/>
      <c r="G21" s="627"/>
      <c r="H21" s="627"/>
      <c r="I21" s="627"/>
      <c r="J21" s="251"/>
      <c r="K21" s="625"/>
      <c r="L21" s="625"/>
    </row>
    <row r="22" spans="1:12" ht="13.2" x14ac:dyDescent="0.25">
      <c r="A22" s="689">
        <f t="shared" si="0"/>
        <v>13</v>
      </c>
      <c r="B22" s="730"/>
      <c r="C22" s="732"/>
      <c r="D22" s="733" t="s">
        <v>255</v>
      </c>
      <c r="E22" s="251"/>
      <c r="F22" s="251"/>
      <c r="G22" s="251"/>
      <c r="H22" s="251"/>
      <c r="I22" s="251"/>
      <c r="J22" s="251"/>
      <c r="K22" s="625"/>
      <c r="L22" s="625"/>
    </row>
    <row r="23" spans="1:12" x14ac:dyDescent="0.3">
      <c r="A23" s="689">
        <f t="shared" si="0"/>
        <v>14</v>
      </c>
      <c r="B23" s="730"/>
      <c r="D23" s="135" t="s">
        <v>220</v>
      </c>
      <c r="E23" s="398" t="s">
        <v>198</v>
      </c>
      <c r="F23" s="251"/>
      <c r="G23" s="630"/>
      <c r="H23" s="251"/>
      <c r="I23" s="251"/>
      <c r="J23" s="251"/>
      <c r="K23" s="625"/>
      <c r="L23" s="625"/>
    </row>
    <row r="24" spans="1:12" ht="13.2" x14ac:dyDescent="0.25">
      <c r="A24" s="689">
        <f t="shared" si="0"/>
        <v>15</v>
      </c>
      <c r="B24" s="730"/>
      <c r="C24" s="734" t="s">
        <v>1788</v>
      </c>
      <c r="D24" s="735" t="e">
        <f>(D14+D19)/2</f>
        <v>#DIV/0!</v>
      </c>
      <c r="E24" s="270" t="str">
        <f>"Average of Line "&amp;A14&amp;" and Line "&amp;A19&amp;""</f>
        <v>Average of Line 5 and Line 10</v>
      </c>
      <c r="F24" s="251"/>
      <c r="G24" s="627"/>
      <c r="H24" s="251"/>
      <c r="I24" s="251"/>
      <c r="J24" s="251"/>
      <c r="K24" s="625"/>
      <c r="L24" s="625"/>
    </row>
    <row r="25" spans="1:12" ht="13.2" x14ac:dyDescent="0.25">
      <c r="A25" s="689"/>
      <c r="B25" s="730"/>
      <c r="C25" s="732"/>
      <c r="D25" s="736"/>
      <c r="E25" s="251"/>
      <c r="F25" s="251"/>
      <c r="G25" s="251"/>
      <c r="H25" s="251"/>
      <c r="I25" s="251"/>
      <c r="J25" s="251"/>
      <c r="K25" s="625"/>
      <c r="L25" s="625"/>
    </row>
    <row r="26" spans="1:12" ht="13.2" x14ac:dyDescent="0.25">
      <c r="A26" s="689"/>
      <c r="B26" s="729" t="s">
        <v>1789</v>
      </c>
      <c r="C26" s="732"/>
      <c r="D26" s="736"/>
      <c r="E26" s="251"/>
      <c r="F26" s="251"/>
      <c r="G26" s="251"/>
      <c r="H26" s="251"/>
      <c r="I26" s="251"/>
      <c r="J26" s="251"/>
    </row>
    <row r="27" spans="1:12" ht="13.2" x14ac:dyDescent="0.25">
      <c r="A27" s="689"/>
      <c r="B27" s="729"/>
      <c r="C27" s="92" t="s">
        <v>394</v>
      </c>
      <c r="D27" s="92" t="s">
        <v>378</v>
      </c>
      <c r="E27" s="92" t="s">
        <v>379</v>
      </c>
      <c r="F27" s="92" t="s">
        <v>380</v>
      </c>
      <c r="G27" s="92" t="s">
        <v>381</v>
      </c>
      <c r="H27" s="92" t="s">
        <v>382</v>
      </c>
      <c r="I27" s="92" t="s">
        <v>383</v>
      </c>
      <c r="J27" s="251"/>
    </row>
    <row r="28" spans="1:12" ht="13.2" x14ac:dyDescent="0.25">
      <c r="A28" s="551"/>
      <c r="B28" s="733"/>
      <c r="C28" s="733"/>
      <c r="D28" s="733" t="s">
        <v>1790</v>
      </c>
      <c r="E28" s="733" t="s">
        <v>1791</v>
      </c>
      <c r="F28" s="733"/>
      <c r="G28" s="733"/>
      <c r="H28" s="733" t="s">
        <v>1427</v>
      </c>
      <c r="I28" s="1179" t="s">
        <v>2300</v>
      </c>
      <c r="J28" s="251"/>
    </row>
    <row r="29" spans="1:12" ht="13.2" x14ac:dyDescent="0.25">
      <c r="A29" s="551"/>
      <c r="B29" s="737" t="s">
        <v>1792</v>
      </c>
      <c r="C29" s="737" t="s">
        <v>1793</v>
      </c>
      <c r="D29" s="737" t="s">
        <v>1794</v>
      </c>
      <c r="E29" s="737" t="s">
        <v>1795</v>
      </c>
      <c r="F29" s="737" t="s">
        <v>1796</v>
      </c>
      <c r="G29" s="737" t="s">
        <v>1797</v>
      </c>
      <c r="H29" s="737" t="s">
        <v>1784</v>
      </c>
      <c r="I29" s="737" t="s">
        <v>111</v>
      </c>
      <c r="J29" s="251"/>
    </row>
    <row r="30" spans="1:12" ht="13.2" x14ac:dyDescent="0.25">
      <c r="A30" s="689"/>
      <c r="B30" s="730" t="s">
        <v>1799</v>
      </c>
      <c r="C30" s="730"/>
      <c r="D30" s="730"/>
      <c r="E30" s="251"/>
      <c r="F30" s="251"/>
      <c r="G30" s="251"/>
      <c r="H30" s="251"/>
      <c r="I30" s="251"/>
      <c r="J30" s="251"/>
    </row>
    <row r="31" spans="1:12" ht="13.2" x14ac:dyDescent="0.25">
      <c r="A31" s="207">
        <f>100</f>
        <v>100</v>
      </c>
      <c r="B31" s="738"/>
      <c r="C31" s="739"/>
      <c r="D31" s="740"/>
      <c r="E31" s="894"/>
      <c r="F31" s="256"/>
      <c r="G31" s="894"/>
      <c r="H31" s="894"/>
      <c r="I31" s="895"/>
      <c r="J31" s="450"/>
    </row>
    <row r="32" spans="1:12" ht="13.2" x14ac:dyDescent="0.25">
      <c r="A32" s="207">
        <f t="shared" ref="A32:A95" si="2">A31+1</f>
        <v>101</v>
      </c>
      <c r="B32" s="738"/>
      <c r="C32" s="739"/>
      <c r="D32" s="740"/>
      <c r="E32" s="894"/>
      <c r="F32" s="256"/>
      <c r="G32" s="894"/>
      <c r="H32" s="894"/>
      <c r="I32" s="895"/>
      <c r="J32" s="450"/>
    </row>
    <row r="33" spans="1:10" ht="13.2" x14ac:dyDescent="0.25">
      <c r="A33" s="207">
        <f t="shared" si="2"/>
        <v>102</v>
      </c>
      <c r="B33" s="738"/>
      <c r="C33" s="739"/>
      <c r="D33" s="740"/>
      <c r="E33" s="894"/>
      <c r="F33" s="256"/>
      <c r="G33" s="894"/>
      <c r="H33" s="894"/>
      <c r="I33" s="895"/>
      <c r="J33" s="450"/>
    </row>
    <row r="34" spans="1:10" ht="13.2" x14ac:dyDescent="0.25">
      <c r="A34" s="207">
        <f t="shared" si="2"/>
        <v>103</v>
      </c>
      <c r="B34" s="738"/>
      <c r="C34" s="739"/>
      <c r="D34" s="740"/>
      <c r="E34" s="894"/>
      <c r="F34" s="894"/>
      <c r="G34" s="894"/>
      <c r="H34" s="894"/>
      <c r="I34" s="895"/>
      <c r="J34" s="450"/>
    </row>
    <row r="35" spans="1:10" ht="13.2" x14ac:dyDescent="0.25">
      <c r="A35" s="207">
        <f t="shared" si="2"/>
        <v>104</v>
      </c>
      <c r="B35" s="738"/>
      <c r="C35" s="739"/>
      <c r="D35" s="740"/>
      <c r="E35" s="894"/>
      <c r="F35" s="256"/>
      <c r="G35" s="894"/>
      <c r="H35" s="894"/>
      <c r="I35" s="895"/>
      <c r="J35" s="450"/>
    </row>
    <row r="36" spans="1:10" ht="12.75" customHeight="1" x14ac:dyDescent="0.25">
      <c r="A36" s="207">
        <f t="shared" si="2"/>
        <v>105</v>
      </c>
      <c r="B36" s="738"/>
      <c r="C36" s="739"/>
      <c r="D36" s="740"/>
      <c r="E36" s="894"/>
      <c r="F36" s="256"/>
      <c r="G36" s="894"/>
      <c r="H36" s="894"/>
      <c r="I36" s="895"/>
      <c r="J36" s="450"/>
    </row>
    <row r="37" spans="1:10" ht="13.2" x14ac:dyDescent="0.25">
      <c r="A37" s="207">
        <f t="shared" si="2"/>
        <v>106</v>
      </c>
      <c r="B37" s="738"/>
      <c r="C37" s="739"/>
      <c r="D37" s="740"/>
      <c r="E37" s="894"/>
      <c r="F37" s="256"/>
      <c r="G37" s="894"/>
      <c r="H37" s="894"/>
      <c r="I37" s="895"/>
      <c r="J37" s="450"/>
    </row>
    <row r="38" spans="1:10" ht="13.2" x14ac:dyDescent="0.25">
      <c r="A38" s="207">
        <f t="shared" si="2"/>
        <v>107</v>
      </c>
      <c r="B38" s="738"/>
      <c r="C38" s="739"/>
      <c r="D38" s="740"/>
      <c r="E38" s="894"/>
      <c r="F38" s="256"/>
      <c r="G38" s="894"/>
      <c r="H38" s="894"/>
      <c r="I38" s="895"/>
      <c r="J38" s="450"/>
    </row>
    <row r="39" spans="1:10" ht="13.2" x14ac:dyDescent="0.25">
      <c r="A39" s="207">
        <f t="shared" si="2"/>
        <v>108</v>
      </c>
      <c r="B39" s="738"/>
      <c r="C39" s="739"/>
      <c r="D39" s="740"/>
      <c r="E39" s="894"/>
      <c r="F39" s="256"/>
      <c r="G39" s="894"/>
      <c r="H39" s="894"/>
      <c r="I39" s="895"/>
      <c r="J39" s="450"/>
    </row>
    <row r="40" spans="1:10" ht="13.2" x14ac:dyDescent="0.25">
      <c r="A40" s="207">
        <f>+A39+1</f>
        <v>109</v>
      </c>
      <c r="B40" s="738"/>
      <c r="C40" s="739"/>
      <c r="D40" s="740"/>
      <c r="E40" s="894"/>
      <c r="F40" s="256"/>
      <c r="G40" s="894"/>
      <c r="H40" s="894"/>
      <c r="I40" s="895"/>
      <c r="J40" s="450"/>
    </row>
    <row r="41" spans="1:10" ht="13.2" x14ac:dyDescent="0.25">
      <c r="A41" s="207">
        <f t="shared" si="2"/>
        <v>110</v>
      </c>
      <c r="B41" s="738"/>
      <c r="C41" s="739"/>
      <c r="D41" s="740"/>
      <c r="E41" s="894"/>
      <c r="F41" s="590"/>
      <c r="G41" s="894"/>
      <c r="H41" s="894"/>
      <c r="I41" s="895"/>
      <c r="J41" s="896"/>
    </row>
    <row r="42" spans="1:10" ht="13.2" x14ac:dyDescent="0.25">
      <c r="A42" s="207">
        <f t="shared" si="2"/>
        <v>111</v>
      </c>
      <c r="B42" s="738"/>
      <c r="C42" s="739"/>
      <c r="D42" s="740"/>
      <c r="E42" s="894"/>
      <c r="F42" s="256"/>
      <c r="G42" s="894"/>
      <c r="H42" s="894"/>
      <c r="I42" s="895"/>
      <c r="J42" s="450"/>
    </row>
    <row r="43" spans="1:10" ht="13.2" x14ac:dyDescent="0.25">
      <c r="A43" s="207">
        <f t="shared" si="2"/>
        <v>112</v>
      </c>
      <c r="B43" s="738"/>
      <c r="C43" s="739"/>
      <c r="D43" s="740"/>
      <c r="E43" s="894"/>
      <c r="F43" s="256"/>
      <c r="G43" s="894"/>
      <c r="H43" s="894"/>
      <c r="I43" s="895"/>
      <c r="J43" s="450"/>
    </row>
    <row r="44" spans="1:10" ht="13.2" x14ac:dyDescent="0.25">
      <c r="A44" s="207">
        <f t="shared" si="2"/>
        <v>113</v>
      </c>
      <c r="B44" s="738"/>
      <c r="C44" s="739"/>
      <c r="D44" s="740"/>
      <c r="E44" s="894"/>
      <c r="F44" s="256"/>
      <c r="G44" s="894"/>
      <c r="H44" s="894"/>
      <c r="I44" s="895"/>
      <c r="J44" s="450"/>
    </row>
    <row r="45" spans="1:10" ht="13.2" x14ac:dyDescent="0.25">
      <c r="A45" s="207">
        <f t="shared" si="2"/>
        <v>114</v>
      </c>
      <c r="B45" s="738"/>
      <c r="C45" s="739"/>
      <c r="D45" s="740"/>
      <c r="E45" s="894"/>
      <c r="F45" s="256"/>
      <c r="G45" s="894"/>
      <c r="H45" s="256"/>
      <c r="I45" s="895"/>
      <c r="J45" s="450"/>
    </row>
    <row r="46" spans="1:10" ht="13.2" x14ac:dyDescent="0.25">
      <c r="A46" s="207">
        <f t="shared" si="2"/>
        <v>115</v>
      </c>
      <c r="B46" s="738"/>
      <c r="C46" s="739"/>
      <c r="D46" s="740"/>
      <c r="E46" s="894"/>
      <c r="F46" s="256"/>
      <c r="G46" s="894"/>
      <c r="H46" s="256"/>
      <c r="I46" s="895"/>
      <c r="J46" s="450"/>
    </row>
    <row r="47" spans="1:10" ht="13.2" x14ac:dyDescent="0.25">
      <c r="A47" s="207">
        <f t="shared" si="2"/>
        <v>116</v>
      </c>
      <c r="B47" s="738"/>
      <c r="C47" s="739"/>
      <c r="D47" s="740"/>
      <c r="E47" s="894"/>
      <c r="F47" s="256"/>
      <c r="G47" s="256"/>
      <c r="H47" s="256"/>
      <c r="I47" s="895"/>
      <c r="J47" s="450"/>
    </row>
    <row r="48" spans="1:10" ht="13.2" x14ac:dyDescent="0.25">
      <c r="A48" s="207">
        <f t="shared" si="2"/>
        <v>117</v>
      </c>
      <c r="B48" s="738"/>
      <c r="C48" s="739"/>
      <c r="D48" s="740"/>
      <c r="E48" s="894"/>
      <c r="F48" s="256"/>
      <c r="G48" s="256"/>
      <c r="H48" s="256"/>
      <c r="I48" s="895"/>
      <c r="J48" s="450"/>
    </row>
    <row r="49" spans="1:12" ht="13.2" x14ac:dyDescent="0.25">
      <c r="A49" s="207">
        <f t="shared" si="2"/>
        <v>118</v>
      </c>
      <c r="B49" s="738"/>
      <c r="C49" s="739"/>
      <c r="D49" s="740"/>
      <c r="E49" s="894"/>
      <c r="F49" s="256"/>
      <c r="G49" s="256"/>
      <c r="H49" s="256"/>
      <c r="I49" s="895"/>
      <c r="J49" s="450"/>
    </row>
    <row r="50" spans="1:12" ht="13.2" x14ac:dyDescent="0.25">
      <c r="A50" s="207">
        <f t="shared" si="2"/>
        <v>119</v>
      </c>
      <c r="B50" s="738"/>
      <c r="C50" s="739"/>
      <c r="D50" s="740"/>
      <c r="E50" s="894"/>
      <c r="F50" s="256"/>
      <c r="G50" s="256"/>
      <c r="H50" s="256"/>
      <c r="I50" s="895"/>
      <c r="J50" s="450"/>
    </row>
    <row r="51" spans="1:12" ht="13.2" x14ac:dyDescent="0.25">
      <c r="A51" s="207">
        <f t="shared" si="2"/>
        <v>120</v>
      </c>
      <c r="B51" s="738"/>
      <c r="C51" s="739"/>
      <c r="D51" s="740"/>
      <c r="E51" s="894"/>
      <c r="F51" s="256"/>
      <c r="G51" s="256"/>
      <c r="H51" s="256"/>
      <c r="I51" s="895"/>
      <c r="J51" s="450"/>
    </row>
    <row r="52" spans="1:12" ht="13.2" x14ac:dyDescent="0.25">
      <c r="A52" s="207">
        <f t="shared" si="2"/>
        <v>121</v>
      </c>
      <c r="B52" s="738"/>
      <c r="C52" s="739"/>
      <c r="D52" s="740"/>
      <c r="E52" s="894"/>
      <c r="F52" s="256"/>
      <c r="G52" s="256"/>
      <c r="H52" s="256"/>
      <c r="I52" s="895"/>
      <c r="J52" s="450"/>
    </row>
    <row r="53" spans="1:12" ht="13.2" x14ac:dyDescent="0.25">
      <c r="A53" s="207">
        <f t="shared" si="2"/>
        <v>122</v>
      </c>
      <c r="B53" s="738"/>
      <c r="C53" s="739"/>
      <c r="D53" s="740"/>
      <c r="E53" s="894"/>
      <c r="F53" s="256"/>
      <c r="G53" s="256"/>
      <c r="H53" s="256"/>
      <c r="I53" s="895"/>
      <c r="J53" s="450"/>
    </row>
    <row r="54" spans="1:12" ht="13.2" x14ac:dyDescent="0.25">
      <c r="A54" s="207">
        <f t="shared" si="2"/>
        <v>123</v>
      </c>
      <c r="B54" s="738"/>
      <c r="C54" s="739"/>
      <c r="D54" s="740"/>
      <c r="E54" s="256"/>
      <c r="F54" s="256"/>
      <c r="G54" s="256"/>
      <c r="H54" s="256"/>
      <c r="I54" s="450"/>
      <c r="J54" s="450"/>
      <c r="K54" s="625"/>
      <c r="L54" s="625"/>
    </row>
    <row r="55" spans="1:12" ht="13.2" x14ac:dyDescent="0.25">
      <c r="A55" s="207">
        <f t="shared" si="2"/>
        <v>124</v>
      </c>
      <c r="B55" s="738"/>
      <c r="C55" s="739"/>
      <c r="D55" s="740"/>
      <c r="E55" s="256"/>
      <c r="F55" s="256"/>
      <c r="G55" s="256"/>
      <c r="H55" s="256"/>
      <c r="I55" s="450"/>
      <c r="J55" s="450"/>
      <c r="K55" s="625"/>
      <c r="L55" s="625"/>
    </row>
    <row r="56" spans="1:12" ht="13.2" x14ac:dyDescent="0.25">
      <c r="A56" s="207">
        <f t="shared" si="2"/>
        <v>125</v>
      </c>
      <c r="B56" s="738"/>
      <c r="C56" s="739"/>
      <c r="D56" s="740"/>
      <c r="E56" s="256"/>
      <c r="F56" s="256"/>
      <c r="G56" s="256"/>
      <c r="H56" s="256"/>
      <c r="I56" s="450"/>
      <c r="J56" s="450"/>
      <c r="K56" s="625"/>
      <c r="L56" s="625"/>
    </row>
    <row r="57" spans="1:12" ht="13.2" x14ac:dyDescent="0.25">
      <c r="A57" s="207">
        <f t="shared" si="2"/>
        <v>126</v>
      </c>
      <c r="B57" s="738"/>
      <c r="C57" s="739"/>
      <c r="D57" s="740"/>
      <c r="E57" s="590"/>
      <c r="F57" s="256"/>
      <c r="G57" s="256"/>
      <c r="H57" s="256"/>
      <c r="I57" s="450"/>
      <c r="J57" s="450"/>
      <c r="K57" s="625"/>
      <c r="L57" s="625"/>
    </row>
    <row r="58" spans="1:12" ht="13.2" x14ac:dyDescent="0.25">
      <c r="A58" s="207">
        <f t="shared" si="2"/>
        <v>127</v>
      </c>
      <c r="B58" s="738"/>
      <c r="C58" s="739"/>
      <c r="D58" s="740"/>
      <c r="E58" s="256"/>
      <c r="F58" s="256"/>
      <c r="G58" s="256"/>
      <c r="H58" s="256"/>
      <c r="I58" s="450"/>
      <c r="J58" s="450"/>
      <c r="K58" s="625"/>
      <c r="L58" s="625"/>
    </row>
    <row r="59" spans="1:12" ht="13.2" x14ac:dyDescent="0.25">
      <c r="A59" s="207">
        <f t="shared" si="2"/>
        <v>128</v>
      </c>
      <c r="B59" s="738"/>
      <c r="C59" s="739"/>
      <c r="D59" s="740"/>
      <c r="E59" s="256"/>
      <c r="F59" s="256"/>
      <c r="G59" s="256"/>
      <c r="H59" s="256"/>
      <c r="I59" s="450"/>
      <c r="J59" s="450"/>
      <c r="K59" s="625"/>
      <c r="L59" s="625"/>
    </row>
    <row r="60" spans="1:12" ht="13.2" x14ac:dyDescent="0.25">
      <c r="A60" s="207">
        <f t="shared" si="2"/>
        <v>129</v>
      </c>
      <c r="B60" s="738"/>
      <c r="C60" s="739"/>
      <c r="D60" s="740"/>
      <c r="E60" s="256"/>
      <c r="F60" s="256"/>
      <c r="G60" s="256"/>
      <c r="H60" s="256"/>
      <c r="I60" s="450"/>
      <c r="J60" s="450"/>
      <c r="K60" s="625"/>
      <c r="L60" s="625"/>
    </row>
    <row r="61" spans="1:12" ht="13.2" x14ac:dyDescent="0.25">
      <c r="A61" s="207">
        <f t="shared" si="2"/>
        <v>130</v>
      </c>
      <c r="B61" s="738"/>
      <c r="C61" s="739"/>
      <c r="D61" s="740"/>
      <c r="E61" s="256"/>
      <c r="F61" s="256"/>
      <c r="G61" s="256"/>
      <c r="H61" s="256"/>
      <c r="I61" s="450"/>
      <c r="J61" s="450"/>
      <c r="K61" s="625"/>
      <c r="L61" s="625"/>
    </row>
    <row r="62" spans="1:12" ht="13.2" x14ac:dyDescent="0.25">
      <c r="A62" s="207">
        <f t="shared" si="2"/>
        <v>131</v>
      </c>
      <c r="B62" s="738"/>
      <c r="C62" s="739"/>
      <c r="D62" s="740"/>
      <c r="E62" s="256"/>
      <c r="F62" s="256"/>
      <c r="G62" s="256"/>
      <c r="H62" s="256"/>
      <c r="I62" s="450"/>
      <c r="J62" s="450"/>
      <c r="K62" s="625"/>
      <c r="L62" s="625"/>
    </row>
    <row r="63" spans="1:12" ht="13.2" x14ac:dyDescent="0.25">
      <c r="A63" s="207">
        <f t="shared" si="2"/>
        <v>132</v>
      </c>
      <c r="B63" s="738"/>
      <c r="C63" s="739"/>
      <c r="D63" s="740"/>
      <c r="E63" s="256"/>
      <c r="F63" s="256"/>
      <c r="G63" s="256"/>
      <c r="H63" s="256"/>
      <c r="I63" s="450"/>
      <c r="J63" s="450"/>
      <c r="K63" s="625"/>
      <c r="L63" s="625"/>
    </row>
    <row r="64" spans="1:12" ht="13.2" x14ac:dyDescent="0.25">
      <c r="A64" s="207">
        <f t="shared" si="2"/>
        <v>133</v>
      </c>
      <c r="B64" s="738"/>
      <c r="C64" s="739"/>
      <c r="D64" s="740"/>
      <c r="E64" s="256"/>
      <c r="F64" s="256"/>
      <c r="G64" s="256"/>
      <c r="H64" s="256"/>
      <c r="I64" s="450"/>
      <c r="J64" s="450"/>
      <c r="K64" s="625"/>
      <c r="L64" s="625"/>
    </row>
    <row r="65" spans="1:12" ht="13.2" x14ac:dyDescent="0.25">
      <c r="A65" s="207">
        <f t="shared" si="2"/>
        <v>134</v>
      </c>
      <c r="B65" s="738"/>
      <c r="C65" s="739"/>
      <c r="D65" s="740"/>
      <c r="E65" s="256"/>
      <c r="F65" s="256"/>
      <c r="G65" s="256"/>
      <c r="H65" s="256"/>
      <c r="I65" s="450"/>
      <c r="J65" s="450"/>
      <c r="K65" s="625"/>
      <c r="L65" s="625"/>
    </row>
    <row r="66" spans="1:12" ht="13.2" x14ac:dyDescent="0.25">
      <c r="A66" s="207">
        <f t="shared" si="2"/>
        <v>135</v>
      </c>
      <c r="B66" s="738"/>
      <c r="C66" s="739"/>
      <c r="D66" s="740"/>
      <c r="E66" s="256"/>
      <c r="F66" s="256"/>
      <c r="G66" s="256"/>
      <c r="H66" s="256"/>
      <c r="I66" s="450"/>
      <c r="J66" s="450"/>
      <c r="K66" s="625"/>
      <c r="L66" s="625"/>
    </row>
    <row r="67" spans="1:12" ht="13.2" x14ac:dyDescent="0.25">
      <c r="A67" s="207">
        <f t="shared" si="2"/>
        <v>136</v>
      </c>
      <c r="B67" s="738"/>
      <c r="C67" s="739"/>
      <c r="D67" s="740"/>
      <c r="E67" s="256"/>
      <c r="F67" s="256"/>
      <c r="G67" s="256"/>
      <c r="H67" s="256"/>
      <c r="I67" s="450"/>
      <c r="J67" s="450"/>
      <c r="K67" s="625"/>
      <c r="L67" s="625"/>
    </row>
    <row r="68" spans="1:12" ht="13.2" x14ac:dyDescent="0.25">
      <c r="A68" s="207">
        <f t="shared" si="2"/>
        <v>137</v>
      </c>
      <c r="B68" s="738"/>
      <c r="C68" s="739"/>
      <c r="D68" s="740"/>
      <c r="E68" s="256"/>
      <c r="F68" s="256"/>
      <c r="G68" s="256"/>
      <c r="H68" s="256"/>
      <c r="I68" s="450"/>
      <c r="J68" s="450"/>
      <c r="K68" s="625"/>
      <c r="L68" s="625"/>
    </row>
    <row r="69" spans="1:12" ht="13.2" x14ac:dyDescent="0.25">
      <c r="A69" s="207">
        <f t="shared" si="2"/>
        <v>138</v>
      </c>
      <c r="B69" s="738"/>
      <c r="C69" s="739"/>
      <c r="D69" s="740"/>
      <c r="E69" s="256"/>
      <c r="F69" s="256"/>
      <c r="G69" s="256"/>
      <c r="H69" s="256"/>
      <c r="I69" s="450"/>
      <c r="J69" s="450"/>
      <c r="K69" s="625"/>
      <c r="L69" s="625"/>
    </row>
    <row r="70" spans="1:12" ht="13.2" x14ac:dyDescent="0.25">
      <c r="A70" s="207">
        <f t="shared" si="2"/>
        <v>139</v>
      </c>
      <c r="B70" s="738"/>
      <c r="C70" s="739"/>
      <c r="D70" s="740"/>
      <c r="E70" s="256"/>
      <c r="F70" s="256"/>
      <c r="G70" s="256"/>
      <c r="H70" s="256"/>
      <c r="I70" s="896"/>
      <c r="J70" s="896"/>
      <c r="K70" s="625"/>
      <c r="L70" s="625"/>
    </row>
    <row r="71" spans="1:12" ht="13.2" x14ac:dyDescent="0.25">
      <c r="A71" s="207">
        <f t="shared" si="2"/>
        <v>140</v>
      </c>
      <c r="B71" s="738"/>
      <c r="C71" s="739"/>
      <c r="D71" s="740"/>
      <c r="E71" s="256"/>
      <c r="F71" s="256"/>
      <c r="G71" s="256"/>
      <c r="H71" s="256"/>
      <c r="I71" s="450"/>
      <c r="J71" s="450"/>
      <c r="K71" s="625"/>
      <c r="L71" s="625"/>
    </row>
    <row r="72" spans="1:12" ht="13.2" x14ac:dyDescent="0.25">
      <c r="A72" s="207">
        <f t="shared" si="2"/>
        <v>141</v>
      </c>
      <c r="B72" s="738"/>
      <c r="C72" s="739"/>
      <c r="D72" s="740"/>
      <c r="E72" s="256"/>
      <c r="F72" s="256"/>
      <c r="G72" s="256"/>
      <c r="H72" s="256"/>
      <c r="I72" s="450"/>
      <c r="J72" s="450"/>
      <c r="K72" s="625"/>
      <c r="L72" s="625"/>
    </row>
    <row r="73" spans="1:12" ht="13.2" x14ac:dyDescent="0.25">
      <c r="A73" s="121"/>
      <c r="B73" s="741"/>
      <c r="C73" s="742"/>
      <c r="D73" s="743"/>
      <c r="E73" s="255"/>
      <c r="F73" s="255"/>
      <c r="G73" s="255"/>
      <c r="H73" s="255"/>
      <c r="I73" s="261"/>
      <c r="J73" s="261"/>
      <c r="K73" s="625"/>
      <c r="L73" s="625"/>
    </row>
    <row r="74" spans="1:12" ht="13.2" x14ac:dyDescent="0.25">
      <c r="A74" s="121"/>
      <c r="B74" s="729" t="s">
        <v>1800</v>
      </c>
      <c r="C74" s="732"/>
      <c r="D74" s="736"/>
      <c r="E74" s="251"/>
      <c r="F74" s="251"/>
      <c r="G74" s="251"/>
      <c r="H74" s="251"/>
      <c r="I74" s="251"/>
      <c r="J74" s="261"/>
      <c r="K74" s="625"/>
      <c r="L74" s="625"/>
    </row>
    <row r="75" spans="1:12" ht="13.2" x14ac:dyDescent="0.25">
      <c r="A75" s="121"/>
      <c r="B75" s="729"/>
      <c r="C75" s="92" t="s">
        <v>394</v>
      </c>
      <c r="D75" s="92" t="s">
        <v>378</v>
      </c>
      <c r="E75" s="92" t="s">
        <v>379</v>
      </c>
      <c r="F75" s="92" t="s">
        <v>380</v>
      </c>
      <c r="G75" s="92" t="s">
        <v>381</v>
      </c>
      <c r="H75" s="92" t="s">
        <v>382</v>
      </c>
      <c r="I75" s="92" t="s">
        <v>383</v>
      </c>
      <c r="J75" s="261"/>
      <c r="K75" s="625"/>
      <c r="L75" s="625"/>
    </row>
    <row r="76" spans="1:12" ht="13.2" x14ac:dyDescent="0.25">
      <c r="A76" s="121"/>
      <c r="B76" s="733"/>
      <c r="C76" s="733"/>
      <c r="D76" s="733" t="s">
        <v>1790</v>
      </c>
      <c r="E76" s="733" t="s">
        <v>1791</v>
      </c>
      <c r="F76" s="733"/>
      <c r="G76" s="733"/>
      <c r="H76" s="733"/>
      <c r="I76" s="1179" t="s">
        <v>2300</v>
      </c>
      <c r="J76" s="261"/>
      <c r="K76" s="625"/>
      <c r="L76" s="625"/>
    </row>
    <row r="77" spans="1:12" ht="13.2" x14ac:dyDescent="0.25">
      <c r="A77" s="121"/>
      <c r="B77" s="737" t="s">
        <v>1792</v>
      </c>
      <c r="C77" s="737" t="s">
        <v>1793</v>
      </c>
      <c r="D77" s="737" t="s">
        <v>1794</v>
      </c>
      <c r="E77" s="737" t="s">
        <v>1795</v>
      </c>
      <c r="F77" s="737" t="s">
        <v>1796</v>
      </c>
      <c r="G77" s="737" t="s">
        <v>1797</v>
      </c>
      <c r="H77" s="737" t="s">
        <v>1798</v>
      </c>
      <c r="I77" s="737" t="s">
        <v>111</v>
      </c>
      <c r="J77" s="261"/>
      <c r="K77" s="625"/>
      <c r="L77" s="625"/>
    </row>
    <row r="78" spans="1:12" ht="13.2" x14ac:dyDescent="0.25">
      <c r="A78" s="121"/>
      <c r="B78" s="730" t="s">
        <v>1799</v>
      </c>
      <c r="C78" s="730"/>
      <c r="D78" s="730"/>
      <c r="E78" s="251"/>
      <c r="F78" s="251"/>
      <c r="G78" s="251"/>
      <c r="H78" s="251"/>
      <c r="I78" s="251"/>
      <c r="J78" s="261"/>
      <c r="K78" s="625"/>
      <c r="L78" s="625"/>
    </row>
    <row r="79" spans="1:12" ht="13.2" x14ac:dyDescent="0.25">
      <c r="A79" s="207">
        <f>A72+1</f>
        <v>142</v>
      </c>
      <c r="B79" s="738"/>
      <c r="C79" s="739"/>
      <c r="D79" s="740"/>
      <c r="E79" s="256"/>
      <c r="F79" s="256"/>
      <c r="G79" s="256"/>
      <c r="H79" s="256"/>
      <c r="I79" s="450"/>
      <c r="J79" s="450"/>
      <c r="K79" s="625"/>
      <c r="L79" s="625"/>
    </row>
    <row r="80" spans="1:12" ht="13.2" x14ac:dyDescent="0.25">
      <c r="A80" s="207">
        <f t="shared" si="2"/>
        <v>143</v>
      </c>
      <c r="B80" s="738"/>
      <c r="C80" s="739"/>
      <c r="D80" s="740"/>
      <c r="E80" s="256"/>
      <c r="F80" s="256"/>
      <c r="G80" s="256"/>
      <c r="H80" s="256"/>
      <c r="I80" s="450"/>
      <c r="J80" s="450"/>
      <c r="K80" s="625"/>
      <c r="L80" s="625"/>
    </row>
    <row r="81" spans="1:12" ht="13.2" x14ac:dyDescent="0.25">
      <c r="A81" s="207">
        <f t="shared" si="2"/>
        <v>144</v>
      </c>
      <c r="B81" s="738"/>
      <c r="C81" s="739"/>
      <c r="D81" s="740"/>
      <c r="E81" s="256"/>
      <c r="F81" s="256"/>
      <c r="G81" s="256"/>
      <c r="H81" s="256"/>
      <c r="I81" s="450"/>
      <c r="J81" s="450"/>
      <c r="K81" s="625"/>
      <c r="L81" s="625"/>
    </row>
    <row r="82" spans="1:12" ht="13.2" x14ac:dyDescent="0.25">
      <c r="A82" s="207">
        <f t="shared" si="2"/>
        <v>145</v>
      </c>
      <c r="B82" s="738"/>
      <c r="C82" s="739"/>
      <c r="D82" s="740"/>
      <c r="E82" s="256"/>
      <c r="F82" s="256"/>
      <c r="G82" s="256"/>
      <c r="H82" s="256"/>
      <c r="I82" s="450"/>
      <c r="J82" s="450"/>
      <c r="K82" s="625"/>
      <c r="L82" s="625"/>
    </row>
    <row r="83" spans="1:12" ht="13.2" x14ac:dyDescent="0.25">
      <c r="A83" s="207">
        <f t="shared" si="2"/>
        <v>146</v>
      </c>
      <c r="B83" s="738"/>
      <c r="C83" s="739"/>
      <c r="D83" s="740"/>
      <c r="E83" s="256"/>
      <c r="F83" s="256"/>
      <c r="G83" s="256"/>
      <c r="H83" s="256"/>
      <c r="I83" s="450"/>
      <c r="J83" s="450"/>
      <c r="K83" s="625"/>
      <c r="L83" s="625"/>
    </row>
    <row r="84" spans="1:12" ht="13.2" x14ac:dyDescent="0.25">
      <c r="A84" s="207">
        <f t="shared" si="2"/>
        <v>147</v>
      </c>
      <c r="B84" s="738"/>
      <c r="C84" s="739"/>
      <c r="D84" s="740"/>
      <c r="E84" s="256"/>
      <c r="F84" s="256"/>
      <c r="G84" s="256"/>
      <c r="H84" s="256"/>
      <c r="I84" s="450"/>
      <c r="J84" s="450"/>
      <c r="K84" s="625"/>
      <c r="L84" s="625"/>
    </row>
    <row r="85" spans="1:12" ht="13.2" x14ac:dyDescent="0.25">
      <c r="A85" s="207">
        <f t="shared" si="2"/>
        <v>148</v>
      </c>
      <c r="B85" s="738"/>
      <c r="C85" s="739"/>
      <c r="D85" s="740"/>
      <c r="E85" s="256"/>
      <c r="F85" s="256"/>
      <c r="G85" s="256"/>
      <c r="H85" s="256"/>
      <c r="I85" s="450"/>
      <c r="J85" s="450"/>
      <c r="K85" s="625"/>
      <c r="L85" s="625"/>
    </row>
    <row r="86" spans="1:12" ht="13.2" x14ac:dyDescent="0.25">
      <c r="A86" s="207">
        <f t="shared" si="2"/>
        <v>149</v>
      </c>
      <c r="B86" s="738"/>
      <c r="C86" s="739"/>
      <c r="D86" s="740"/>
      <c r="E86" s="256"/>
      <c r="F86" s="256"/>
      <c r="G86" s="256"/>
      <c r="H86" s="256"/>
      <c r="I86" s="450"/>
      <c r="J86" s="450"/>
      <c r="K86" s="625"/>
      <c r="L86" s="625"/>
    </row>
    <row r="87" spans="1:12" ht="13.2" x14ac:dyDescent="0.25">
      <c r="A87" s="207">
        <f t="shared" si="2"/>
        <v>150</v>
      </c>
      <c r="B87" s="738"/>
      <c r="C87" s="739"/>
      <c r="D87" s="740"/>
      <c r="E87" s="256"/>
      <c r="F87" s="256"/>
      <c r="G87" s="256"/>
      <c r="H87" s="256"/>
      <c r="I87" s="450"/>
      <c r="J87" s="450"/>
      <c r="K87" s="625"/>
      <c r="L87" s="625"/>
    </row>
    <row r="88" spans="1:12" ht="13.2" x14ac:dyDescent="0.25">
      <c r="A88" s="207">
        <f t="shared" si="2"/>
        <v>151</v>
      </c>
      <c r="B88" s="738"/>
      <c r="C88" s="739"/>
      <c r="D88" s="740"/>
      <c r="E88" s="256"/>
      <c r="F88" s="256"/>
      <c r="G88" s="256"/>
      <c r="H88" s="256"/>
      <c r="I88" s="450"/>
      <c r="J88" s="450"/>
      <c r="K88" s="625"/>
      <c r="L88" s="625"/>
    </row>
    <row r="89" spans="1:12" ht="13.2" x14ac:dyDescent="0.25">
      <c r="A89" s="207">
        <f t="shared" si="2"/>
        <v>152</v>
      </c>
      <c r="B89" s="738"/>
      <c r="C89" s="739"/>
      <c r="D89" s="740"/>
      <c r="E89" s="256"/>
      <c r="F89" s="256"/>
      <c r="G89" s="256"/>
      <c r="H89" s="256"/>
      <c r="I89" s="450"/>
      <c r="J89" s="450"/>
      <c r="K89" s="625"/>
      <c r="L89" s="625"/>
    </row>
    <row r="90" spans="1:12" ht="13.2" x14ac:dyDescent="0.25">
      <c r="A90" s="207">
        <f t="shared" si="2"/>
        <v>153</v>
      </c>
      <c r="B90" s="738"/>
      <c r="C90" s="739"/>
      <c r="D90" s="740"/>
      <c r="E90" s="256"/>
      <c r="F90" s="256"/>
      <c r="G90" s="256"/>
      <c r="H90" s="256"/>
      <c r="I90" s="450"/>
      <c r="J90" s="450"/>
      <c r="K90" s="625"/>
      <c r="L90" s="625"/>
    </row>
    <row r="91" spans="1:12" ht="13.2" x14ac:dyDescent="0.25">
      <c r="A91" s="207">
        <f t="shared" si="2"/>
        <v>154</v>
      </c>
      <c r="B91" s="738"/>
      <c r="C91" s="739"/>
      <c r="D91" s="740"/>
      <c r="E91" s="256"/>
      <c r="F91" s="256"/>
      <c r="G91" s="256"/>
      <c r="H91" s="256"/>
      <c r="I91" s="450"/>
      <c r="J91" s="450"/>
      <c r="K91" s="625"/>
      <c r="L91" s="625"/>
    </row>
    <row r="92" spans="1:12" ht="13.2" x14ac:dyDescent="0.25">
      <c r="A92" s="207">
        <f t="shared" si="2"/>
        <v>155</v>
      </c>
      <c r="B92" s="738"/>
      <c r="C92" s="739"/>
      <c r="D92" s="740"/>
      <c r="E92" s="256"/>
      <c r="F92" s="256"/>
      <c r="G92" s="256"/>
      <c r="H92" s="256"/>
      <c r="I92" s="450"/>
      <c r="J92" s="450"/>
      <c r="K92" s="625"/>
      <c r="L92" s="625"/>
    </row>
    <row r="93" spans="1:12" ht="13.2" x14ac:dyDescent="0.25">
      <c r="A93" s="207">
        <f t="shared" si="2"/>
        <v>156</v>
      </c>
      <c r="B93" s="738"/>
      <c r="C93" s="739"/>
      <c r="D93" s="740"/>
      <c r="E93" s="256"/>
      <c r="F93" s="256"/>
      <c r="G93" s="256"/>
      <c r="H93" s="256"/>
      <c r="I93" s="450"/>
      <c r="J93" s="450"/>
      <c r="K93" s="625"/>
      <c r="L93" s="625"/>
    </row>
    <row r="94" spans="1:12" ht="13.2" x14ac:dyDescent="0.25">
      <c r="A94" s="207">
        <f t="shared" si="2"/>
        <v>157</v>
      </c>
      <c r="B94" s="738"/>
      <c r="C94" s="739"/>
      <c r="D94" s="740"/>
      <c r="E94" s="256"/>
      <c r="F94" s="256"/>
      <c r="G94" s="256"/>
      <c r="H94" s="256"/>
      <c r="I94" s="896"/>
      <c r="J94" s="896"/>
      <c r="K94" s="625"/>
      <c r="L94" s="625"/>
    </row>
    <row r="95" spans="1:12" ht="13.2" x14ac:dyDescent="0.25">
      <c r="A95" s="207">
        <f t="shared" si="2"/>
        <v>158</v>
      </c>
      <c r="B95" s="744"/>
      <c r="C95" s="739"/>
      <c r="D95" s="740"/>
      <c r="E95" s="256"/>
      <c r="F95" s="256"/>
      <c r="G95" s="256"/>
      <c r="H95" s="256"/>
      <c r="I95" s="450"/>
      <c r="J95" s="450"/>
      <c r="K95" s="625"/>
      <c r="L95" s="625"/>
    </row>
    <row r="96" spans="1:12" ht="13.2" x14ac:dyDescent="0.25">
      <c r="A96" s="207">
        <f t="shared" ref="A96:A132" si="3">A95+1</f>
        <v>159</v>
      </c>
      <c r="B96" s="738"/>
      <c r="C96" s="739"/>
      <c r="D96" s="740"/>
      <c r="E96" s="256"/>
      <c r="F96" s="256"/>
      <c r="G96" s="256"/>
      <c r="H96" s="256"/>
      <c r="I96" s="450"/>
      <c r="J96" s="450"/>
      <c r="K96" s="625"/>
      <c r="L96" s="625"/>
    </row>
    <row r="97" spans="1:12" ht="13.2" x14ac:dyDescent="0.25">
      <c r="A97" s="207">
        <f t="shared" si="3"/>
        <v>160</v>
      </c>
      <c r="B97" s="738"/>
      <c r="C97" s="739"/>
      <c r="D97" s="740"/>
      <c r="E97" s="256"/>
      <c r="F97" s="256"/>
      <c r="G97" s="256"/>
      <c r="H97" s="256"/>
      <c r="I97" s="450"/>
      <c r="J97" s="450"/>
      <c r="K97" s="625"/>
      <c r="L97" s="625"/>
    </row>
    <row r="98" spans="1:12" ht="13.2" x14ac:dyDescent="0.25">
      <c r="A98" s="207">
        <f t="shared" si="3"/>
        <v>161</v>
      </c>
      <c r="B98" s="738"/>
      <c r="C98" s="739"/>
      <c r="D98" s="740"/>
      <c r="E98" s="256"/>
      <c r="F98" s="256"/>
      <c r="G98" s="256"/>
      <c r="H98" s="256"/>
      <c r="I98" s="450"/>
      <c r="J98" s="450"/>
      <c r="K98" s="625"/>
      <c r="L98" s="625"/>
    </row>
    <row r="99" spans="1:12" ht="13.2" x14ac:dyDescent="0.25">
      <c r="A99" s="207">
        <f t="shared" si="3"/>
        <v>162</v>
      </c>
      <c r="B99" s="738"/>
      <c r="C99" s="739"/>
      <c r="D99" s="740"/>
      <c r="E99" s="256"/>
      <c r="F99" s="256"/>
      <c r="G99" s="256"/>
      <c r="H99" s="256"/>
      <c r="I99" s="450"/>
      <c r="J99" s="450"/>
      <c r="K99" s="625"/>
      <c r="L99" s="625"/>
    </row>
    <row r="100" spans="1:12" ht="13.2" x14ac:dyDescent="0.25">
      <c r="A100" s="207">
        <f t="shared" si="3"/>
        <v>163</v>
      </c>
      <c r="B100" s="738"/>
      <c r="C100" s="739"/>
      <c r="D100" s="740"/>
      <c r="E100" s="256"/>
      <c r="F100" s="256"/>
      <c r="G100" s="256"/>
      <c r="H100" s="256"/>
      <c r="I100" s="450"/>
      <c r="J100" s="450"/>
      <c r="K100" s="625"/>
      <c r="L100" s="625"/>
    </row>
    <row r="101" spans="1:12" ht="13.2" x14ac:dyDescent="0.25">
      <c r="A101" s="207">
        <f t="shared" si="3"/>
        <v>164</v>
      </c>
      <c r="B101" s="738"/>
      <c r="C101" s="739"/>
      <c r="D101" s="740"/>
      <c r="E101" s="256"/>
      <c r="F101" s="256"/>
      <c r="G101" s="256"/>
      <c r="H101" s="256"/>
      <c r="I101" s="450"/>
      <c r="J101" s="450"/>
      <c r="K101" s="625"/>
      <c r="L101" s="625"/>
    </row>
    <row r="102" spans="1:12" ht="13.2" x14ac:dyDescent="0.25">
      <c r="A102" s="207">
        <f t="shared" si="3"/>
        <v>165</v>
      </c>
      <c r="B102" s="738"/>
      <c r="C102" s="739"/>
      <c r="D102" s="740"/>
      <c r="E102" s="256"/>
      <c r="F102" s="256"/>
      <c r="G102" s="256"/>
      <c r="H102" s="256"/>
      <c r="I102" s="450"/>
      <c r="J102" s="450"/>
      <c r="K102" s="625"/>
      <c r="L102" s="625"/>
    </row>
    <row r="103" spans="1:12" ht="13.2" x14ac:dyDescent="0.25">
      <c r="A103" s="207">
        <f t="shared" si="3"/>
        <v>166</v>
      </c>
      <c r="B103" s="738"/>
      <c r="C103" s="739"/>
      <c r="D103" s="740"/>
      <c r="E103" s="256"/>
      <c r="F103" s="256"/>
      <c r="G103" s="256"/>
      <c r="H103" s="256"/>
      <c r="I103" s="450"/>
      <c r="J103" s="450"/>
      <c r="K103" s="625"/>
      <c r="L103" s="625"/>
    </row>
    <row r="104" spans="1:12" ht="13.2" x14ac:dyDescent="0.25">
      <c r="A104" s="207">
        <f t="shared" si="3"/>
        <v>167</v>
      </c>
      <c r="B104" s="738"/>
      <c r="C104" s="739"/>
      <c r="D104" s="740"/>
      <c r="E104" s="256"/>
      <c r="F104" s="256"/>
      <c r="G104" s="256"/>
      <c r="H104" s="256"/>
      <c r="I104" s="450"/>
      <c r="J104" s="450"/>
      <c r="K104" s="625"/>
      <c r="L104" s="625"/>
    </row>
    <row r="105" spans="1:12" ht="13.2" x14ac:dyDescent="0.25">
      <c r="A105" s="207">
        <f t="shared" si="3"/>
        <v>168</v>
      </c>
      <c r="B105" s="738"/>
      <c r="C105" s="739"/>
      <c r="D105" s="740"/>
      <c r="E105" s="256"/>
      <c r="F105" s="256"/>
      <c r="G105" s="256"/>
      <c r="H105" s="256"/>
      <c r="I105" s="450"/>
      <c r="J105" s="450"/>
      <c r="K105" s="625"/>
      <c r="L105" s="625"/>
    </row>
    <row r="106" spans="1:12" ht="13.2" x14ac:dyDescent="0.25">
      <c r="A106" s="207">
        <f t="shared" si="3"/>
        <v>169</v>
      </c>
      <c r="B106" s="738"/>
      <c r="C106" s="739"/>
      <c r="D106" s="740"/>
      <c r="E106" s="256"/>
      <c r="F106" s="256"/>
      <c r="G106" s="256"/>
      <c r="H106" s="256"/>
      <c r="I106" s="450"/>
      <c r="J106" s="450"/>
      <c r="K106" s="625"/>
      <c r="L106" s="625"/>
    </row>
    <row r="107" spans="1:12" ht="13.2" x14ac:dyDescent="0.25">
      <c r="A107" s="207">
        <f t="shared" si="3"/>
        <v>170</v>
      </c>
      <c r="B107" s="738"/>
      <c r="C107" s="739"/>
      <c r="D107" s="740"/>
      <c r="E107" s="256"/>
      <c r="F107" s="256"/>
      <c r="G107" s="256"/>
      <c r="H107" s="256"/>
      <c r="I107" s="450"/>
      <c r="J107" s="450"/>
      <c r="K107" s="625"/>
      <c r="L107" s="625"/>
    </row>
    <row r="108" spans="1:12" ht="13.2" x14ac:dyDescent="0.25">
      <c r="A108" s="207">
        <f t="shared" si="3"/>
        <v>171</v>
      </c>
      <c r="B108" s="738"/>
      <c r="C108" s="739"/>
      <c r="D108" s="740"/>
      <c r="E108" s="256"/>
      <c r="F108" s="256"/>
      <c r="G108" s="256"/>
      <c r="H108" s="256"/>
      <c r="I108" s="450"/>
      <c r="J108" s="450"/>
      <c r="K108" s="625"/>
      <c r="L108" s="625"/>
    </row>
    <row r="109" spans="1:12" ht="13.2" x14ac:dyDescent="0.25">
      <c r="A109" s="207">
        <f t="shared" si="3"/>
        <v>172</v>
      </c>
      <c r="B109" s="738"/>
      <c r="C109" s="739"/>
      <c r="D109" s="740"/>
      <c r="E109" s="256"/>
      <c r="F109" s="256"/>
      <c r="G109" s="256"/>
      <c r="H109" s="256"/>
      <c r="I109" s="450"/>
      <c r="J109" s="450"/>
      <c r="K109" s="625"/>
      <c r="L109" s="625"/>
    </row>
    <row r="110" spans="1:12" ht="13.2" x14ac:dyDescent="0.25">
      <c r="A110" s="207">
        <f t="shared" si="3"/>
        <v>173</v>
      </c>
      <c r="B110" s="738"/>
      <c r="C110" s="739"/>
      <c r="D110" s="740"/>
      <c r="E110" s="256"/>
      <c r="F110" s="256"/>
      <c r="G110" s="256"/>
      <c r="H110" s="256"/>
      <c r="I110" s="450"/>
      <c r="J110" s="450"/>
      <c r="K110" s="625"/>
      <c r="L110" s="625"/>
    </row>
    <row r="111" spans="1:12" ht="13.2" x14ac:dyDescent="0.25">
      <c r="A111" s="207">
        <f t="shared" si="3"/>
        <v>174</v>
      </c>
      <c r="B111" s="738"/>
      <c r="C111" s="739"/>
      <c r="D111" s="740"/>
      <c r="E111" s="256"/>
      <c r="F111" s="256"/>
      <c r="G111" s="256"/>
      <c r="H111" s="256"/>
      <c r="I111" s="450"/>
      <c r="J111" s="450"/>
      <c r="K111" s="625"/>
      <c r="L111" s="625"/>
    </row>
    <row r="112" spans="1:12" ht="13.2" x14ac:dyDescent="0.25">
      <c r="A112" s="207">
        <f t="shared" si="3"/>
        <v>175</v>
      </c>
      <c r="B112" s="745" t="s">
        <v>565</v>
      </c>
      <c r="C112" s="739"/>
      <c r="D112" s="740"/>
      <c r="E112" s="256"/>
      <c r="F112" s="256"/>
      <c r="G112" s="256"/>
      <c r="H112" s="256"/>
      <c r="I112" s="450"/>
      <c r="J112" s="450"/>
      <c r="K112" s="625"/>
      <c r="L112" s="625"/>
    </row>
    <row r="113" spans="1:12" ht="13.2" x14ac:dyDescent="0.25">
      <c r="A113" s="689"/>
      <c r="B113" s="746"/>
      <c r="C113" s="730"/>
      <c r="D113" s="747"/>
      <c r="E113" s="253"/>
      <c r="F113" s="253"/>
      <c r="G113" s="253"/>
      <c r="H113" s="253"/>
      <c r="I113" s="398" t="s">
        <v>198</v>
      </c>
      <c r="J113" s="251"/>
      <c r="K113" s="625"/>
      <c r="L113" s="625"/>
    </row>
    <row r="114" spans="1:12" ht="13.2" x14ac:dyDescent="0.25">
      <c r="A114" s="121">
        <v>250</v>
      </c>
      <c r="B114" s="730"/>
      <c r="C114" s="730" t="s">
        <v>1801</v>
      </c>
      <c r="D114" s="748">
        <f>SUM(D31:D72)+SUM(D79:D111)</f>
        <v>0</v>
      </c>
      <c r="E114" s="748">
        <f>SUM(E31:E72)+SUM(E79:E111)</f>
        <v>0</v>
      </c>
      <c r="F114" s="748">
        <f>SUM(F31:F72)+SUM(F79:F111)</f>
        <v>0</v>
      </c>
      <c r="G114" s="748">
        <f>SUM(G31:G72)+SUM(G79:G111)</f>
        <v>0</v>
      </c>
      <c r="H114" s="748">
        <f>SUM(H31:H72)+SUM(H79:H111)</f>
        <v>0</v>
      </c>
      <c r="I114" s="270" t="str">
        <f>"Sum of Above Lines beginning on Line "&amp;A31&amp;""</f>
        <v>Sum of Above Lines beginning on Line 100</v>
      </c>
      <c r="J114" s="251"/>
      <c r="K114" s="625"/>
      <c r="L114" s="625"/>
    </row>
    <row r="115" spans="1:12" ht="13.2" x14ac:dyDescent="0.25">
      <c r="A115" s="689"/>
      <c r="B115" s="730"/>
      <c r="C115" s="730"/>
      <c r="D115" s="749"/>
      <c r="E115" s="253"/>
      <c r="F115" s="253"/>
      <c r="G115" s="253"/>
      <c r="H115" s="253"/>
      <c r="I115" s="251"/>
      <c r="J115" s="251"/>
    </row>
    <row r="116" spans="1:12" ht="13.2" x14ac:dyDescent="0.25">
      <c r="A116" s="689"/>
      <c r="B116" s="730" t="s">
        <v>1802</v>
      </c>
      <c r="C116" s="730"/>
      <c r="D116" s="749"/>
      <c r="E116" s="253"/>
      <c r="F116" s="253"/>
      <c r="G116" s="253"/>
      <c r="H116" s="253"/>
      <c r="I116" s="1179" t="s">
        <v>2300</v>
      </c>
      <c r="J116" s="251"/>
    </row>
    <row r="117" spans="1:12" x14ac:dyDescent="0.3">
      <c r="A117" s="689"/>
      <c r="C117" s="92" t="s">
        <v>394</v>
      </c>
      <c r="D117" s="92" t="s">
        <v>378</v>
      </c>
      <c r="E117" s="92" t="s">
        <v>379</v>
      </c>
      <c r="F117" s="92" t="s">
        <v>380</v>
      </c>
      <c r="G117" s="92" t="s">
        <v>381</v>
      </c>
      <c r="H117" s="92" t="s">
        <v>382</v>
      </c>
      <c r="I117" s="92" t="s">
        <v>383</v>
      </c>
      <c r="J117" s="251"/>
    </row>
    <row r="118" spans="1:12" ht="13.2" x14ac:dyDescent="0.25">
      <c r="A118" s="207">
        <v>300</v>
      </c>
      <c r="B118" s="738"/>
      <c r="C118" s="739"/>
      <c r="D118" s="740"/>
      <c r="E118" s="894"/>
      <c r="F118" s="894"/>
      <c r="G118" s="894"/>
      <c r="H118" s="894"/>
      <c r="I118" s="895"/>
      <c r="J118" s="895"/>
    </row>
    <row r="119" spans="1:12" ht="13.2" x14ac:dyDescent="0.25">
      <c r="A119" s="207">
        <f t="shared" si="3"/>
        <v>301</v>
      </c>
      <c r="B119" s="738"/>
      <c r="C119" s="739"/>
      <c r="D119" s="740"/>
      <c r="E119" s="894"/>
      <c r="F119" s="894"/>
      <c r="G119" s="894"/>
      <c r="H119" s="894"/>
      <c r="I119" s="895"/>
      <c r="J119" s="895"/>
    </row>
    <row r="120" spans="1:12" ht="13.2" x14ac:dyDescent="0.25">
      <c r="A120" s="207">
        <f t="shared" si="3"/>
        <v>302</v>
      </c>
      <c r="B120" s="738"/>
      <c r="C120" s="739"/>
      <c r="D120" s="740"/>
      <c r="E120" s="894"/>
      <c r="F120" s="894"/>
      <c r="G120" s="894"/>
      <c r="H120" s="894"/>
      <c r="I120" s="895"/>
      <c r="J120" s="895"/>
    </row>
    <row r="121" spans="1:12" ht="13.2" x14ac:dyDescent="0.25">
      <c r="A121" s="207">
        <f t="shared" si="3"/>
        <v>303</v>
      </c>
      <c r="B121" s="738"/>
      <c r="C121" s="739"/>
      <c r="D121" s="740"/>
      <c r="E121" s="894"/>
      <c r="F121" s="894"/>
      <c r="G121" s="894"/>
      <c r="H121" s="894"/>
      <c r="I121" s="895"/>
      <c r="J121" s="895"/>
    </row>
    <row r="122" spans="1:12" ht="13.2" x14ac:dyDescent="0.25">
      <c r="A122" s="207">
        <f t="shared" si="3"/>
        <v>304</v>
      </c>
      <c r="B122" s="745"/>
      <c r="C122" s="739"/>
      <c r="D122" s="740"/>
      <c r="E122" s="894"/>
      <c r="F122" s="894"/>
      <c r="G122" s="894"/>
      <c r="H122" s="894"/>
      <c r="I122" s="895"/>
      <c r="J122" s="895"/>
    </row>
    <row r="123" spans="1:12" ht="13.2" x14ac:dyDescent="0.25">
      <c r="A123" s="207">
        <f t="shared" si="3"/>
        <v>305</v>
      </c>
      <c r="B123" s="738"/>
      <c r="C123" s="739"/>
      <c r="D123" s="740"/>
      <c r="E123" s="256"/>
      <c r="F123" s="256"/>
      <c r="G123" s="256"/>
      <c r="H123" s="256"/>
      <c r="I123" s="450"/>
      <c r="J123" s="450"/>
    </row>
    <row r="124" spans="1:12" ht="13.2" x14ac:dyDescent="0.25">
      <c r="A124" s="207">
        <f t="shared" si="3"/>
        <v>306</v>
      </c>
      <c r="B124" s="738"/>
      <c r="C124" s="739"/>
      <c r="D124" s="740"/>
      <c r="E124" s="256"/>
      <c r="F124" s="256"/>
      <c r="G124" s="256"/>
      <c r="H124" s="256"/>
      <c r="I124" s="450"/>
      <c r="J124" s="450"/>
    </row>
    <row r="125" spans="1:12" ht="13.2" x14ac:dyDescent="0.25">
      <c r="A125" s="207">
        <f t="shared" si="3"/>
        <v>307</v>
      </c>
      <c r="B125" s="738"/>
      <c r="C125" s="739"/>
      <c r="D125" s="740"/>
      <c r="E125" s="256"/>
      <c r="F125" s="256"/>
      <c r="G125" s="256"/>
      <c r="H125" s="256"/>
      <c r="I125" s="450"/>
      <c r="J125" s="450"/>
    </row>
    <row r="126" spans="1:12" ht="13.2" x14ac:dyDescent="0.25">
      <c r="A126" s="207">
        <f t="shared" si="3"/>
        <v>308</v>
      </c>
      <c r="B126" s="738"/>
      <c r="C126" s="739"/>
      <c r="D126" s="740"/>
      <c r="E126" s="256"/>
      <c r="F126" s="256"/>
      <c r="G126" s="256"/>
      <c r="H126" s="256"/>
      <c r="I126" s="450"/>
      <c r="J126" s="450"/>
    </row>
    <row r="127" spans="1:12" ht="13.2" x14ac:dyDescent="0.25">
      <c r="A127" s="207">
        <f t="shared" si="3"/>
        <v>309</v>
      </c>
      <c r="B127" s="738"/>
      <c r="C127" s="739"/>
      <c r="D127" s="740"/>
      <c r="E127" s="256"/>
      <c r="F127" s="256"/>
      <c r="G127" s="256"/>
      <c r="H127" s="256"/>
      <c r="I127" s="450"/>
      <c r="J127" s="450"/>
    </row>
    <row r="128" spans="1:12" ht="13.2" x14ac:dyDescent="0.25">
      <c r="A128" s="207">
        <f t="shared" si="3"/>
        <v>310</v>
      </c>
      <c r="B128" s="738"/>
      <c r="C128" s="739"/>
      <c r="D128" s="740"/>
      <c r="E128" s="256"/>
      <c r="F128" s="256"/>
      <c r="G128" s="256"/>
      <c r="H128" s="256"/>
      <c r="I128" s="450"/>
      <c r="J128" s="450"/>
    </row>
    <row r="129" spans="1:10" ht="13.2" x14ac:dyDescent="0.25">
      <c r="A129" s="207">
        <f t="shared" si="3"/>
        <v>311</v>
      </c>
      <c r="B129" s="738"/>
      <c r="C129" s="739"/>
      <c r="D129" s="740"/>
      <c r="E129" s="256"/>
      <c r="F129" s="256"/>
      <c r="G129" s="256"/>
      <c r="H129" s="256"/>
      <c r="I129" s="450"/>
      <c r="J129" s="450"/>
    </row>
    <row r="130" spans="1:10" ht="13.2" x14ac:dyDescent="0.25">
      <c r="A130" s="207">
        <f t="shared" si="3"/>
        <v>312</v>
      </c>
      <c r="B130" s="738"/>
      <c r="C130" s="739"/>
      <c r="D130" s="740"/>
      <c r="E130" s="256"/>
      <c r="F130" s="256"/>
      <c r="G130" s="256"/>
      <c r="H130" s="256"/>
      <c r="I130" s="450"/>
      <c r="J130" s="450"/>
    </row>
    <row r="131" spans="1:10" ht="13.2" x14ac:dyDescent="0.25">
      <c r="A131" s="207">
        <f t="shared" si="3"/>
        <v>313</v>
      </c>
      <c r="B131" s="738"/>
      <c r="C131" s="739"/>
      <c r="D131" s="740"/>
      <c r="E131" s="256"/>
      <c r="F131" s="256"/>
      <c r="G131" s="256"/>
      <c r="H131" s="256"/>
      <c r="I131" s="450"/>
      <c r="J131" s="450"/>
    </row>
    <row r="132" spans="1:10" ht="13.2" x14ac:dyDescent="0.25">
      <c r="A132" s="207">
        <f t="shared" si="3"/>
        <v>314</v>
      </c>
      <c r="B132" s="745" t="s">
        <v>565</v>
      </c>
      <c r="C132" s="739"/>
      <c r="D132" s="740"/>
      <c r="E132" s="256"/>
      <c r="F132" s="256"/>
      <c r="G132" s="256"/>
      <c r="H132" s="256"/>
      <c r="I132" s="450"/>
      <c r="J132" s="450"/>
    </row>
    <row r="133" spans="1:10" ht="13.2" x14ac:dyDescent="0.25">
      <c r="A133" s="689"/>
      <c r="B133" s="746"/>
      <c r="C133" s="742"/>
      <c r="D133" s="743"/>
      <c r="E133" s="255"/>
      <c r="F133" s="255"/>
      <c r="G133" s="255"/>
      <c r="H133" s="255"/>
      <c r="I133" s="261"/>
      <c r="J133" s="261"/>
    </row>
    <row r="134" spans="1:10" ht="13.2" x14ac:dyDescent="0.25">
      <c r="A134" s="689"/>
      <c r="B134" s="746"/>
      <c r="C134" s="92" t="s">
        <v>394</v>
      </c>
      <c r="D134" s="92" t="s">
        <v>378</v>
      </c>
      <c r="E134" s="92" t="s">
        <v>379</v>
      </c>
      <c r="F134" s="92" t="s">
        <v>380</v>
      </c>
      <c r="G134" s="92" t="s">
        <v>381</v>
      </c>
      <c r="H134" s="92" t="s">
        <v>382</v>
      </c>
      <c r="I134" s="398" t="s">
        <v>198</v>
      </c>
      <c r="J134" s="251"/>
    </row>
    <row r="135" spans="1:10" ht="13.2" x14ac:dyDescent="0.25">
      <c r="A135" s="653">
        <v>350</v>
      </c>
      <c r="B135" s="730"/>
      <c r="C135" s="730" t="s">
        <v>1803</v>
      </c>
      <c r="D135" s="748">
        <f>SUM(D118:D131)</f>
        <v>0</v>
      </c>
      <c r="E135" s="748">
        <f>SUM(E118:E131)</f>
        <v>0</v>
      </c>
      <c r="F135" s="748">
        <f>SUM(F118:F131)</f>
        <v>0</v>
      </c>
      <c r="G135" s="748">
        <f>SUM(G118:G131)</f>
        <v>0</v>
      </c>
      <c r="H135" s="748">
        <f>SUM(H118:H131)</f>
        <v>0</v>
      </c>
      <c r="I135" s="270" t="str">
        <f>"Sum of Above Lines beginning on Line "&amp;A118&amp;""</f>
        <v>Sum of Above Lines beginning on Line 300</v>
      </c>
      <c r="J135" s="251"/>
    </row>
    <row r="136" spans="1:10" ht="13.2" x14ac:dyDescent="0.25">
      <c r="A136" s="653"/>
      <c r="B136" s="730"/>
      <c r="C136" s="730"/>
      <c r="D136" s="748"/>
      <c r="E136" s="748"/>
      <c r="F136" s="748"/>
      <c r="G136" s="748"/>
      <c r="H136" s="748"/>
      <c r="I136" s="270"/>
      <c r="J136" s="251"/>
    </row>
    <row r="137" spans="1:10" ht="13.2" x14ac:dyDescent="0.25">
      <c r="A137" s="653">
        <f t="shared" ref="A137" si="4">A135+1</f>
        <v>351</v>
      </c>
      <c r="B137" s="730"/>
      <c r="C137" s="730" t="s">
        <v>1804</v>
      </c>
      <c r="D137" s="748">
        <f>+D135+D114</f>
        <v>0</v>
      </c>
      <c r="E137" s="748">
        <f>+E135+E114</f>
        <v>0</v>
      </c>
      <c r="F137" s="748">
        <f>+F135+F114</f>
        <v>0</v>
      </c>
      <c r="G137" s="748">
        <f>+G135+G114</f>
        <v>0</v>
      </c>
      <c r="H137" s="748">
        <f>+H135+H114</f>
        <v>0</v>
      </c>
      <c r="I137" s="631" t="str">
        <f>"Line "&amp;A114&amp;" + Line "&amp;A135&amp;""</f>
        <v>Line 250 + Line 350</v>
      </c>
      <c r="J137" s="251"/>
    </row>
    <row r="138" spans="1:10" ht="13.2" x14ac:dyDescent="0.25">
      <c r="A138" s="653">
        <f>+A137+1</f>
        <v>352</v>
      </c>
      <c r="B138" s="730"/>
      <c r="C138" s="730" t="s">
        <v>1855</v>
      </c>
      <c r="D138" s="748"/>
      <c r="E138" s="748"/>
      <c r="F138" s="748"/>
      <c r="G138" s="750" t="e">
        <f>'27-Allocators'!$G$28</f>
        <v>#DIV/0!</v>
      </c>
      <c r="H138" s="750" t="e">
        <f>'27-Allocators'!$G$15</f>
        <v>#DIV/0!</v>
      </c>
      <c r="I138" s="907" t="str">
        <f>"27-Allocators Lines "&amp;'27-Allocators'!A28&amp;" and "&amp;'27-Allocators'!A15&amp;" respectively."</f>
        <v>27-Allocators Lines 22 and 9 respectively.</v>
      </c>
      <c r="J138" s="251"/>
    </row>
    <row r="139" spans="1:10" ht="13.2" x14ac:dyDescent="0.25">
      <c r="A139" s="653">
        <f>+A138+1</f>
        <v>353</v>
      </c>
      <c r="B139" s="730"/>
      <c r="C139" s="730" t="s">
        <v>1856</v>
      </c>
      <c r="D139" s="748" t="e">
        <f>SUM(F139:H139)</f>
        <v>#DIV/0!</v>
      </c>
      <c r="E139" s="748"/>
      <c r="F139" s="751">
        <f>+F137</f>
        <v>0</v>
      </c>
      <c r="G139" s="751" t="e">
        <f>+G137*G138</f>
        <v>#DIV/0!</v>
      </c>
      <c r="H139" s="751" t="e">
        <f>+H137*H138</f>
        <v>#DIV/0!</v>
      </c>
      <c r="I139" s="631" t="str">
        <f>"Line "&amp;A137&amp;" * Line "&amp;A138&amp;" for Cols 5 and 6.  Col. 4 100% ISO."</f>
        <v>Line 351 * Line 352 for Cols 5 and 6.  Col. 4 100% ISO.</v>
      </c>
      <c r="J139" s="251"/>
    </row>
    <row r="140" spans="1:10" ht="13.2" x14ac:dyDescent="0.25">
      <c r="A140" s="653"/>
      <c r="B140" s="730"/>
      <c r="C140" s="752" t="s">
        <v>1858</v>
      </c>
      <c r="D140" s="748"/>
      <c r="E140" s="748"/>
      <c r="F140" s="748"/>
      <c r="G140" s="748"/>
      <c r="H140" s="748"/>
      <c r="I140" s="631"/>
      <c r="J140" s="251"/>
    </row>
    <row r="141" spans="1:10" ht="13.2" x14ac:dyDescent="0.25">
      <c r="A141" s="653"/>
      <c r="B141" s="730"/>
      <c r="C141" s="730"/>
      <c r="D141" s="748"/>
      <c r="E141" s="748"/>
      <c r="F141" s="748"/>
      <c r="G141" s="748"/>
      <c r="H141" s="748"/>
      <c r="I141" s="631"/>
      <c r="J141" s="251"/>
    </row>
    <row r="142" spans="1:10" x14ac:dyDescent="0.3">
      <c r="A142" s="653">
        <f>+A139+1</f>
        <v>354</v>
      </c>
      <c r="B142" s="730"/>
      <c r="C142" s="730" t="s">
        <v>1805</v>
      </c>
      <c r="D142" s="753"/>
      <c r="E142" s="754" t="str">
        <f>"Must match amount on Line "&amp;A137&amp;", Col. 2"</f>
        <v>Must match amount on Line 351, Col. 2</v>
      </c>
      <c r="G142" s="748"/>
      <c r="H142" s="748"/>
      <c r="I142" s="631" t="s">
        <v>1365</v>
      </c>
      <c r="J142" s="251"/>
    </row>
    <row r="143" spans="1:10" ht="13.2" x14ac:dyDescent="0.25">
      <c r="A143" s="689"/>
      <c r="B143" s="730"/>
      <c r="C143" s="730"/>
      <c r="D143" s="755"/>
      <c r="E143" s="755"/>
      <c r="F143" s="755"/>
      <c r="G143" s="755"/>
      <c r="H143" s="755"/>
      <c r="I143" s="632"/>
      <c r="J143" s="251"/>
    </row>
    <row r="144" spans="1:10" ht="13.2" x14ac:dyDescent="0.25">
      <c r="A144" s="551"/>
      <c r="B144" s="729" t="s">
        <v>1806</v>
      </c>
      <c r="C144" s="756"/>
      <c r="D144" s="755"/>
      <c r="E144" s="251"/>
      <c r="F144" s="251"/>
      <c r="G144" s="251"/>
      <c r="H144" s="251"/>
      <c r="I144" s="251"/>
      <c r="J144" s="251"/>
    </row>
    <row r="145" spans="1:10" x14ac:dyDescent="0.3">
      <c r="A145" s="551"/>
      <c r="C145" s="92" t="s">
        <v>394</v>
      </c>
      <c r="D145" s="92" t="s">
        <v>378</v>
      </c>
      <c r="E145" s="92" t="s">
        <v>379</v>
      </c>
      <c r="F145" s="92" t="s">
        <v>380</v>
      </c>
      <c r="G145" s="92" t="s">
        <v>381</v>
      </c>
      <c r="H145" s="92" t="s">
        <v>382</v>
      </c>
      <c r="I145" s="92" t="s">
        <v>383</v>
      </c>
      <c r="J145" s="251"/>
    </row>
    <row r="146" spans="1:10" ht="13.2" x14ac:dyDescent="0.25">
      <c r="A146" s="551"/>
      <c r="B146" s="733"/>
      <c r="C146" s="733"/>
      <c r="D146" s="733" t="s">
        <v>1790</v>
      </c>
      <c r="E146" s="733" t="s">
        <v>1791</v>
      </c>
      <c r="F146" s="733"/>
      <c r="G146" s="733"/>
      <c r="H146" s="733" t="s">
        <v>1427</v>
      </c>
      <c r="I146" s="1179" t="s">
        <v>2300</v>
      </c>
      <c r="J146" s="251"/>
    </row>
    <row r="147" spans="1:10" ht="13.2" x14ac:dyDescent="0.25">
      <c r="A147" s="551"/>
      <c r="B147" s="737" t="s">
        <v>1807</v>
      </c>
      <c r="C147" s="737" t="s">
        <v>1793</v>
      </c>
      <c r="D147" s="737" t="s">
        <v>1794</v>
      </c>
      <c r="E147" s="737" t="s">
        <v>1795</v>
      </c>
      <c r="F147" s="737" t="s">
        <v>1796</v>
      </c>
      <c r="G147" s="737" t="s">
        <v>1797</v>
      </c>
      <c r="H147" s="737" t="s">
        <v>1784</v>
      </c>
      <c r="I147" s="737" t="s">
        <v>111</v>
      </c>
      <c r="J147" s="251"/>
    </row>
    <row r="148" spans="1:10" ht="13.2" x14ac:dyDescent="0.25">
      <c r="A148" s="207">
        <v>400</v>
      </c>
      <c r="B148" s="897"/>
      <c r="C148" s="898"/>
      <c r="D148" s="899"/>
      <c r="E148" s="894"/>
      <c r="F148" s="894"/>
      <c r="G148" s="894"/>
      <c r="H148" s="894"/>
      <c r="I148" s="895"/>
      <c r="J148" s="895"/>
    </row>
    <row r="149" spans="1:10" ht="13.2" x14ac:dyDescent="0.25">
      <c r="A149" s="207">
        <f t="shared" ref="A149:A168" si="5">A148+1</f>
        <v>401</v>
      </c>
      <c r="B149" s="897"/>
      <c r="C149" s="898"/>
      <c r="D149" s="899"/>
      <c r="E149" s="894"/>
      <c r="F149" s="894"/>
      <c r="G149" s="894"/>
      <c r="H149" s="894"/>
      <c r="I149" s="895"/>
      <c r="J149" s="895"/>
    </row>
    <row r="150" spans="1:10" ht="13.2" x14ac:dyDescent="0.25">
      <c r="A150" s="207">
        <f t="shared" si="5"/>
        <v>402</v>
      </c>
      <c r="B150" s="897"/>
      <c r="C150" s="900"/>
      <c r="D150" s="899"/>
      <c r="E150" s="894"/>
      <c r="F150" s="894"/>
      <c r="G150" s="894"/>
      <c r="H150" s="894"/>
      <c r="I150" s="895"/>
      <c r="J150" s="895"/>
    </row>
    <row r="151" spans="1:10" ht="13.2" x14ac:dyDescent="0.25">
      <c r="A151" s="207">
        <f t="shared" si="5"/>
        <v>403</v>
      </c>
      <c r="B151" s="897"/>
      <c r="C151" s="898"/>
      <c r="D151" s="899"/>
      <c r="E151" s="894"/>
      <c r="F151" s="894"/>
      <c r="G151" s="894"/>
      <c r="H151" s="894"/>
      <c r="I151" s="895"/>
      <c r="J151" s="895"/>
    </row>
    <row r="152" spans="1:10" ht="13.2" x14ac:dyDescent="0.25">
      <c r="A152" s="207">
        <f t="shared" si="5"/>
        <v>404</v>
      </c>
      <c r="B152" s="897"/>
      <c r="C152" s="898"/>
      <c r="D152" s="899"/>
      <c r="E152" s="894"/>
      <c r="F152" s="894"/>
      <c r="G152" s="894"/>
      <c r="H152" s="894"/>
      <c r="I152" s="895"/>
      <c r="J152" s="895"/>
    </row>
    <row r="153" spans="1:10" ht="13.2" x14ac:dyDescent="0.25">
      <c r="A153" s="207">
        <f t="shared" si="5"/>
        <v>405</v>
      </c>
      <c r="B153" s="897"/>
      <c r="C153" s="898"/>
      <c r="D153" s="899"/>
      <c r="E153" s="894"/>
      <c r="F153" s="894"/>
      <c r="G153" s="894"/>
      <c r="H153" s="894"/>
      <c r="I153" s="895"/>
      <c r="J153" s="895"/>
    </row>
    <row r="154" spans="1:10" ht="13.2" x14ac:dyDescent="0.25">
      <c r="A154" s="207">
        <f t="shared" si="5"/>
        <v>406</v>
      </c>
      <c r="B154" s="897"/>
      <c r="C154" s="898"/>
      <c r="D154" s="899"/>
      <c r="E154" s="894"/>
      <c r="F154" s="894"/>
      <c r="G154" s="894"/>
      <c r="H154" s="894"/>
      <c r="I154" s="895"/>
      <c r="J154" s="895"/>
    </row>
    <row r="155" spans="1:10" ht="13.2" x14ac:dyDescent="0.25">
      <c r="A155" s="207">
        <f t="shared" si="5"/>
        <v>407</v>
      </c>
      <c r="B155" s="897"/>
      <c r="C155" s="898"/>
      <c r="D155" s="899"/>
      <c r="E155" s="894"/>
      <c r="F155" s="894"/>
      <c r="G155" s="894"/>
      <c r="H155" s="894"/>
      <c r="I155" s="895"/>
      <c r="J155" s="895"/>
    </row>
    <row r="156" spans="1:10" ht="13.2" x14ac:dyDescent="0.25">
      <c r="A156" s="207">
        <f t="shared" si="5"/>
        <v>408</v>
      </c>
      <c r="B156" s="901"/>
      <c r="C156" s="898"/>
      <c r="D156" s="753"/>
      <c r="E156" s="894"/>
      <c r="F156" s="894"/>
      <c r="G156" s="894"/>
      <c r="H156" s="894"/>
      <c r="I156" s="895"/>
      <c r="J156" s="895"/>
    </row>
    <row r="157" spans="1:10" ht="13.2" x14ac:dyDescent="0.25">
      <c r="A157" s="207">
        <f t="shared" si="5"/>
        <v>409</v>
      </c>
      <c r="B157" s="902"/>
      <c r="C157" s="898"/>
      <c r="D157" s="753"/>
      <c r="E157" s="894"/>
      <c r="F157" s="894"/>
      <c r="G157" s="894"/>
      <c r="H157" s="894"/>
      <c r="I157" s="895"/>
      <c r="J157" s="895"/>
    </row>
    <row r="158" spans="1:10" ht="13.2" x14ac:dyDescent="0.25">
      <c r="A158" s="207">
        <f t="shared" si="5"/>
        <v>410</v>
      </c>
      <c r="B158" s="633"/>
      <c r="C158" s="561"/>
      <c r="D158" s="753"/>
      <c r="E158" s="256"/>
      <c r="F158" s="256"/>
      <c r="G158" s="256"/>
      <c r="H158" s="256"/>
      <c r="I158" s="450"/>
      <c r="J158" s="450"/>
    </row>
    <row r="159" spans="1:10" ht="13.2" x14ac:dyDescent="0.25">
      <c r="A159" s="207">
        <f t="shared" si="5"/>
        <v>411</v>
      </c>
      <c r="B159" s="633"/>
      <c r="C159" s="637"/>
      <c r="D159" s="753"/>
      <c r="E159" s="256"/>
      <c r="F159" s="256"/>
      <c r="G159" s="256"/>
      <c r="H159" s="256"/>
      <c r="I159" s="450"/>
      <c r="J159" s="450"/>
    </row>
    <row r="160" spans="1:10" ht="13.2" x14ac:dyDescent="0.25">
      <c r="A160" s="207">
        <f t="shared" si="5"/>
        <v>412</v>
      </c>
      <c r="B160" s="633"/>
      <c r="C160" s="561"/>
      <c r="D160" s="753"/>
      <c r="E160" s="256"/>
      <c r="F160" s="256"/>
      <c r="G160" s="256"/>
      <c r="H160" s="256"/>
      <c r="I160" s="450"/>
      <c r="J160" s="450"/>
    </row>
    <row r="161" spans="1:10" ht="13.2" x14ac:dyDescent="0.25">
      <c r="A161" s="207">
        <f t="shared" si="5"/>
        <v>413</v>
      </c>
      <c r="B161" s="633"/>
      <c r="C161" s="561"/>
      <c r="D161" s="753"/>
      <c r="E161" s="256"/>
      <c r="F161" s="256"/>
      <c r="G161" s="256"/>
      <c r="H161" s="256"/>
      <c r="I161" s="450"/>
      <c r="J161" s="450"/>
    </row>
    <row r="162" spans="1:10" ht="13.2" x14ac:dyDescent="0.25">
      <c r="A162" s="207">
        <f t="shared" si="5"/>
        <v>414</v>
      </c>
      <c r="B162" s="633"/>
      <c r="C162" s="561"/>
      <c r="D162" s="753"/>
      <c r="E162" s="256"/>
      <c r="F162" s="256"/>
      <c r="G162" s="256"/>
      <c r="H162" s="256"/>
      <c r="I162" s="450"/>
      <c r="J162" s="450"/>
    </row>
    <row r="163" spans="1:10" ht="13.2" x14ac:dyDescent="0.25">
      <c r="A163" s="207">
        <f t="shared" si="5"/>
        <v>415</v>
      </c>
      <c r="B163" s="633"/>
      <c r="C163" s="561"/>
      <c r="D163" s="753"/>
      <c r="E163" s="256"/>
      <c r="F163" s="256"/>
      <c r="G163" s="256"/>
      <c r="H163" s="256"/>
      <c r="I163" s="450"/>
      <c r="J163" s="450"/>
    </row>
    <row r="164" spans="1:10" ht="13.2" x14ac:dyDescent="0.25">
      <c r="A164" s="207">
        <f t="shared" si="5"/>
        <v>416</v>
      </c>
      <c r="B164" s="633"/>
      <c r="C164" s="561"/>
      <c r="D164" s="753"/>
      <c r="E164" s="256"/>
      <c r="F164" s="256"/>
      <c r="G164" s="256"/>
      <c r="H164" s="256"/>
      <c r="I164" s="450"/>
      <c r="J164" s="450"/>
    </row>
    <row r="165" spans="1:10" ht="13.2" x14ac:dyDescent="0.25">
      <c r="A165" s="207">
        <f t="shared" si="5"/>
        <v>417</v>
      </c>
      <c r="B165" s="633"/>
      <c r="C165" s="561"/>
      <c r="D165" s="753"/>
      <c r="E165" s="256"/>
      <c r="F165" s="256"/>
      <c r="G165" s="256"/>
      <c r="H165" s="256"/>
      <c r="I165" s="450"/>
      <c r="J165" s="450"/>
    </row>
    <row r="166" spans="1:10" ht="13.2" x14ac:dyDescent="0.25">
      <c r="A166" s="207">
        <f t="shared" si="5"/>
        <v>418</v>
      </c>
      <c r="B166" s="633"/>
      <c r="C166" s="561"/>
      <c r="D166" s="753"/>
      <c r="E166" s="256"/>
      <c r="F166" s="256"/>
      <c r="G166" s="256"/>
      <c r="H166" s="256"/>
      <c r="I166" s="450"/>
      <c r="J166" s="450"/>
    </row>
    <row r="167" spans="1:10" ht="13.2" x14ac:dyDescent="0.25">
      <c r="A167" s="207">
        <f t="shared" si="5"/>
        <v>419</v>
      </c>
      <c r="B167" s="633"/>
      <c r="C167" s="561"/>
      <c r="D167" s="753"/>
      <c r="E167" s="256"/>
      <c r="F167" s="256"/>
      <c r="G167" s="256"/>
      <c r="H167" s="256"/>
      <c r="I167" s="450"/>
      <c r="J167" s="450"/>
    </row>
    <row r="168" spans="1:10" ht="13.2" x14ac:dyDescent="0.25">
      <c r="A168" s="207">
        <f t="shared" si="5"/>
        <v>420</v>
      </c>
      <c r="B168" s="634" t="s">
        <v>565</v>
      </c>
      <c r="C168" s="561"/>
      <c r="D168" s="753"/>
      <c r="E168" s="256"/>
      <c r="F168" s="256"/>
      <c r="G168" s="256"/>
      <c r="H168" s="256"/>
      <c r="I168" s="450"/>
      <c r="J168" s="450"/>
    </row>
    <row r="169" spans="1:10" ht="13.2" x14ac:dyDescent="0.25">
      <c r="A169" s="689"/>
      <c r="B169" s="635"/>
      <c r="C169" s="553"/>
      <c r="D169" s="757"/>
      <c r="E169" s="255"/>
      <c r="F169" s="255"/>
      <c r="G169" s="255"/>
      <c r="H169" s="255"/>
      <c r="I169" s="261"/>
      <c r="J169" s="261"/>
    </row>
    <row r="170" spans="1:10" ht="13.2" x14ac:dyDescent="0.25">
      <c r="A170" s="689"/>
      <c r="B170" s="635"/>
      <c r="C170" s="92" t="s">
        <v>394</v>
      </c>
      <c r="D170" s="92" t="s">
        <v>378</v>
      </c>
      <c r="E170" s="92" t="s">
        <v>379</v>
      </c>
      <c r="F170" s="92" t="s">
        <v>380</v>
      </c>
      <c r="G170" s="92" t="s">
        <v>381</v>
      </c>
      <c r="H170" s="92" t="s">
        <v>382</v>
      </c>
      <c r="I170" s="398" t="s">
        <v>198</v>
      </c>
      <c r="J170" s="261"/>
    </row>
    <row r="171" spans="1:10" ht="13.2" x14ac:dyDescent="0.25">
      <c r="A171" s="121">
        <v>450</v>
      </c>
      <c r="B171" s="552"/>
      <c r="C171" s="551" t="s">
        <v>1853</v>
      </c>
      <c r="D171" s="748">
        <f>SUM(D148:D168)</f>
        <v>0</v>
      </c>
      <c r="E171" s="748">
        <f>SUM(E148:E168)</f>
        <v>0</v>
      </c>
      <c r="F171" s="748">
        <f>SUM(F148:F168)</f>
        <v>0</v>
      </c>
      <c r="G171" s="748">
        <f>SUM(G148:G168)</f>
        <v>0</v>
      </c>
      <c r="H171" s="748">
        <f>SUM(H148:H168)</f>
        <v>0</v>
      </c>
      <c r="I171" s="270" t="str">
        <f>"Sum of Above Lines beginning on Line "&amp;A148&amp;""</f>
        <v>Sum of Above Lines beginning on Line 400</v>
      </c>
      <c r="J171" s="251"/>
    </row>
    <row r="172" spans="1:10" ht="13.2" x14ac:dyDescent="0.25">
      <c r="A172" s="653">
        <f>+A171+1</f>
        <v>451</v>
      </c>
      <c r="B172" s="730"/>
      <c r="C172" s="730" t="s">
        <v>1855</v>
      </c>
      <c r="D172" s="748"/>
      <c r="E172" s="748"/>
      <c r="F172" s="748"/>
      <c r="G172" s="750" t="e">
        <f>'27-Allocators'!$G$28</f>
        <v>#DIV/0!</v>
      </c>
      <c r="H172" s="750" t="e">
        <f>'27-Allocators'!$G$15</f>
        <v>#DIV/0!</v>
      </c>
      <c r="I172" s="907" t="str">
        <f>"27-Allocators Lines "&amp;'27-Allocators'!A28&amp;" and "&amp;'27-Allocators'!A15&amp;" respectively."</f>
        <v>27-Allocators Lines 22 and 9 respectively.</v>
      </c>
      <c r="J172" s="251"/>
    </row>
    <row r="173" spans="1:10" ht="13.2" x14ac:dyDescent="0.25">
      <c r="A173" s="653">
        <f>+A172+1</f>
        <v>452</v>
      </c>
      <c r="B173" s="730"/>
      <c r="C173" s="730" t="s">
        <v>1857</v>
      </c>
      <c r="D173" s="748" t="e">
        <f>SUM(F173:H173)</f>
        <v>#DIV/0!</v>
      </c>
      <c r="E173" s="748"/>
      <c r="F173" s="751">
        <f>+F171</f>
        <v>0</v>
      </c>
      <c r="G173" s="751" t="e">
        <f>+G171*G172</f>
        <v>#DIV/0!</v>
      </c>
      <c r="H173" s="751" t="e">
        <f>+H171*H172</f>
        <v>#DIV/0!</v>
      </c>
      <c r="I173" s="631" t="str">
        <f>"Line "&amp;A171&amp;" * Line "&amp;A172&amp;" for Cols 5 and 6.  Col. 4 100% ISO."</f>
        <v>Line 450 * Line 451 for Cols 5 and 6.  Col. 4 100% ISO.</v>
      </c>
      <c r="J173" s="251"/>
    </row>
    <row r="174" spans="1:10" ht="13.2" x14ac:dyDescent="0.25">
      <c r="A174" s="653"/>
      <c r="B174" s="730"/>
      <c r="C174" s="752" t="s">
        <v>1858</v>
      </c>
      <c r="D174" s="748"/>
      <c r="E174" s="748"/>
      <c r="F174" s="748"/>
      <c r="G174" s="748"/>
      <c r="H174" s="748"/>
      <c r="I174" s="631"/>
      <c r="J174" s="251"/>
    </row>
    <row r="175" spans="1:10" ht="13.2" x14ac:dyDescent="0.25">
      <c r="A175" s="121"/>
      <c r="B175" s="552"/>
      <c r="C175" s="551"/>
      <c r="D175" s="748"/>
      <c r="E175" s="748"/>
      <c r="F175" s="748"/>
      <c r="G175" s="748"/>
      <c r="H175" s="748"/>
      <c r="I175" s="270"/>
      <c r="J175" s="251"/>
    </row>
    <row r="176" spans="1:10" ht="13.2" x14ac:dyDescent="0.25">
      <c r="A176" s="121">
        <f>+A173+1</f>
        <v>453</v>
      </c>
      <c r="B176" s="552"/>
      <c r="C176" s="730" t="s">
        <v>1808</v>
      </c>
      <c r="D176" s="753"/>
      <c r="E176" s="754" t="str">
        <f>"Must match amount on Line "&amp;A171&amp;", Col. 2"</f>
        <v>Must match amount on Line 450, Col. 2</v>
      </c>
      <c r="F176" s="748"/>
      <c r="G176" s="748"/>
      <c r="H176" s="748"/>
      <c r="I176" s="270" t="s">
        <v>1809</v>
      </c>
      <c r="J176" s="251"/>
    </row>
    <row r="177" spans="1:10" ht="13.2" x14ac:dyDescent="0.25">
      <c r="A177" s="689"/>
      <c r="B177" s="552"/>
      <c r="C177" s="551"/>
      <c r="D177" s="748"/>
      <c r="E177" s="748"/>
      <c r="F177" s="748"/>
      <c r="G177" s="748"/>
      <c r="H177" s="748"/>
      <c r="I177" s="270"/>
      <c r="J177" s="251"/>
    </row>
    <row r="178" spans="1:10" ht="13.2" x14ac:dyDescent="0.25">
      <c r="A178" s="689"/>
      <c r="B178" s="552"/>
      <c r="C178" s="551"/>
      <c r="D178" s="748"/>
      <c r="E178" s="748"/>
      <c r="F178" s="748"/>
      <c r="G178" s="748"/>
      <c r="H178" s="748"/>
      <c r="I178" s="632"/>
      <c r="J178" s="251"/>
    </row>
    <row r="179" spans="1:10" ht="13.2" x14ac:dyDescent="0.25">
      <c r="A179" s="551"/>
      <c r="B179" s="729" t="s">
        <v>1810</v>
      </c>
      <c r="C179" s="758"/>
      <c r="D179" s="748"/>
      <c r="E179" s="253"/>
      <c r="F179" s="253"/>
      <c r="G179" s="253"/>
      <c r="H179" s="253"/>
      <c r="I179" s="251"/>
      <c r="J179" s="251"/>
    </row>
    <row r="180" spans="1:10" ht="13.2" x14ac:dyDescent="0.25">
      <c r="A180" s="551"/>
      <c r="B180" s="729"/>
      <c r="C180" s="92" t="s">
        <v>394</v>
      </c>
      <c r="D180" s="92" t="s">
        <v>378</v>
      </c>
      <c r="E180" s="92" t="s">
        <v>379</v>
      </c>
      <c r="F180" s="92" t="s">
        <v>380</v>
      </c>
      <c r="G180" s="92" t="s">
        <v>381</v>
      </c>
      <c r="H180" s="92" t="s">
        <v>382</v>
      </c>
      <c r="I180" s="92" t="s">
        <v>383</v>
      </c>
      <c r="J180" s="251"/>
    </row>
    <row r="181" spans="1:10" ht="13.2" x14ac:dyDescent="0.25">
      <c r="A181" s="551"/>
      <c r="B181" s="733"/>
      <c r="C181" s="733"/>
      <c r="D181" s="759" t="s">
        <v>1790</v>
      </c>
      <c r="E181" s="759" t="s">
        <v>1791</v>
      </c>
      <c r="F181" s="759"/>
      <c r="G181" s="759"/>
      <c r="H181" s="759" t="s">
        <v>1427</v>
      </c>
      <c r="I181" s="1179" t="s">
        <v>2300</v>
      </c>
      <c r="J181" s="251"/>
    </row>
    <row r="182" spans="1:10" ht="13.2" x14ac:dyDescent="0.25">
      <c r="A182" s="551"/>
      <c r="B182" s="737" t="s">
        <v>1811</v>
      </c>
      <c r="C182" s="737" t="s">
        <v>1793</v>
      </c>
      <c r="D182" s="760" t="s">
        <v>1794</v>
      </c>
      <c r="E182" s="760" t="s">
        <v>1795</v>
      </c>
      <c r="F182" s="760" t="s">
        <v>1796</v>
      </c>
      <c r="G182" s="760" t="s">
        <v>1797</v>
      </c>
      <c r="H182" s="760" t="s">
        <v>1784</v>
      </c>
      <c r="I182" s="737" t="s">
        <v>111</v>
      </c>
      <c r="J182" s="251"/>
    </row>
    <row r="183" spans="1:10" ht="13.2" x14ac:dyDescent="0.25">
      <c r="A183" s="689"/>
      <c r="B183" s="730" t="s">
        <v>1799</v>
      </c>
      <c r="C183" s="251"/>
      <c r="D183" s="253"/>
      <c r="E183" s="253"/>
      <c r="F183" s="253"/>
      <c r="G183" s="253"/>
      <c r="H183" s="253"/>
      <c r="I183" s="251"/>
      <c r="J183" s="251"/>
    </row>
    <row r="184" spans="1:10" ht="13.2" x14ac:dyDescent="0.25">
      <c r="A184" s="207">
        <v>500</v>
      </c>
      <c r="B184" s="903"/>
      <c r="C184" s="900"/>
      <c r="D184" s="904"/>
      <c r="E184" s="894"/>
      <c r="F184" s="894"/>
      <c r="G184" s="894"/>
      <c r="H184" s="894"/>
      <c r="I184" s="895"/>
      <c r="J184" s="450"/>
    </row>
    <row r="185" spans="1:10" ht="13.2" x14ac:dyDescent="0.25">
      <c r="A185" s="207">
        <f t="shared" ref="A185:A248" si="6">A184+1</f>
        <v>501</v>
      </c>
      <c r="B185" s="903"/>
      <c r="C185" s="900"/>
      <c r="D185" s="904"/>
      <c r="E185" s="894"/>
      <c r="F185" s="894"/>
      <c r="G185" s="894"/>
      <c r="H185" s="894"/>
      <c r="I185" s="895"/>
      <c r="J185" s="450"/>
    </row>
    <row r="186" spans="1:10" ht="13.2" x14ac:dyDescent="0.25">
      <c r="A186" s="207">
        <f t="shared" si="6"/>
        <v>502</v>
      </c>
      <c r="B186" s="903"/>
      <c r="C186" s="900"/>
      <c r="D186" s="904"/>
      <c r="E186" s="894"/>
      <c r="F186" s="894"/>
      <c r="G186" s="894"/>
      <c r="H186" s="894"/>
      <c r="I186" s="895"/>
      <c r="J186" s="450"/>
    </row>
    <row r="187" spans="1:10" ht="13.2" x14ac:dyDescent="0.25">
      <c r="A187" s="207">
        <f t="shared" si="6"/>
        <v>503</v>
      </c>
      <c r="B187" s="903"/>
      <c r="C187" s="900"/>
      <c r="D187" s="904"/>
      <c r="E187" s="894"/>
      <c r="F187" s="894"/>
      <c r="G187" s="894"/>
      <c r="H187" s="894"/>
      <c r="I187" s="895"/>
      <c r="J187" s="450"/>
    </row>
    <row r="188" spans="1:10" ht="13.2" x14ac:dyDescent="0.25">
      <c r="A188" s="207">
        <f t="shared" si="6"/>
        <v>504</v>
      </c>
      <c r="B188" s="903"/>
      <c r="C188" s="900"/>
      <c r="D188" s="904"/>
      <c r="E188" s="894"/>
      <c r="F188" s="894"/>
      <c r="G188" s="894"/>
      <c r="H188" s="894"/>
      <c r="I188" s="895"/>
      <c r="J188" s="450"/>
    </row>
    <row r="189" spans="1:10" ht="13.2" x14ac:dyDescent="0.25">
      <c r="A189" s="207">
        <f t="shared" si="6"/>
        <v>505</v>
      </c>
      <c r="B189" s="903"/>
      <c r="C189" s="900"/>
      <c r="D189" s="904"/>
      <c r="E189" s="894"/>
      <c r="F189" s="894"/>
      <c r="G189" s="894"/>
      <c r="H189" s="894"/>
      <c r="I189" s="895"/>
      <c r="J189" s="450"/>
    </row>
    <row r="190" spans="1:10" ht="13.2" x14ac:dyDescent="0.25">
      <c r="A190" s="207">
        <f t="shared" si="6"/>
        <v>506</v>
      </c>
      <c r="B190" s="903"/>
      <c r="C190" s="900"/>
      <c r="D190" s="904"/>
      <c r="E190" s="894"/>
      <c r="F190" s="894"/>
      <c r="G190" s="894"/>
      <c r="H190" s="894"/>
      <c r="I190" s="895"/>
      <c r="J190" s="450"/>
    </row>
    <row r="191" spans="1:10" ht="13.2" x14ac:dyDescent="0.25">
      <c r="A191" s="207">
        <f t="shared" si="6"/>
        <v>507</v>
      </c>
      <c r="B191" s="903"/>
      <c r="C191" s="900"/>
      <c r="D191" s="904"/>
      <c r="E191" s="894"/>
      <c r="F191" s="894"/>
      <c r="G191" s="894"/>
      <c r="H191" s="894"/>
      <c r="I191" s="895"/>
      <c r="J191" s="450"/>
    </row>
    <row r="192" spans="1:10" ht="13.2" x14ac:dyDescent="0.25">
      <c r="A192" s="207">
        <f t="shared" si="6"/>
        <v>508</v>
      </c>
      <c r="B192" s="903"/>
      <c r="C192" s="900"/>
      <c r="D192" s="904"/>
      <c r="E192" s="894"/>
      <c r="F192" s="894"/>
      <c r="G192" s="894"/>
      <c r="H192" s="894"/>
      <c r="I192" s="895"/>
      <c r="J192" s="450"/>
    </row>
    <row r="193" spans="1:10" ht="13.2" x14ac:dyDescent="0.25">
      <c r="A193" s="207">
        <f t="shared" si="6"/>
        <v>509</v>
      </c>
      <c r="B193" s="903"/>
      <c r="C193" s="900"/>
      <c r="D193" s="904"/>
      <c r="E193" s="894"/>
      <c r="F193" s="894"/>
      <c r="G193" s="894"/>
      <c r="H193" s="894"/>
      <c r="I193" s="895"/>
      <c r="J193" s="450"/>
    </row>
    <row r="194" spans="1:10" ht="13.2" x14ac:dyDescent="0.25">
      <c r="A194" s="207">
        <f t="shared" si="6"/>
        <v>510</v>
      </c>
      <c r="B194" s="903"/>
      <c r="C194" s="900"/>
      <c r="D194" s="904"/>
      <c r="E194" s="894"/>
      <c r="F194" s="894"/>
      <c r="G194" s="894"/>
      <c r="H194" s="894"/>
      <c r="I194" s="895"/>
      <c r="J194" s="450"/>
    </row>
    <row r="195" spans="1:10" ht="13.2" x14ac:dyDescent="0.25">
      <c r="A195" s="207">
        <f t="shared" si="6"/>
        <v>511</v>
      </c>
      <c r="B195" s="903"/>
      <c r="C195" s="900"/>
      <c r="D195" s="904"/>
      <c r="E195" s="894"/>
      <c r="F195" s="894"/>
      <c r="G195" s="894"/>
      <c r="H195" s="894"/>
      <c r="I195" s="895"/>
      <c r="J195" s="450"/>
    </row>
    <row r="196" spans="1:10" ht="13.2" x14ac:dyDescent="0.25">
      <c r="A196" s="207">
        <f t="shared" si="6"/>
        <v>512</v>
      </c>
      <c r="B196" s="903"/>
      <c r="C196" s="900"/>
      <c r="D196" s="904"/>
      <c r="E196" s="894"/>
      <c r="F196" s="894"/>
      <c r="G196" s="894"/>
      <c r="H196" s="894"/>
      <c r="I196" s="895"/>
      <c r="J196" s="450"/>
    </row>
    <row r="197" spans="1:10" ht="13.2" x14ac:dyDescent="0.25">
      <c r="A197" s="207">
        <f t="shared" si="6"/>
        <v>513</v>
      </c>
      <c r="B197" s="636"/>
      <c r="C197" s="637"/>
      <c r="D197" s="638"/>
      <c r="E197" s="256"/>
      <c r="F197" s="256"/>
      <c r="G197" s="256"/>
      <c r="H197" s="256"/>
      <c r="I197" s="450"/>
      <c r="J197" s="450"/>
    </row>
    <row r="198" spans="1:10" ht="13.2" x14ac:dyDescent="0.25">
      <c r="A198" s="207">
        <f t="shared" si="6"/>
        <v>514</v>
      </c>
      <c r="B198" s="636"/>
      <c r="C198" s="637"/>
      <c r="D198" s="638"/>
      <c r="E198" s="256"/>
      <c r="F198" s="256"/>
      <c r="G198" s="256"/>
      <c r="H198" s="256"/>
      <c r="I198" s="450"/>
      <c r="J198" s="450"/>
    </row>
    <row r="199" spans="1:10" ht="13.2" x14ac:dyDescent="0.25">
      <c r="A199" s="207">
        <f t="shared" si="6"/>
        <v>515</v>
      </c>
      <c r="B199" s="636"/>
      <c r="C199" s="637"/>
      <c r="D199" s="638"/>
      <c r="E199" s="256"/>
      <c r="F199" s="256"/>
      <c r="G199" s="256"/>
      <c r="H199" s="256"/>
      <c r="I199" s="450"/>
      <c r="J199" s="450"/>
    </row>
    <row r="200" spans="1:10" ht="13.2" x14ac:dyDescent="0.25">
      <c r="A200" s="207">
        <f t="shared" si="6"/>
        <v>516</v>
      </c>
      <c r="B200" s="636"/>
      <c r="C200" s="637"/>
      <c r="D200" s="638"/>
      <c r="E200" s="256"/>
      <c r="F200" s="256"/>
      <c r="G200" s="256"/>
      <c r="H200" s="256"/>
      <c r="I200" s="450"/>
      <c r="J200" s="450"/>
    </row>
    <row r="201" spans="1:10" ht="13.2" x14ac:dyDescent="0.25">
      <c r="A201" s="207">
        <f t="shared" si="6"/>
        <v>517</v>
      </c>
      <c r="B201" s="636"/>
      <c r="C201" s="637"/>
      <c r="D201" s="638"/>
      <c r="E201" s="256"/>
      <c r="F201" s="256"/>
      <c r="G201" s="256"/>
      <c r="H201" s="256"/>
      <c r="I201" s="450"/>
      <c r="J201" s="450"/>
    </row>
    <row r="202" spans="1:10" ht="13.2" x14ac:dyDescent="0.25">
      <c r="A202" s="207">
        <f t="shared" si="6"/>
        <v>518</v>
      </c>
      <c r="B202" s="636"/>
      <c r="C202" s="637"/>
      <c r="D202" s="638"/>
      <c r="E202" s="256"/>
      <c r="F202" s="256"/>
      <c r="G202" s="256"/>
      <c r="H202" s="256"/>
      <c r="I202" s="450"/>
      <c r="J202" s="450"/>
    </row>
    <row r="203" spans="1:10" ht="13.2" x14ac:dyDescent="0.25">
      <c r="A203" s="207">
        <f t="shared" si="6"/>
        <v>519</v>
      </c>
      <c r="B203" s="636"/>
      <c r="C203" s="637"/>
      <c r="D203" s="638"/>
      <c r="E203" s="256"/>
      <c r="F203" s="256"/>
      <c r="G203" s="256"/>
      <c r="H203" s="256"/>
      <c r="I203" s="450"/>
      <c r="J203" s="450"/>
    </row>
    <row r="204" spans="1:10" ht="13.2" x14ac:dyDescent="0.25">
      <c r="A204" s="207">
        <f t="shared" si="6"/>
        <v>520</v>
      </c>
      <c r="B204" s="636"/>
      <c r="C204" s="637"/>
      <c r="D204" s="638"/>
      <c r="E204" s="256"/>
      <c r="F204" s="256"/>
      <c r="G204" s="256"/>
      <c r="H204" s="256"/>
      <c r="I204" s="450"/>
      <c r="J204" s="450"/>
    </row>
    <row r="205" spans="1:10" ht="13.2" x14ac:dyDescent="0.25">
      <c r="A205" s="207">
        <f t="shared" si="6"/>
        <v>521</v>
      </c>
      <c r="B205" s="636"/>
      <c r="C205" s="637"/>
      <c r="D205" s="638"/>
      <c r="E205" s="256"/>
      <c r="F205" s="256"/>
      <c r="G205" s="256"/>
      <c r="H205" s="256"/>
      <c r="I205" s="450"/>
      <c r="J205" s="450"/>
    </row>
    <row r="206" spans="1:10" ht="13.2" x14ac:dyDescent="0.25">
      <c r="A206" s="207">
        <f t="shared" si="6"/>
        <v>522</v>
      </c>
      <c r="B206" s="636"/>
      <c r="C206" s="637"/>
      <c r="D206" s="638"/>
      <c r="E206" s="256"/>
      <c r="F206" s="256"/>
      <c r="G206" s="256"/>
      <c r="H206" s="256"/>
      <c r="I206" s="450"/>
      <c r="J206" s="450"/>
    </row>
    <row r="207" spans="1:10" ht="13.2" x14ac:dyDescent="0.25">
      <c r="A207" s="207">
        <f t="shared" si="6"/>
        <v>523</v>
      </c>
      <c r="B207" s="636"/>
      <c r="C207" s="637"/>
      <c r="D207" s="638"/>
      <c r="E207" s="256"/>
      <c r="F207" s="256"/>
      <c r="G207" s="256"/>
      <c r="H207" s="256"/>
      <c r="I207" s="450"/>
      <c r="J207" s="450"/>
    </row>
    <row r="208" spans="1:10" ht="13.2" x14ac:dyDescent="0.25">
      <c r="A208" s="207">
        <f t="shared" si="6"/>
        <v>524</v>
      </c>
      <c r="B208" s="636"/>
      <c r="C208" s="637"/>
      <c r="D208" s="638"/>
      <c r="E208" s="256"/>
      <c r="F208" s="256"/>
      <c r="G208" s="256"/>
      <c r="H208" s="256"/>
      <c r="I208" s="450"/>
      <c r="J208" s="450"/>
    </row>
    <row r="209" spans="1:10" ht="13.2" x14ac:dyDescent="0.25">
      <c r="A209" s="207">
        <f t="shared" si="6"/>
        <v>525</v>
      </c>
      <c r="B209" s="636"/>
      <c r="C209" s="637"/>
      <c r="D209" s="638"/>
      <c r="E209" s="256"/>
      <c r="F209" s="256"/>
      <c r="G209" s="256"/>
      <c r="H209" s="256"/>
      <c r="I209" s="450"/>
      <c r="J209" s="450"/>
    </row>
    <row r="210" spans="1:10" ht="13.2" x14ac:dyDescent="0.25">
      <c r="A210" s="207">
        <f t="shared" si="6"/>
        <v>526</v>
      </c>
      <c r="B210" s="636"/>
      <c r="C210" s="637"/>
      <c r="D210" s="638"/>
      <c r="E210" s="256"/>
      <c r="F210" s="256"/>
      <c r="G210" s="256"/>
      <c r="H210" s="256"/>
      <c r="I210" s="450"/>
      <c r="J210" s="450"/>
    </row>
    <row r="211" spans="1:10" ht="13.2" x14ac:dyDescent="0.25">
      <c r="A211" s="207">
        <f t="shared" si="6"/>
        <v>527</v>
      </c>
      <c r="B211" s="636"/>
      <c r="C211" s="637"/>
      <c r="D211" s="638"/>
      <c r="E211" s="256"/>
      <c r="F211" s="256"/>
      <c r="G211" s="256"/>
      <c r="H211" s="256"/>
      <c r="I211" s="450"/>
      <c r="J211" s="450"/>
    </row>
    <row r="212" spans="1:10" ht="13.2" x14ac:dyDescent="0.25">
      <c r="A212" s="207">
        <f t="shared" si="6"/>
        <v>528</v>
      </c>
      <c r="B212" s="636"/>
      <c r="C212" s="637"/>
      <c r="D212" s="638"/>
      <c r="E212" s="256"/>
      <c r="F212" s="256"/>
      <c r="G212" s="256"/>
      <c r="H212" s="256"/>
      <c r="I212" s="450"/>
      <c r="J212" s="450"/>
    </row>
    <row r="213" spans="1:10" ht="13.2" x14ac:dyDescent="0.25">
      <c r="A213" s="207">
        <f t="shared" si="6"/>
        <v>529</v>
      </c>
      <c r="B213" s="636"/>
      <c r="C213" s="639"/>
      <c r="D213" s="638"/>
      <c r="E213" s="256"/>
      <c r="F213" s="256"/>
      <c r="G213" s="256"/>
      <c r="H213" s="256"/>
      <c r="I213" s="450"/>
      <c r="J213" s="450"/>
    </row>
    <row r="214" spans="1:10" ht="13.2" x14ac:dyDescent="0.25">
      <c r="A214" s="207">
        <f>+A213+1</f>
        <v>530</v>
      </c>
      <c r="B214" s="636"/>
      <c r="C214" s="637"/>
      <c r="D214" s="638"/>
      <c r="E214" s="256"/>
      <c r="F214" s="256"/>
      <c r="G214" s="256"/>
      <c r="H214" s="256"/>
      <c r="I214" s="450"/>
      <c r="J214" s="450"/>
    </row>
    <row r="215" spans="1:10" ht="13.2" x14ac:dyDescent="0.25">
      <c r="A215" s="207">
        <f>+A214+1</f>
        <v>531</v>
      </c>
      <c r="B215" s="636"/>
      <c r="C215" s="637"/>
      <c r="D215" s="638"/>
      <c r="E215" s="256"/>
      <c r="F215" s="256"/>
      <c r="G215" s="256"/>
      <c r="H215" s="256"/>
      <c r="I215" s="450"/>
      <c r="J215" s="450"/>
    </row>
    <row r="216" spans="1:10" ht="13.2" x14ac:dyDescent="0.25">
      <c r="A216" s="207">
        <f t="shared" si="6"/>
        <v>532</v>
      </c>
      <c r="B216" s="636"/>
      <c r="C216" s="639"/>
      <c r="D216" s="638"/>
      <c r="E216" s="256"/>
      <c r="F216" s="256"/>
      <c r="G216" s="256"/>
      <c r="H216" s="256"/>
      <c r="I216" s="450"/>
      <c r="J216" s="450"/>
    </row>
    <row r="217" spans="1:10" ht="13.2" x14ac:dyDescent="0.25">
      <c r="A217" s="207">
        <f>+A216+1</f>
        <v>533</v>
      </c>
      <c r="B217" s="636"/>
      <c r="C217" s="637"/>
      <c r="D217" s="638"/>
      <c r="E217" s="256"/>
      <c r="F217" s="256"/>
      <c r="G217" s="256"/>
      <c r="H217" s="256"/>
      <c r="I217" s="450"/>
      <c r="J217" s="450"/>
    </row>
    <row r="218" spans="1:10" ht="13.2" x14ac:dyDescent="0.25">
      <c r="A218" s="207">
        <f t="shared" si="6"/>
        <v>534</v>
      </c>
      <c r="B218" s="636"/>
      <c r="C218" s="637"/>
      <c r="D218" s="638"/>
      <c r="E218" s="256"/>
      <c r="F218" s="256"/>
      <c r="G218" s="256"/>
      <c r="H218" s="256"/>
      <c r="I218" s="450"/>
      <c r="J218" s="450"/>
    </row>
    <row r="219" spans="1:10" ht="13.2" x14ac:dyDescent="0.25">
      <c r="A219" s="207">
        <f t="shared" si="6"/>
        <v>535</v>
      </c>
      <c r="B219" s="636"/>
      <c r="C219" s="637"/>
      <c r="D219" s="638"/>
      <c r="E219" s="256"/>
      <c r="F219" s="256"/>
      <c r="G219" s="256"/>
      <c r="H219" s="256"/>
      <c r="I219" s="450"/>
      <c r="J219" s="450"/>
    </row>
    <row r="220" spans="1:10" ht="13.2" x14ac:dyDescent="0.25">
      <c r="A220" s="207">
        <f t="shared" si="6"/>
        <v>536</v>
      </c>
      <c r="B220" s="636"/>
      <c r="C220" s="637"/>
      <c r="D220" s="638"/>
      <c r="E220" s="256"/>
      <c r="F220" s="256"/>
      <c r="G220" s="256"/>
      <c r="H220" s="256"/>
      <c r="I220" s="450"/>
      <c r="J220" s="450"/>
    </row>
    <row r="221" spans="1:10" ht="13.2" x14ac:dyDescent="0.25">
      <c r="A221" s="207">
        <f t="shared" si="6"/>
        <v>537</v>
      </c>
      <c r="B221" s="636"/>
      <c r="C221" s="640"/>
      <c r="D221" s="638"/>
      <c r="E221" s="256"/>
      <c r="F221" s="256"/>
      <c r="G221" s="256"/>
      <c r="H221" s="256"/>
      <c r="I221" s="561"/>
      <c r="J221" s="450"/>
    </row>
    <row r="222" spans="1:10" ht="13.2" x14ac:dyDescent="0.25">
      <c r="A222" s="207">
        <f t="shared" si="6"/>
        <v>538</v>
      </c>
      <c r="B222" s="636"/>
      <c r="C222" s="637"/>
      <c r="D222" s="638"/>
      <c r="E222" s="256"/>
      <c r="F222" s="256"/>
      <c r="G222" s="256"/>
      <c r="H222" s="256"/>
      <c r="I222" s="561"/>
      <c r="J222" s="450"/>
    </row>
    <row r="223" spans="1:10" ht="13.2" x14ac:dyDescent="0.25">
      <c r="A223" s="207">
        <f t="shared" si="6"/>
        <v>539</v>
      </c>
      <c r="B223" s="636"/>
      <c r="C223" s="637"/>
      <c r="D223" s="638"/>
      <c r="E223" s="256"/>
      <c r="F223" s="256"/>
      <c r="G223" s="256"/>
      <c r="H223" s="256"/>
      <c r="I223" s="450"/>
      <c r="J223" s="450"/>
    </row>
    <row r="224" spans="1:10" ht="13.2" x14ac:dyDescent="0.25">
      <c r="A224" s="121"/>
      <c r="B224" s="641"/>
      <c r="C224" s="642"/>
      <c r="D224" s="643"/>
      <c r="E224" s="255"/>
      <c r="F224" s="255"/>
      <c r="G224" s="255"/>
      <c r="H224" s="255"/>
      <c r="I224" s="261"/>
      <c r="J224" s="261"/>
    </row>
    <row r="225" spans="1:10" ht="13.2" x14ac:dyDescent="0.25">
      <c r="A225" s="121"/>
      <c r="B225" s="729" t="s">
        <v>1812</v>
      </c>
      <c r="C225" s="758"/>
      <c r="D225" s="748"/>
      <c r="E225" s="253"/>
      <c r="F225" s="253"/>
      <c r="G225" s="253"/>
      <c r="H225" s="253"/>
      <c r="I225" s="251"/>
      <c r="J225" s="261"/>
    </row>
    <row r="226" spans="1:10" ht="13.2" x14ac:dyDescent="0.25">
      <c r="A226" s="121"/>
      <c r="B226" s="729"/>
      <c r="C226" s="92" t="s">
        <v>394</v>
      </c>
      <c r="D226" s="92" t="s">
        <v>378</v>
      </c>
      <c r="E226" s="92" t="s">
        <v>379</v>
      </c>
      <c r="F226" s="92" t="s">
        <v>380</v>
      </c>
      <c r="G226" s="92" t="s">
        <v>381</v>
      </c>
      <c r="H226" s="92" t="s">
        <v>382</v>
      </c>
      <c r="I226" s="92" t="s">
        <v>383</v>
      </c>
      <c r="J226" s="261"/>
    </row>
    <row r="227" spans="1:10" ht="13.2" x14ac:dyDescent="0.25">
      <c r="A227" s="121"/>
      <c r="B227" s="733"/>
      <c r="C227" s="733"/>
      <c r="D227" s="759" t="s">
        <v>1790</v>
      </c>
      <c r="E227" s="759" t="s">
        <v>1791</v>
      </c>
      <c r="F227" s="759"/>
      <c r="G227" s="759"/>
      <c r="H227" s="759" t="s">
        <v>1427</v>
      </c>
      <c r="I227" s="1179" t="s">
        <v>2300</v>
      </c>
      <c r="J227" s="261"/>
    </row>
    <row r="228" spans="1:10" ht="13.2" x14ac:dyDescent="0.25">
      <c r="A228" s="121"/>
      <c r="B228" s="737" t="s">
        <v>1811</v>
      </c>
      <c r="C228" s="737" t="s">
        <v>1793</v>
      </c>
      <c r="D228" s="760" t="s">
        <v>1794</v>
      </c>
      <c r="E228" s="760" t="s">
        <v>1795</v>
      </c>
      <c r="F228" s="760" t="s">
        <v>1796</v>
      </c>
      <c r="G228" s="760" t="s">
        <v>1797</v>
      </c>
      <c r="H228" s="760" t="s">
        <v>1784</v>
      </c>
      <c r="I228" s="737" t="s">
        <v>111</v>
      </c>
      <c r="J228" s="261"/>
    </row>
    <row r="229" spans="1:10" ht="13.2" x14ac:dyDescent="0.25">
      <c r="A229" s="121"/>
      <c r="B229" s="730" t="s">
        <v>1813</v>
      </c>
      <c r="C229" s="733"/>
      <c r="D229" s="759"/>
      <c r="E229" s="759"/>
      <c r="F229" s="759"/>
      <c r="G229" s="759"/>
      <c r="H229" s="759"/>
      <c r="I229" s="733"/>
      <c r="J229" s="261"/>
    </row>
    <row r="230" spans="1:10" ht="13.2" x14ac:dyDescent="0.25">
      <c r="A230" s="207">
        <f>A223+1</f>
        <v>540</v>
      </c>
      <c r="B230" s="636"/>
      <c r="C230" s="637"/>
      <c r="D230" s="638"/>
      <c r="E230" s="256"/>
      <c r="F230" s="256"/>
      <c r="G230" s="256"/>
      <c r="H230" s="256"/>
      <c r="I230" s="450"/>
      <c r="J230" s="450"/>
    </row>
    <row r="231" spans="1:10" ht="13.2" x14ac:dyDescent="0.25">
      <c r="A231" s="207">
        <f t="shared" si="6"/>
        <v>541</v>
      </c>
      <c r="B231" s="636"/>
      <c r="C231" s="637"/>
      <c r="D231" s="638"/>
      <c r="E231" s="256"/>
      <c r="F231" s="256"/>
      <c r="G231" s="256"/>
      <c r="H231" s="256"/>
      <c r="I231" s="450"/>
      <c r="J231" s="450"/>
    </row>
    <row r="232" spans="1:10" ht="13.2" x14ac:dyDescent="0.25">
      <c r="A232" s="207">
        <f t="shared" si="6"/>
        <v>542</v>
      </c>
      <c r="B232" s="636"/>
      <c r="C232" s="637"/>
      <c r="D232" s="638"/>
      <c r="E232" s="256"/>
      <c r="F232" s="256"/>
      <c r="G232" s="256"/>
      <c r="H232" s="256"/>
      <c r="I232" s="450"/>
      <c r="J232" s="450"/>
    </row>
    <row r="233" spans="1:10" ht="13.2" x14ac:dyDescent="0.25">
      <c r="A233" s="207">
        <f t="shared" si="6"/>
        <v>543</v>
      </c>
      <c r="B233" s="636"/>
      <c r="C233" s="637"/>
      <c r="D233" s="638"/>
      <c r="E233" s="256"/>
      <c r="F233" s="256"/>
      <c r="G233" s="256"/>
      <c r="H233" s="256"/>
      <c r="I233" s="450"/>
      <c r="J233" s="450"/>
    </row>
    <row r="234" spans="1:10" ht="13.2" x14ac:dyDescent="0.25">
      <c r="A234" s="207">
        <f t="shared" si="6"/>
        <v>544</v>
      </c>
      <c r="B234" s="636"/>
      <c r="C234" s="637"/>
      <c r="D234" s="638"/>
      <c r="E234" s="256"/>
      <c r="F234" s="256"/>
      <c r="G234" s="256"/>
      <c r="H234" s="256"/>
      <c r="I234" s="450"/>
      <c r="J234" s="450"/>
    </row>
    <row r="235" spans="1:10" ht="13.2" x14ac:dyDescent="0.25">
      <c r="A235" s="207">
        <f t="shared" si="6"/>
        <v>545</v>
      </c>
      <c r="B235" s="636"/>
      <c r="C235" s="637"/>
      <c r="D235" s="638"/>
      <c r="E235" s="256"/>
      <c r="F235" s="256"/>
      <c r="G235" s="256"/>
      <c r="H235" s="256"/>
      <c r="I235" s="450"/>
      <c r="J235" s="450"/>
    </row>
    <row r="236" spans="1:10" ht="13.2" x14ac:dyDescent="0.25">
      <c r="A236" s="207">
        <f t="shared" si="6"/>
        <v>546</v>
      </c>
      <c r="B236" s="636"/>
      <c r="C236" s="637"/>
      <c r="D236" s="638"/>
      <c r="E236" s="256"/>
      <c r="F236" s="256"/>
      <c r="G236" s="256"/>
      <c r="H236" s="256"/>
      <c r="I236" s="450"/>
      <c r="J236" s="450"/>
    </row>
    <row r="237" spans="1:10" ht="13.2" x14ac:dyDescent="0.25">
      <c r="A237" s="207">
        <f t="shared" si="6"/>
        <v>547</v>
      </c>
      <c r="B237" s="636"/>
      <c r="C237" s="637"/>
      <c r="D237" s="638"/>
      <c r="E237" s="256"/>
      <c r="F237" s="256"/>
      <c r="G237" s="256"/>
      <c r="H237" s="256"/>
      <c r="I237" s="450"/>
      <c r="J237" s="450"/>
    </row>
    <row r="238" spans="1:10" ht="13.2" x14ac:dyDescent="0.25">
      <c r="A238" s="207">
        <f t="shared" si="6"/>
        <v>548</v>
      </c>
      <c r="B238" s="636"/>
      <c r="C238" s="637"/>
      <c r="D238" s="638"/>
      <c r="E238" s="256"/>
      <c r="F238" s="256"/>
      <c r="G238" s="256"/>
      <c r="H238" s="256"/>
      <c r="I238" s="450"/>
      <c r="J238" s="450"/>
    </row>
    <row r="239" spans="1:10" ht="13.2" x14ac:dyDescent="0.25">
      <c r="A239" s="207">
        <f t="shared" si="6"/>
        <v>549</v>
      </c>
      <c r="B239" s="636"/>
      <c r="C239" s="637"/>
      <c r="D239" s="638"/>
      <c r="E239" s="256"/>
      <c r="F239" s="256"/>
      <c r="G239" s="256"/>
      <c r="H239" s="256"/>
      <c r="I239" s="450"/>
      <c r="J239" s="450"/>
    </row>
    <row r="240" spans="1:10" ht="13.2" x14ac:dyDescent="0.25">
      <c r="A240" s="207">
        <f t="shared" si="6"/>
        <v>550</v>
      </c>
      <c r="B240" s="636"/>
      <c r="C240" s="637"/>
      <c r="D240" s="638"/>
      <c r="E240" s="256"/>
      <c r="F240" s="256"/>
      <c r="G240" s="256"/>
      <c r="H240" s="256"/>
      <c r="I240" s="450"/>
      <c r="J240" s="450"/>
    </row>
    <row r="241" spans="1:10" ht="13.2" x14ac:dyDescent="0.25">
      <c r="A241" s="207">
        <f t="shared" si="6"/>
        <v>551</v>
      </c>
      <c r="B241" s="636"/>
      <c r="C241" s="637"/>
      <c r="D241" s="638"/>
      <c r="E241" s="256"/>
      <c r="F241" s="256"/>
      <c r="G241" s="256"/>
      <c r="H241" s="256"/>
      <c r="I241" s="450"/>
      <c r="J241" s="450"/>
    </row>
    <row r="242" spans="1:10" ht="13.2" x14ac:dyDescent="0.25">
      <c r="A242" s="207">
        <f t="shared" si="6"/>
        <v>552</v>
      </c>
      <c r="B242" s="636"/>
      <c r="C242" s="637"/>
      <c r="D242" s="638"/>
      <c r="E242" s="256"/>
      <c r="F242" s="256"/>
      <c r="G242" s="256"/>
      <c r="H242" s="256"/>
      <c r="I242" s="450"/>
      <c r="J242" s="450"/>
    </row>
    <row r="243" spans="1:10" ht="13.2" x14ac:dyDescent="0.25">
      <c r="A243" s="207">
        <f t="shared" si="6"/>
        <v>553</v>
      </c>
      <c r="B243" s="636"/>
      <c r="C243" s="637"/>
      <c r="D243" s="638"/>
      <c r="E243" s="256"/>
      <c r="F243" s="256"/>
      <c r="G243" s="256"/>
      <c r="H243" s="256"/>
      <c r="I243" s="450"/>
      <c r="J243" s="450"/>
    </row>
    <row r="244" spans="1:10" ht="13.2" x14ac:dyDescent="0.25">
      <c r="A244" s="207">
        <f t="shared" si="6"/>
        <v>554</v>
      </c>
      <c r="B244" s="636"/>
      <c r="C244" s="637"/>
      <c r="D244" s="638"/>
      <c r="E244" s="256"/>
      <c r="F244" s="256"/>
      <c r="G244" s="256"/>
      <c r="H244" s="256"/>
      <c r="I244" s="450"/>
      <c r="J244" s="450"/>
    </row>
    <row r="245" spans="1:10" ht="13.2" x14ac:dyDescent="0.25">
      <c r="A245" s="207">
        <f t="shared" si="6"/>
        <v>555</v>
      </c>
      <c r="B245" s="636"/>
      <c r="C245" s="637"/>
      <c r="D245" s="638"/>
      <c r="E245" s="256"/>
      <c r="F245" s="256"/>
      <c r="G245" s="256"/>
      <c r="H245" s="256"/>
      <c r="I245" s="450"/>
      <c r="J245" s="450"/>
    </row>
    <row r="246" spans="1:10" ht="13.2" x14ac:dyDescent="0.25">
      <c r="A246" s="207">
        <f t="shared" si="6"/>
        <v>556</v>
      </c>
      <c r="B246" s="636"/>
      <c r="C246" s="637"/>
      <c r="D246" s="638"/>
      <c r="E246" s="256"/>
      <c r="F246" s="256"/>
      <c r="G246" s="256"/>
      <c r="H246" s="256"/>
      <c r="I246" s="450"/>
      <c r="J246" s="450"/>
    </row>
    <row r="247" spans="1:10" ht="13.2" x14ac:dyDescent="0.25">
      <c r="A247" s="207">
        <f t="shared" si="6"/>
        <v>557</v>
      </c>
      <c r="B247" s="636"/>
      <c r="C247" s="637"/>
      <c r="D247" s="638"/>
      <c r="E247" s="256"/>
      <c r="F247" s="256"/>
      <c r="G247" s="256"/>
      <c r="H247" s="256"/>
      <c r="I247" s="450"/>
      <c r="J247" s="450"/>
    </row>
    <row r="248" spans="1:10" ht="13.2" x14ac:dyDescent="0.25">
      <c r="A248" s="207">
        <f t="shared" si="6"/>
        <v>558</v>
      </c>
      <c r="B248" s="636"/>
      <c r="C248" s="637"/>
      <c r="D248" s="638"/>
      <c r="E248" s="256"/>
      <c r="F248" s="256"/>
      <c r="G248" s="256"/>
      <c r="H248" s="256"/>
      <c r="I248" s="450"/>
      <c r="J248" s="450"/>
    </row>
    <row r="249" spans="1:10" ht="13.2" x14ac:dyDescent="0.25">
      <c r="A249" s="207">
        <f t="shared" ref="A249:A278" si="7">A248+1</f>
        <v>559</v>
      </c>
      <c r="B249" s="636"/>
      <c r="C249" s="637"/>
      <c r="D249" s="638"/>
      <c r="E249" s="256"/>
      <c r="F249" s="256"/>
      <c r="G249" s="256"/>
      <c r="H249" s="256"/>
      <c r="I249" s="450"/>
      <c r="J249" s="450"/>
    </row>
    <row r="250" spans="1:10" ht="13.2" x14ac:dyDescent="0.25">
      <c r="A250" s="207">
        <f t="shared" si="7"/>
        <v>560</v>
      </c>
      <c r="B250" s="636"/>
      <c r="C250" s="637"/>
      <c r="D250" s="638"/>
      <c r="E250" s="256"/>
      <c r="F250" s="256"/>
      <c r="G250" s="256"/>
      <c r="H250" s="256"/>
      <c r="I250" s="450"/>
      <c r="J250" s="450"/>
    </row>
    <row r="251" spans="1:10" ht="13.2" x14ac:dyDescent="0.25">
      <c r="A251" s="207">
        <f t="shared" si="7"/>
        <v>561</v>
      </c>
      <c r="B251" s="636"/>
      <c r="C251" s="637"/>
      <c r="D251" s="638"/>
      <c r="E251" s="256"/>
      <c r="F251" s="256"/>
      <c r="G251" s="256"/>
      <c r="H251" s="256"/>
      <c r="I251" s="450"/>
      <c r="J251" s="450"/>
    </row>
    <row r="252" spans="1:10" ht="13.2" x14ac:dyDescent="0.25">
      <c r="A252" s="207">
        <f t="shared" si="7"/>
        <v>562</v>
      </c>
      <c r="B252" s="636"/>
      <c r="C252" s="637"/>
      <c r="D252" s="638"/>
      <c r="E252" s="256"/>
      <c r="F252" s="256"/>
      <c r="G252" s="256"/>
      <c r="H252" s="256"/>
      <c r="I252" s="450"/>
      <c r="J252" s="450"/>
    </row>
    <row r="253" spans="1:10" ht="13.2" x14ac:dyDescent="0.25">
      <c r="A253" s="207">
        <f t="shared" si="7"/>
        <v>563</v>
      </c>
      <c r="B253" s="636"/>
      <c r="C253" s="637"/>
      <c r="D253" s="638"/>
      <c r="E253" s="256"/>
      <c r="F253" s="256"/>
      <c r="G253" s="256"/>
      <c r="H253" s="256"/>
      <c r="I253" s="450"/>
      <c r="J253" s="450"/>
    </row>
    <row r="254" spans="1:10" ht="13.2" x14ac:dyDescent="0.25">
      <c r="A254" s="207">
        <f t="shared" si="7"/>
        <v>564</v>
      </c>
      <c r="B254" s="636"/>
      <c r="C254" s="637"/>
      <c r="D254" s="638"/>
      <c r="E254" s="256"/>
      <c r="F254" s="256"/>
      <c r="G254" s="256"/>
      <c r="H254" s="256"/>
      <c r="I254" s="450"/>
      <c r="J254" s="450"/>
    </row>
    <row r="255" spans="1:10" ht="13.2" x14ac:dyDescent="0.25">
      <c r="A255" s="207">
        <f t="shared" si="7"/>
        <v>565</v>
      </c>
      <c r="B255" s="636"/>
      <c r="C255" s="637"/>
      <c r="D255" s="638"/>
      <c r="E255" s="256"/>
      <c r="F255" s="256"/>
      <c r="G255" s="256"/>
      <c r="H255" s="256"/>
      <c r="I255" s="450"/>
      <c r="J255" s="450"/>
    </row>
    <row r="256" spans="1:10" ht="13.2" x14ac:dyDescent="0.25">
      <c r="A256" s="207">
        <f t="shared" si="7"/>
        <v>566</v>
      </c>
      <c r="B256" s="636"/>
      <c r="C256" s="637"/>
      <c r="D256" s="638"/>
      <c r="E256" s="256"/>
      <c r="F256" s="256"/>
      <c r="G256" s="256"/>
      <c r="H256" s="256"/>
      <c r="I256" s="896"/>
      <c r="J256" s="896"/>
    </row>
    <row r="257" spans="1:10" ht="13.2" x14ac:dyDescent="0.25">
      <c r="A257" s="207">
        <f t="shared" si="7"/>
        <v>567</v>
      </c>
      <c r="B257" s="636"/>
      <c r="C257" s="637"/>
      <c r="D257" s="638"/>
      <c r="E257" s="256"/>
      <c r="F257" s="256"/>
      <c r="G257" s="256"/>
      <c r="H257" s="256"/>
      <c r="I257" s="450"/>
      <c r="J257" s="450"/>
    </row>
    <row r="258" spans="1:10" ht="13.2" x14ac:dyDescent="0.25">
      <c r="A258" s="207">
        <f t="shared" si="7"/>
        <v>568</v>
      </c>
      <c r="B258" s="636"/>
      <c r="C258" s="637"/>
      <c r="D258" s="638"/>
      <c r="E258" s="256"/>
      <c r="F258" s="256"/>
      <c r="G258" s="256"/>
      <c r="H258" s="256"/>
      <c r="I258" s="450"/>
      <c r="J258" s="450"/>
    </row>
    <row r="259" spans="1:10" ht="13.2" x14ac:dyDescent="0.25">
      <c r="A259" s="207">
        <f t="shared" si="7"/>
        <v>569</v>
      </c>
      <c r="B259" s="644" t="s">
        <v>565</v>
      </c>
      <c r="C259" s="639"/>
      <c r="D259" s="645"/>
      <c r="E259" s="256"/>
      <c r="F259" s="256"/>
      <c r="G259" s="256"/>
      <c r="H259" s="256"/>
      <c r="I259" s="450"/>
      <c r="J259" s="450"/>
    </row>
    <row r="260" spans="1:10" ht="13.2" x14ac:dyDescent="0.25">
      <c r="A260" s="121"/>
      <c r="B260" s="646"/>
      <c r="C260" s="647"/>
      <c r="D260" s="554"/>
      <c r="E260" s="255"/>
      <c r="F260" s="255"/>
      <c r="G260" s="255"/>
      <c r="H260" s="255"/>
      <c r="I260" s="261"/>
      <c r="J260" s="261"/>
    </row>
    <row r="261" spans="1:10" ht="13.2" x14ac:dyDescent="0.25">
      <c r="A261" s="121">
        <v>650</v>
      </c>
      <c r="B261" s="647"/>
      <c r="C261" s="647" t="s">
        <v>1814</v>
      </c>
      <c r="D261" s="554">
        <f>SUM(D184:D223)+SUM(D230:D258)</f>
        <v>0</v>
      </c>
      <c r="E261" s="554">
        <f>SUM(E184:E223)+SUM(E230:E258)</f>
        <v>0</v>
      </c>
      <c r="F261" s="554">
        <f>SUM(F184:F223)+SUM(F230:F258)</f>
        <v>0</v>
      </c>
      <c r="G261" s="554">
        <f>SUM(G184:G223)+SUM(G230:G258)</f>
        <v>0</v>
      </c>
      <c r="H261" s="554">
        <f>SUM(H184:H223)+SUM(H230:H258)</f>
        <v>0</v>
      </c>
      <c r="I261" s="270" t="str">
        <f>"Sum of Above Lines beginning on Line "&amp;A184&amp;""</f>
        <v>Sum of Above Lines beginning on Line 500</v>
      </c>
      <c r="J261" s="251"/>
    </row>
    <row r="262" spans="1:10" ht="13.2" x14ac:dyDescent="0.25">
      <c r="A262" s="121"/>
      <c r="B262" s="647"/>
      <c r="C262" s="647"/>
      <c r="D262" s="554"/>
      <c r="E262" s="554"/>
      <c r="F262" s="554"/>
      <c r="G262" s="554"/>
      <c r="H262" s="554"/>
      <c r="I262" s="632"/>
      <c r="J262" s="251"/>
    </row>
    <row r="263" spans="1:10" ht="13.2" x14ac:dyDescent="0.25">
      <c r="A263" s="689"/>
      <c r="B263" s="742" t="s">
        <v>1976</v>
      </c>
      <c r="C263" s="647"/>
      <c r="D263" s="554"/>
      <c r="E263" s="253"/>
      <c r="F263" s="253"/>
      <c r="G263" s="253"/>
      <c r="H263" s="253"/>
      <c r="I263" s="1179" t="s">
        <v>2300</v>
      </c>
      <c r="J263" s="251"/>
    </row>
    <row r="264" spans="1:10" x14ac:dyDescent="0.3">
      <c r="A264" s="689"/>
      <c r="C264" s="92" t="s">
        <v>394</v>
      </c>
      <c r="D264" s="92" t="s">
        <v>378</v>
      </c>
      <c r="E264" s="92" t="s">
        <v>379</v>
      </c>
      <c r="F264" s="92" t="s">
        <v>380</v>
      </c>
      <c r="G264" s="92" t="s">
        <v>381</v>
      </c>
      <c r="H264" s="92" t="s">
        <v>382</v>
      </c>
      <c r="I264" s="92" t="s">
        <v>383</v>
      </c>
      <c r="J264" s="251"/>
    </row>
    <row r="265" spans="1:10" ht="13.2" x14ac:dyDescent="0.25">
      <c r="A265" s="207">
        <v>700</v>
      </c>
      <c r="B265" s="903"/>
      <c r="C265" s="900"/>
      <c r="D265" s="905"/>
      <c r="E265" s="894"/>
      <c r="F265" s="894"/>
      <c r="G265" s="894"/>
      <c r="H265" s="894"/>
      <c r="I265" s="895"/>
      <c r="J265" s="895"/>
    </row>
    <row r="266" spans="1:10" ht="13.2" x14ac:dyDescent="0.25">
      <c r="A266" s="207">
        <f t="shared" si="7"/>
        <v>701</v>
      </c>
      <c r="B266" s="903"/>
      <c r="C266" s="900"/>
      <c r="D266" s="905"/>
      <c r="E266" s="894"/>
      <c r="F266" s="894"/>
      <c r="G266" s="894"/>
      <c r="H266" s="894"/>
      <c r="I266" s="895"/>
      <c r="J266" s="895"/>
    </row>
    <row r="267" spans="1:10" ht="13.2" x14ac:dyDescent="0.25">
      <c r="A267" s="207">
        <f t="shared" si="7"/>
        <v>702</v>
      </c>
      <c r="B267" s="903"/>
      <c r="C267" s="900"/>
      <c r="D267" s="905"/>
      <c r="E267" s="894"/>
      <c r="F267" s="894"/>
      <c r="G267" s="894"/>
      <c r="H267" s="894"/>
      <c r="I267" s="895"/>
      <c r="J267" s="895"/>
    </row>
    <row r="268" spans="1:10" ht="13.2" x14ac:dyDescent="0.25">
      <c r="A268" s="207">
        <f t="shared" si="7"/>
        <v>703</v>
      </c>
      <c r="B268" s="903"/>
      <c r="C268" s="900"/>
      <c r="D268" s="905"/>
      <c r="E268" s="894"/>
      <c r="F268" s="894"/>
      <c r="G268" s="894"/>
      <c r="H268" s="894"/>
      <c r="I268" s="895"/>
      <c r="J268" s="895"/>
    </row>
    <row r="269" spans="1:10" ht="13.2" x14ac:dyDescent="0.25">
      <c r="A269" s="207">
        <f t="shared" si="7"/>
        <v>704</v>
      </c>
      <c r="B269" s="903"/>
      <c r="C269" s="900"/>
      <c r="D269" s="905"/>
      <c r="E269" s="894"/>
      <c r="F269" s="894"/>
      <c r="G269" s="894"/>
      <c r="H269" s="894"/>
      <c r="I269" s="895"/>
      <c r="J269" s="895"/>
    </row>
    <row r="270" spans="1:10" ht="13.2" x14ac:dyDescent="0.25">
      <c r="A270" s="207">
        <f t="shared" si="7"/>
        <v>705</v>
      </c>
      <c r="B270" s="903"/>
      <c r="C270" s="900"/>
      <c r="D270" s="905"/>
      <c r="E270" s="894"/>
      <c r="F270" s="894"/>
      <c r="G270" s="894"/>
      <c r="H270" s="894"/>
      <c r="I270" s="895"/>
      <c r="J270" s="895"/>
    </row>
    <row r="271" spans="1:10" ht="13.2" x14ac:dyDescent="0.25">
      <c r="A271" s="207">
        <f t="shared" si="7"/>
        <v>706</v>
      </c>
      <c r="B271" s="906"/>
      <c r="C271" s="900"/>
      <c r="D271" s="905"/>
      <c r="E271" s="894"/>
      <c r="F271" s="894"/>
      <c r="G271" s="894"/>
      <c r="H271" s="894"/>
      <c r="I271" s="895"/>
      <c r="J271" s="895"/>
    </row>
    <row r="272" spans="1:10" ht="13.2" x14ac:dyDescent="0.25">
      <c r="A272" s="207">
        <f t="shared" si="7"/>
        <v>707</v>
      </c>
      <c r="B272" s="636"/>
      <c r="C272" s="637"/>
      <c r="D272" s="638"/>
      <c r="E272" s="256"/>
      <c r="F272" s="256"/>
      <c r="G272" s="256"/>
      <c r="H272" s="256"/>
      <c r="I272" s="450"/>
      <c r="J272" s="450"/>
    </row>
    <row r="273" spans="1:10" ht="13.2" x14ac:dyDescent="0.25">
      <c r="A273" s="207">
        <f t="shared" si="7"/>
        <v>708</v>
      </c>
      <c r="B273" s="636"/>
      <c r="C273" s="637"/>
      <c r="D273" s="638"/>
      <c r="E273" s="256"/>
      <c r="F273" s="256"/>
      <c r="G273" s="256"/>
      <c r="H273" s="256"/>
      <c r="I273" s="450"/>
      <c r="J273" s="450"/>
    </row>
    <row r="274" spans="1:10" ht="13.2" x14ac:dyDescent="0.25">
      <c r="A274" s="207">
        <f t="shared" si="7"/>
        <v>709</v>
      </c>
      <c r="B274" s="636"/>
      <c r="C274" s="637"/>
      <c r="D274" s="638"/>
      <c r="E274" s="256"/>
      <c r="F274" s="256"/>
      <c r="G274" s="256"/>
      <c r="H274" s="256"/>
      <c r="I274" s="450"/>
      <c r="J274" s="450"/>
    </row>
    <row r="275" spans="1:10" ht="13.2" x14ac:dyDescent="0.25">
      <c r="A275" s="207">
        <f t="shared" si="7"/>
        <v>710</v>
      </c>
      <c r="B275" s="636"/>
      <c r="C275" s="637"/>
      <c r="D275" s="638"/>
      <c r="E275" s="256"/>
      <c r="F275" s="256"/>
      <c r="G275" s="256"/>
      <c r="H275" s="256"/>
      <c r="I275" s="450"/>
      <c r="J275" s="450"/>
    </row>
    <row r="276" spans="1:10" ht="13.2" x14ac:dyDescent="0.25">
      <c r="A276" s="207">
        <f t="shared" si="7"/>
        <v>711</v>
      </c>
      <c r="B276" s="636"/>
      <c r="C276" s="637"/>
      <c r="D276" s="638"/>
      <c r="E276" s="256"/>
      <c r="F276" s="256"/>
      <c r="G276" s="256"/>
      <c r="H276" s="256"/>
      <c r="I276" s="450"/>
      <c r="J276" s="450"/>
    </row>
    <row r="277" spans="1:10" ht="13.2" x14ac:dyDescent="0.25">
      <c r="A277" s="207">
        <f t="shared" si="7"/>
        <v>712</v>
      </c>
      <c r="B277" s="636"/>
      <c r="C277" s="637"/>
      <c r="D277" s="638"/>
      <c r="E277" s="256"/>
      <c r="F277" s="256"/>
      <c r="G277" s="256"/>
      <c r="H277" s="256"/>
      <c r="I277" s="450"/>
      <c r="J277" s="450"/>
    </row>
    <row r="278" spans="1:10" ht="13.2" x14ac:dyDescent="0.25">
      <c r="A278" s="207">
        <f t="shared" si="7"/>
        <v>713</v>
      </c>
      <c r="B278" s="648" t="s">
        <v>565</v>
      </c>
      <c r="C278" s="637"/>
      <c r="D278" s="638"/>
      <c r="E278" s="256"/>
      <c r="F278" s="256"/>
      <c r="G278" s="256"/>
      <c r="H278" s="256"/>
      <c r="I278" s="450"/>
      <c r="J278" s="450"/>
    </row>
    <row r="279" spans="1:10" ht="13.2" x14ac:dyDescent="0.25">
      <c r="A279" s="121"/>
      <c r="B279" s="641"/>
      <c r="C279" s="642"/>
      <c r="D279" s="643"/>
      <c r="E279" s="255"/>
      <c r="F279" s="255"/>
      <c r="G279" s="255"/>
      <c r="H279" s="255"/>
      <c r="I279" s="261"/>
      <c r="J279" s="261"/>
    </row>
    <row r="280" spans="1:10" ht="13.2" x14ac:dyDescent="0.25">
      <c r="A280" s="121"/>
      <c r="B280" s="647"/>
      <c r="C280" s="92" t="s">
        <v>394</v>
      </c>
      <c r="D280" s="92" t="s">
        <v>378</v>
      </c>
      <c r="E280" s="92" t="s">
        <v>379</v>
      </c>
      <c r="F280" s="92" t="s">
        <v>380</v>
      </c>
      <c r="G280" s="92" t="s">
        <v>381</v>
      </c>
      <c r="H280" s="92" t="s">
        <v>382</v>
      </c>
      <c r="I280" s="398" t="s">
        <v>198</v>
      </c>
      <c r="J280" s="251"/>
    </row>
    <row r="281" spans="1:10" ht="13.2" x14ac:dyDescent="0.25">
      <c r="A281" s="121">
        <v>800</v>
      </c>
      <c r="B281" s="251"/>
      <c r="C281" s="553" t="s">
        <v>1815</v>
      </c>
      <c r="D281" s="554">
        <f>SUM(D265:D278)</f>
        <v>0</v>
      </c>
      <c r="E281" s="554">
        <f>SUM(E265:E278)</f>
        <v>0</v>
      </c>
      <c r="F281" s="554">
        <f>SUM(F265:F278)</f>
        <v>0</v>
      </c>
      <c r="G281" s="554">
        <f>SUM(G265:G278)</f>
        <v>0</v>
      </c>
      <c r="H281" s="554">
        <f>SUM(H265:H278)</f>
        <v>0</v>
      </c>
      <c r="I281" s="270" t="str">
        <f>"Sum of Above Lines beginning on Line "&amp;A265&amp;""</f>
        <v>Sum of Above Lines beginning on Line 700</v>
      </c>
      <c r="J281" s="251"/>
    </row>
    <row r="282" spans="1:10" ht="13.2" x14ac:dyDescent="0.25">
      <c r="A282" s="121"/>
      <c r="B282" s="251"/>
      <c r="C282" s="553"/>
      <c r="D282" s="554"/>
      <c r="E282" s="554"/>
      <c r="F282" s="554"/>
      <c r="G282" s="554"/>
      <c r="H282" s="554"/>
      <c r="I282" s="270"/>
      <c r="J282" s="251"/>
    </row>
    <row r="283" spans="1:10" ht="13.2" x14ac:dyDescent="0.25">
      <c r="A283" s="121">
        <f>A281+1</f>
        <v>801</v>
      </c>
      <c r="B283" s="251"/>
      <c r="C283" s="553" t="s">
        <v>1816</v>
      </c>
      <c r="D283" s="554">
        <f>D261+D281</f>
        <v>0</v>
      </c>
      <c r="E283" s="554">
        <f t="shared" ref="E283:G283" si="8">E261+E281</f>
        <v>0</v>
      </c>
      <c r="F283" s="554">
        <f t="shared" si="8"/>
        <v>0</v>
      </c>
      <c r="G283" s="554">
        <f t="shared" si="8"/>
        <v>0</v>
      </c>
      <c r="H283" s="554">
        <f>H261+H281</f>
        <v>0</v>
      </c>
      <c r="I283" s="631" t="str">
        <f>"Line "&amp;A261&amp;" + Line "&amp;A281&amp;""</f>
        <v>Line 650 + Line 800</v>
      </c>
      <c r="J283" s="251"/>
    </row>
    <row r="284" spans="1:10" ht="13.2" x14ac:dyDescent="0.25">
      <c r="A284" s="653">
        <f>+A283+1</f>
        <v>802</v>
      </c>
      <c r="B284" s="730"/>
      <c r="C284" s="730" t="s">
        <v>1855</v>
      </c>
      <c r="D284" s="1276"/>
      <c r="E284" s="1276"/>
      <c r="F284" s="748"/>
      <c r="G284" s="750" t="e">
        <f>'27-Allocators'!$G$28</f>
        <v>#DIV/0!</v>
      </c>
      <c r="H284" s="750" t="e">
        <f>'27-Allocators'!$G$15</f>
        <v>#DIV/0!</v>
      </c>
      <c r="I284" s="907" t="str">
        <f>"27-Allocators Lines "&amp;'27-Allocators'!A28&amp;" and "&amp;'27-Allocators'!A15&amp;" respectively."</f>
        <v>27-Allocators Lines 22 and 9 respectively.</v>
      </c>
      <c r="J284" s="251"/>
    </row>
    <row r="285" spans="1:10" ht="13.2" x14ac:dyDescent="0.25">
      <c r="A285" s="653">
        <f>+A284+1</f>
        <v>803</v>
      </c>
      <c r="B285" s="730"/>
      <c r="C285" s="730" t="s">
        <v>1859</v>
      </c>
      <c r="D285" s="748" t="e">
        <f>SUM(F285:H285)</f>
        <v>#DIV/0!</v>
      </c>
      <c r="E285" s="748"/>
      <c r="F285" s="751">
        <f>+F283</f>
        <v>0</v>
      </c>
      <c r="G285" s="751" t="e">
        <f>+G283*G284</f>
        <v>#DIV/0!</v>
      </c>
      <c r="H285" s="751" t="e">
        <f>+H283*H284</f>
        <v>#DIV/0!</v>
      </c>
      <c r="I285" s="631" t="str">
        <f>"Line "&amp;A283&amp;" * Line "&amp;A284&amp;" for Cols 5 and 6.  Col. 4 100% ISO."</f>
        <v>Line 801 * Line 802 for Cols 5 and 6.  Col. 4 100% ISO.</v>
      </c>
      <c r="J285" s="251"/>
    </row>
    <row r="286" spans="1:10" ht="13.2" x14ac:dyDescent="0.25">
      <c r="A286" s="121"/>
      <c r="B286" s="251"/>
      <c r="C286" s="752" t="s">
        <v>1858</v>
      </c>
      <c r="D286" s="554"/>
      <c r="E286" s="554"/>
      <c r="F286" s="554"/>
      <c r="G286" s="554"/>
      <c r="H286" s="554"/>
      <c r="I286" s="631"/>
      <c r="J286" s="253"/>
    </row>
    <row r="287" spans="1:10" ht="13.2" x14ac:dyDescent="0.25">
      <c r="A287" s="121"/>
      <c r="B287" s="251"/>
      <c r="C287" s="553"/>
      <c r="D287" s="554"/>
      <c r="E287" s="554"/>
      <c r="F287" s="554"/>
      <c r="G287" s="554"/>
      <c r="H287" s="554"/>
      <c r="I287" s="631"/>
      <c r="J287" s="251"/>
    </row>
    <row r="288" spans="1:10" x14ac:dyDescent="0.3">
      <c r="A288" s="121">
        <f>A285+1</f>
        <v>804</v>
      </c>
      <c r="C288" s="730" t="s">
        <v>1842</v>
      </c>
      <c r="D288" s="753"/>
      <c r="E288" s="754" t="str">
        <f>"Must match amount on Line "&amp;A283&amp;", Col. 2"</f>
        <v>Must match amount on Line 801, Col. 2</v>
      </c>
      <c r="F288" s="748"/>
      <c r="G288" s="748"/>
      <c r="H288" s="748"/>
      <c r="I288" s="270" t="s">
        <v>1361</v>
      </c>
    </row>
    <row r="289" spans="1:10" x14ac:dyDescent="0.3">
      <c r="A289" s="551"/>
      <c r="B289" s="656"/>
      <c r="C289" s="656"/>
      <c r="D289" s="656"/>
      <c r="E289" s="656"/>
      <c r="F289" s="656"/>
      <c r="G289" s="656"/>
      <c r="H289" s="656"/>
      <c r="I289" s="555"/>
      <c r="J289" s="656"/>
    </row>
    <row r="290" spans="1:10" x14ac:dyDescent="0.3">
      <c r="A290" s="551"/>
      <c r="B290" s="729" t="s">
        <v>1884</v>
      </c>
      <c r="C290" s="656"/>
      <c r="D290" s="656"/>
      <c r="E290" s="656"/>
      <c r="F290" s="656"/>
      <c r="G290" s="656"/>
      <c r="H290" s="656"/>
      <c r="I290" s="656"/>
      <c r="J290" s="656"/>
    </row>
    <row r="291" spans="1:10" x14ac:dyDescent="0.3">
      <c r="A291" s="551"/>
      <c r="B291" s="729"/>
      <c r="C291" s="656"/>
      <c r="D291" s="656"/>
      <c r="E291" s="656"/>
      <c r="F291" s="656"/>
      <c r="G291" s="656"/>
      <c r="H291" s="656"/>
      <c r="I291" s="656"/>
      <c r="J291" s="656"/>
    </row>
    <row r="292" spans="1:10" x14ac:dyDescent="0.3">
      <c r="A292" s="121"/>
      <c r="B292" s="729"/>
      <c r="C292" s="92" t="s">
        <v>394</v>
      </c>
      <c r="D292" s="92" t="s">
        <v>378</v>
      </c>
      <c r="E292" s="92" t="s">
        <v>379</v>
      </c>
      <c r="F292" s="92" t="s">
        <v>380</v>
      </c>
      <c r="G292" s="92" t="s">
        <v>381</v>
      </c>
      <c r="H292" s="92" t="s">
        <v>382</v>
      </c>
      <c r="I292" s="92" t="s">
        <v>383</v>
      </c>
      <c r="J292" s="656"/>
    </row>
    <row r="293" spans="1:10" x14ac:dyDescent="0.3">
      <c r="A293" s="121"/>
      <c r="B293" s="733"/>
      <c r="C293" s="733"/>
      <c r="D293" s="759" t="s">
        <v>1790</v>
      </c>
      <c r="E293" s="759" t="s">
        <v>1791</v>
      </c>
      <c r="F293" s="759"/>
      <c r="G293" s="759"/>
      <c r="H293" s="759" t="s">
        <v>1427</v>
      </c>
      <c r="I293" s="251"/>
      <c r="J293" s="656"/>
    </row>
    <row r="294" spans="1:10" x14ac:dyDescent="0.3">
      <c r="A294" s="121"/>
      <c r="B294" s="737" t="s">
        <v>633</v>
      </c>
      <c r="C294" s="684" t="s">
        <v>1924</v>
      </c>
      <c r="D294" s="760" t="s">
        <v>1794</v>
      </c>
      <c r="E294" s="760" t="s">
        <v>1795</v>
      </c>
      <c r="F294" s="760" t="s">
        <v>1796</v>
      </c>
      <c r="G294" s="760" t="s">
        <v>1797</v>
      </c>
      <c r="H294" s="760" t="s">
        <v>1784</v>
      </c>
      <c r="I294" s="737" t="s">
        <v>111</v>
      </c>
      <c r="J294" s="656"/>
    </row>
    <row r="295" spans="1:10" x14ac:dyDescent="0.3">
      <c r="A295" s="551"/>
      <c r="B295" s="656"/>
      <c r="C295" s="656"/>
      <c r="D295" s="656"/>
      <c r="E295" s="656"/>
      <c r="F295" s="656"/>
      <c r="G295" s="656"/>
      <c r="H295" s="656"/>
      <c r="I295" s="656"/>
      <c r="J295" s="656"/>
    </row>
    <row r="296" spans="1:10" x14ac:dyDescent="0.3">
      <c r="A296" s="121">
        <f>A288+1</f>
        <v>805</v>
      </c>
      <c r="B296" s="663">
        <v>236</v>
      </c>
      <c r="C296" s="553" t="s">
        <v>1854</v>
      </c>
      <c r="D296" s="590"/>
      <c r="E296" s="590"/>
      <c r="F296" s="590"/>
      <c r="G296" s="590"/>
      <c r="H296" s="561"/>
      <c r="I296" s="550" t="s">
        <v>1881</v>
      </c>
      <c r="J296" s="553"/>
    </row>
    <row r="297" spans="1:10" x14ac:dyDescent="0.3">
      <c r="A297" s="121">
        <f>A296+1</f>
        <v>806</v>
      </c>
      <c r="B297" s="663"/>
      <c r="C297" s="553" t="s">
        <v>1880</v>
      </c>
      <c r="D297" s="590"/>
      <c r="E297" s="590"/>
      <c r="F297" s="590"/>
      <c r="G297" s="590"/>
      <c r="H297" s="561"/>
      <c r="I297" s="550" t="s">
        <v>235</v>
      </c>
      <c r="J297" s="553"/>
    </row>
    <row r="298" spans="1:10" x14ac:dyDescent="0.3">
      <c r="A298" s="121">
        <f t="shared" ref="A298:A299" si="9">A297+1</f>
        <v>807</v>
      </c>
      <c r="B298" s="663"/>
      <c r="C298" s="553" t="s">
        <v>1883</v>
      </c>
      <c r="D298" s="566">
        <f>D296+D297</f>
        <v>0</v>
      </c>
      <c r="G298" s="566"/>
      <c r="H298" s="553"/>
      <c r="I298" s="631" t="str">
        <f>"Line "&amp;A296&amp;" + Line "&amp;A297&amp;""</f>
        <v>Line 805 + Line 806</v>
      </c>
      <c r="J298" s="553"/>
    </row>
    <row r="299" spans="1:10" x14ac:dyDescent="0.3">
      <c r="A299" s="121">
        <f t="shared" si="9"/>
        <v>808</v>
      </c>
      <c r="B299" s="656"/>
      <c r="C299" s="730" t="s">
        <v>1932</v>
      </c>
      <c r="D299" s="687"/>
      <c r="E299" s="566"/>
      <c r="F299" s="566"/>
      <c r="G299" s="750" t="e">
        <f>'27-Allocators'!$G$28</f>
        <v>#DIV/0!</v>
      </c>
      <c r="H299" s="664"/>
      <c r="I299" s="555" t="s">
        <v>311</v>
      </c>
      <c r="J299" s="551"/>
    </row>
    <row r="300" spans="1:10" ht="13.2" x14ac:dyDescent="0.25">
      <c r="A300" s="121">
        <f>+A299+1</f>
        <v>809</v>
      </c>
      <c r="B300" s="552"/>
      <c r="C300" s="551" t="s">
        <v>1924</v>
      </c>
      <c r="D300" s="748" t="e">
        <f>E300+G300</f>
        <v>#DIV/0!</v>
      </c>
      <c r="E300" s="751" t="e">
        <f>-(D298+G300)</f>
        <v>#DIV/0!</v>
      </c>
      <c r="F300" s="751"/>
      <c r="G300" s="751" t="e">
        <f>-(D298*G299)</f>
        <v>#DIV/0!</v>
      </c>
      <c r="H300" s="751"/>
      <c r="I300" s="631" t="str">
        <f>"- Line "&amp;A298&amp;" * Line "&amp;A299&amp;""</f>
        <v>- Line 807 * Line 808</v>
      </c>
      <c r="J300" s="551"/>
    </row>
    <row r="301" spans="1:10" x14ac:dyDescent="0.3">
      <c r="A301" s="653"/>
      <c r="B301" s="730"/>
      <c r="C301" s="761" t="s">
        <v>1934</v>
      </c>
      <c r="D301" s="748"/>
      <c r="E301" s="748"/>
      <c r="F301" s="748"/>
      <c r="G301" s="762"/>
      <c r="H301" s="762"/>
      <c r="I301" s="655" t="s">
        <v>1933</v>
      </c>
      <c r="J301" s="656"/>
    </row>
    <row r="302" spans="1:10" x14ac:dyDescent="0.3">
      <c r="A302" s="121"/>
      <c r="B302" s="552"/>
      <c r="C302" s="752"/>
      <c r="D302" s="748"/>
      <c r="E302" s="748"/>
      <c r="F302" s="748"/>
      <c r="G302" s="748"/>
      <c r="H302" s="748"/>
      <c r="I302" s="656"/>
      <c r="J302" s="656"/>
    </row>
    <row r="303" spans="1:10" x14ac:dyDescent="0.3">
      <c r="A303" s="551"/>
      <c r="B303" s="656"/>
      <c r="C303" s="665" t="s">
        <v>1885</v>
      </c>
      <c r="D303" s="656"/>
      <c r="E303" s="656"/>
      <c r="F303" s="656"/>
      <c r="G303" s="656"/>
      <c r="H303" s="656"/>
      <c r="I303" s="656"/>
      <c r="J303" s="656"/>
    </row>
    <row r="304" spans="1:10" x14ac:dyDescent="0.3">
      <c r="B304"/>
      <c r="C304" s="1164" t="s">
        <v>2568</v>
      </c>
      <c r="D304" s="767"/>
      <c r="E304" s="767"/>
      <c r="F304" s="767"/>
      <c r="G304" s="767"/>
      <c r="H304"/>
      <c r="I304"/>
      <c r="J304"/>
    </row>
    <row r="305" spans="2:10" x14ac:dyDescent="0.3">
      <c r="B305"/>
      <c r="C305" s="1164" t="s">
        <v>2561</v>
      </c>
      <c r="D305" s="767"/>
      <c r="E305" s="767"/>
      <c r="F305" s="767"/>
      <c r="G305" s="767"/>
      <c r="H305"/>
      <c r="I305"/>
      <c r="J305"/>
    </row>
    <row r="306" spans="2:10" x14ac:dyDescent="0.3">
      <c r="B306"/>
      <c r="C306" s="1164" t="s">
        <v>2562</v>
      </c>
      <c r="D306" s="767"/>
      <c r="E306" s="767"/>
      <c r="F306" s="767"/>
      <c r="G306" s="767"/>
      <c r="H306"/>
      <c r="I306"/>
      <c r="J306"/>
    </row>
    <row r="307" spans="2:10" x14ac:dyDescent="0.3">
      <c r="B307"/>
      <c r="C307" s="261" t="str">
        <f>"Note 3:  Allocate 'Remaining Amount of FIT Payable' based on Transmission Plant Allocation Factor (27-Allocators, Line "&amp;'27-Allocators'!A28&amp;")"</f>
        <v>Note 3:  Allocate 'Remaining Amount of FIT Payable' based on Transmission Plant Allocation Factor (27-Allocators, Line 22)</v>
      </c>
      <c r="D307" s="767"/>
      <c r="E307" s="767"/>
      <c r="F307" s="767"/>
      <c r="G307" s="767"/>
      <c r="H307"/>
      <c r="I307"/>
      <c r="J307"/>
    </row>
    <row r="308" spans="2:10" x14ac:dyDescent="0.3">
      <c r="B308"/>
      <c r="C308" s="261" t="s">
        <v>1882</v>
      </c>
      <c r="D308" s="767"/>
      <c r="E308" s="767"/>
      <c r="F308" s="767"/>
      <c r="G308" s="767"/>
      <c r="H308"/>
      <c r="I308"/>
      <c r="J308"/>
    </row>
    <row r="309" spans="2:10" x14ac:dyDescent="0.3">
      <c r="B309"/>
      <c r="C309" s="261" t="s">
        <v>2301</v>
      </c>
      <c r="D309" s="261"/>
      <c r="E309" s="261"/>
      <c r="F309" s="261"/>
      <c r="G309" s="261"/>
      <c r="J309"/>
    </row>
    <row r="310" spans="2:10" x14ac:dyDescent="0.3">
      <c r="B310"/>
      <c r="C310" s="261" t="s">
        <v>2302</v>
      </c>
      <c r="D310" s="261"/>
      <c r="E310" s="261"/>
      <c r="F310" s="261"/>
      <c r="G310" s="261"/>
      <c r="J310"/>
    </row>
    <row r="311" spans="2:10" x14ac:dyDescent="0.3">
      <c r="B311"/>
      <c r="C311" s="261"/>
      <c r="D311" s="261"/>
      <c r="E311" s="261"/>
      <c r="F311" s="261"/>
      <c r="G311" s="261"/>
      <c r="J311"/>
    </row>
    <row r="312" spans="2:10" x14ac:dyDescent="0.3">
      <c r="B312"/>
      <c r="C312" s="261" t="s">
        <v>2303</v>
      </c>
      <c r="D312" s="261"/>
      <c r="E312" s="261"/>
      <c r="F312" s="261"/>
      <c r="G312" s="261"/>
      <c r="J312"/>
    </row>
    <row r="313" spans="2:10" x14ac:dyDescent="0.3">
      <c r="B313"/>
      <c r="C313" s="261" t="s">
        <v>2304</v>
      </c>
      <c r="D313" s="261"/>
      <c r="E313" s="261"/>
      <c r="F313" s="261"/>
      <c r="G313" s="261"/>
      <c r="J313"/>
    </row>
    <row r="314" spans="2:10" x14ac:dyDescent="0.3">
      <c r="B314"/>
      <c r="C314" s="261" t="s">
        <v>2305</v>
      </c>
      <c r="D314" s="261"/>
      <c r="E314" s="261"/>
      <c r="F314" s="261"/>
      <c r="G314" s="261"/>
      <c r="J314"/>
    </row>
    <row r="315" spans="2:10" x14ac:dyDescent="0.3">
      <c r="B315"/>
      <c r="C315" s="14"/>
      <c r="D315" s="14"/>
      <c r="E315" s="121" t="s">
        <v>188</v>
      </c>
      <c r="F315" s="14"/>
      <c r="G315" s="1165" t="s">
        <v>73</v>
      </c>
      <c r="J315"/>
    </row>
    <row r="316" spans="2:10" x14ac:dyDescent="0.3">
      <c r="B316"/>
      <c r="C316" s="14"/>
      <c r="D316" s="14"/>
      <c r="E316" s="135" t="s">
        <v>189</v>
      </c>
      <c r="F316" s="14"/>
      <c r="G316" s="135" t="s">
        <v>190</v>
      </c>
      <c r="J316"/>
    </row>
    <row r="317" spans="2:10" ht="14.4" x14ac:dyDescent="0.3">
      <c r="B317"/>
      <c r="C317" s="1180" t="s">
        <v>2306</v>
      </c>
      <c r="D317" s="1181"/>
      <c r="E317" s="553" t="s">
        <v>313</v>
      </c>
      <c r="F317" s="1181"/>
      <c r="G317" s="763"/>
      <c r="I317" s="764"/>
      <c r="J317"/>
    </row>
    <row r="318" spans="2:10" ht="14.4" x14ac:dyDescent="0.3">
      <c r="B318"/>
      <c r="C318" s="1182" t="s">
        <v>2307</v>
      </c>
      <c r="D318" s="1181"/>
      <c r="E318" s="553" t="s">
        <v>2308</v>
      </c>
      <c r="F318" s="1181"/>
      <c r="G318" s="765"/>
      <c r="I318" s="764"/>
      <c r="J318"/>
    </row>
    <row r="319" spans="2:10" ht="14.4" x14ac:dyDescent="0.3">
      <c r="B319"/>
      <c r="C319" s="1182" t="s">
        <v>2309</v>
      </c>
      <c r="D319" s="1181"/>
      <c r="E319" s="553" t="s">
        <v>2310</v>
      </c>
      <c r="F319" s="1181"/>
      <c r="G319" s="766"/>
      <c r="I319" s="764"/>
      <c r="J319"/>
    </row>
    <row r="320" spans="2:10" ht="14.4" x14ac:dyDescent="0.3">
      <c r="B320"/>
      <c r="C320" s="1180" t="s">
        <v>2311</v>
      </c>
      <c r="D320" s="1181"/>
      <c r="E320" s="553" t="s">
        <v>2312</v>
      </c>
      <c r="F320" s="1181"/>
      <c r="G320" s="1184">
        <f>SUM(G317:G319)</f>
        <v>0</v>
      </c>
      <c r="J320"/>
    </row>
    <row r="321" spans="2:10" x14ac:dyDescent="0.3">
      <c r="B321"/>
      <c r="C321" s="124" t="s">
        <v>2313</v>
      </c>
      <c r="D321" s="14"/>
      <c r="E321" s="717" t="s">
        <v>2314</v>
      </c>
      <c r="F321" s="14"/>
      <c r="G321" s="72" t="e">
        <f>(G318+G319)/G320</f>
        <v>#DIV/0!</v>
      </c>
      <c r="J321"/>
    </row>
    <row r="322" spans="2:10" x14ac:dyDescent="0.3">
      <c r="B322"/>
      <c r="C322" s="1158" t="s">
        <v>2315</v>
      </c>
      <c r="D322" s="767"/>
      <c r="E322" s="767"/>
      <c r="F322" s="767"/>
      <c r="G322" s="767"/>
      <c r="J322"/>
    </row>
    <row r="323" spans="2:10" x14ac:dyDescent="0.3">
      <c r="B323"/>
      <c r="C323" s="14"/>
      <c r="D323" s="14"/>
      <c r="E323" s="121" t="s">
        <v>188</v>
      </c>
      <c r="F323" s="14"/>
      <c r="G323" s="1165" t="s">
        <v>73</v>
      </c>
      <c r="J323"/>
    </row>
    <row r="324" spans="2:10" x14ac:dyDescent="0.3">
      <c r="B324"/>
      <c r="C324" s="14"/>
      <c r="D324" s="14"/>
      <c r="E324" s="135" t="s">
        <v>189</v>
      </c>
      <c r="F324" s="14"/>
      <c r="G324" s="135" t="s">
        <v>190</v>
      </c>
      <c r="J324"/>
    </row>
    <row r="325" spans="2:10" ht="14.4" x14ac:dyDescent="0.3">
      <c r="B325"/>
      <c r="C325" s="550" t="s">
        <v>2316</v>
      </c>
      <c r="D325" s="1181"/>
      <c r="E325" s="1181" t="s">
        <v>34</v>
      </c>
      <c r="F325" s="1181"/>
      <c r="G325" s="763"/>
      <c r="I325" s="764"/>
      <c r="J325"/>
    </row>
    <row r="326" spans="2:10" ht="14.4" x14ac:dyDescent="0.3">
      <c r="B326"/>
      <c r="C326" s="1182" t="s">
        <v>2317</v>
      </c>
      <c r="D326" s="1181"/>
      <c r="E326" s="1181" t="s">
        <v>2318</v>
      </c>
      <c r="F326" s="1181"/>
      <c r="G326" s="765"/>
      <c r="J326"/>
    </row>
    <row r="327" spans="2:10" ht="14.4" x14ac:dyDescent="0.3">
      <c r="B327"/>
      <c r="C327" s="1182" t="s">
        <v>2319</v>
      </c>
      <c r="D327" s="1181"/>
      <c r="E327" s="1181" t="s">
        <v>2320</v>
      </c>
      <c r="F327" s="1181"/>
      <c r="G327" s="765"/>
      <c r="I327" s="764"/>
      <c r="J327"/>
    </row>
    <row r="328" spans="2:10" ht="14.4" x14ac:dyDescent="0.3">
      <c r="B328"/>
      <c r="C328" s="550" t="s">
        <v>2321</v>
      </c>
      <c r="D328" s="1181"/>
      <c r="E328" s="553" t="s">
        <v>2322</v>
      </c>
      <c r="F328" s="1181"/>
      <c r="G328" s="1184">
        <f>SUM(G325:G327)</f>
        <v>0</v>
      </c>
      <c r="H328" s="767"/>
      <c r="I328" s="767"/>
      <c r="J328" s="14"/>
    </row>
    <row r="329" spans="2:10" x14ac:dyDescent="0.3">
      <c r="B329"/>
      <c r="C329" s="124" t="s">
        <v>2323</v>
      </c>
      <c r="D329" s="14"/>
      <c r="E329" s="717" t="s">
        <v>2324</v>
      </c>
      <c r="F329" s="14"/>
      <c r="G329" s="72" t="e">
        <f>(G326+G327)/G328</f>
        <v>#DIV/0!</v>
      </c>
      <c r="H329" s="767"/>
      <c r="I329" s="767"/>
      <c r="J329" s="14"/>
    </row>
    <row r="330" spans="2:10" x14ac:dyDescent="0.3">
      <c r="B330"/>
      <c r="C330" s="261" t="s">
        <v>2570</v>
      </c>
      <c r="D330" s="767"/>
      <c r="E330" s="767"/>
      <c r="F330" s="767"/>
      <c r="G330" s="767"/>
      <c r="H330" s="767"/>
      <c r="I330" s="767"/>
      <c r="J330" s="14"/>
    </row>
    <row r="331" spans="2:10" x14ac:dyDescent="0.3">
      <c r="B331"/>
      <c r="C331" s="261" t="s">
        <v>2468</v>
      </c>
      <c r="D331" s="767"/>
      <c r="E331" s="767"/>
      <c r="F331" s="767"/>
      <c r="G331" s="767"/>
      <c r="H331" s="767"/>
      <c r="I331" s="767"/>
      <c r="J331" s="14"/>
    </row>
    <row r="332" spans="2:10" x14ac:dyDescent="0.3">
      <c r="B332"/>
      <c r="C332" s="261" t="s">
        <v>2469</v>
      </c>
      <c r="D332" s="767"/>
      <c r="E332" s="767"/>
      <c r="F332" s="767"/>
      <c r="G332" s="767"/>
      <c r="H332" s="767"/>
      <c r="I332" s="767"/>
      <c r="J332" s="14"/>
    </row>
    <row r="333" spans="2:10" x14ac:dyDescent="0.3">
      <c r="B333"/>
      <c r="C333" s="261" t="s">
        <v>2571</v>
      </c>
      <c r="D333" s="767"/>
      <c r="E333" s="767"/>
      <c r="F333" s="767"/>
      <c r="G333" s="767"/>
      <c r="H333" s="767"/>
      <c r="I333" s="767"/>
      <c r="J333" s="14"/>
    </row>
    <row r="334" spans="2:10" x14ac:dyDescent="0.3">
      <c r="C334" s="553" t="s">
        <v>2572</v>
      </c>
      <c r="D334" s="1183"/>
      <c r="E334" s="1183"/>
      <c r="F334" s="1183"/>
      <c r="G334" s="1183"/>
      <c r="H334" s="1183"/>
      <c r="I334" s="1183"/>
      <c r="J334" s="767"/>
    </row>
    <row r="337" spans="3:3" ht="15.6" x14ac:dyDescent="0.3">
      <c r="C337" s="722"/>
    </row>
  </sheetData>
  <protectedRanges>
    <protectedRange password="F1C4" sqref="D20:E30 F32:F33 F25:F30 F45 B58:E59 F58 D65 F65 B89 J33 J35 I59 I160 I63:I64 I71 I79:I90 I197:I211 I219:I220 I223 I230:I237 I240:I243 I245:I255 I94:I111 I213:I216 B7:C12 F20 E15:E19 D14:D15 D17:D18 B14:C30 B13 J32 J34" name="AAReport1_23_1_1_2"/>
    <protectedRange password="F1C4" sqref="D19" name="AAReport1_23_1_1_1_1"/>
  </protectedRanges>
  <phoneticPr fontId="12" type="noConversion"/>
  <conditionalFormatting sqref="B210">
    <cfRule type="expression" dxfId="10" priority="4" stopIfTrue="1">
      <formula>Formulas</formula>
    </cfRule>
  </conditionalFormatting>
  <conditionalFormatting sqref="B184:B209 B265:B279 D265:D279 D230:D258 B230:B258 B211:B224 D184:D224">
    <cfRule type="expression" dxfId="9" priority="5" stopIfTrue="1">
      <formula>Formulas</formula>
    </cfRule>
  </conditionalFormatting>
  <conditionalFormatting sqref="C184:C209 C265:C279 C230:C258 C211:C224">
    <cfRule type="expression" dxfId="8" priority="3" stopIfTrue="1">
      <formula>#REF!&lt;&gt;""</formula>
    </cfRule>
  </conditionalFormatting>
  <conditionalFormatting sqref="C210">
    <cfRule type="expression" dxfId="7" priority="2" stopIfTrue="1">
      <formula>#REF!&lt;&gt;""</formula>
    </cfRule>
  </conditionalFormatting>
  <conditionalFormatting sqref="C159">
    <cfRule type="expression" dxfId="6" priority="1" stopIfTrue="1">
      <formula>#REF!&lt;&gt;""</formula>
    </cfRule>
  </conditionalFormatting>
  <pageMargins left="0.75" right="0.75" top="1" bottom="1" header="0.5" footer="0.5"/>
  <pageSetup scale="65" orientation="landscape" cellComments="asDisplayed" r:id="rId1"/>
  <headerFooter alignWithMargins="0">
    <oddHeader>&amp;CSchedule 9
ADIT
&amp;"Arial,Bold"Attachment 5</oddHeader>
    <oddFooter>&amp;R&amp;A</oddFooter>
  </headerFooter>
  <rowBreaks count="6" manualBreakCount="6">
    <brk id="24" max="16383" man="1"/>
    <brk id="73" max="16383" man="1"/>
    <brk id="115" max="16383" man="1"/>
    <brk id="169" max="16383" man="1"/>
    <brk id="224" max="16383" man="1"/>
    <brk id="279"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8"/>
  <sheetViews>
    <sheetView topLeftCell="A397" zoomScaleNormal="100" workbookViewId="0"/>
  </sheetViews>
  <sheetFormatPr defaultRowHeight="13.2" x14ac:dyDescent="0.25"/>
  <cols>
    <col min="1" max="1" width="4.6640625" style="14" customWidth="1"/>
    <col min="2" max="2" width="12.6640625" customWidth="1"/>
    <col min="3" max="3" width="8.6640625" customWidth="1"/>
    <col min="4" max="4" width="15.109375" bestFit="1" customWidth="1"/>
    <col min="5" max="5" width="18.6640625" customWidth="1"/>
    <col min="6" max="6" width="16.109375" customWidth="1"/>
    <col min="7" max="7" width="13.44140625" customWidth="1"/>
    <col min="8" max="8" width="13.5546875" bestFit="1" customWidth="1"/>
    <col min="9" max="9" width="17.109375" customWidth="1"/>
    <col min="10" max="10" width="15.44140625" customWidth="1"/>
    <col min="11" max="11" width="17.33203125" customWidth="1"/>
    <col min="12" max="12" width="14.6640625" style="14" bestFit="1" customWidth="1"/>
    <col min="13" max="13" width="13.109375" bestFit="1" customWidth="1"/>
  </cols>
  <sheetData>
    <row r="1" spans="1:12" x14ac:dyDescent="0.25">
      <c r="A1" s="45" t="s">
        <v>596</v>
      </c>
      <c r="K1" s="1"/>
    </row>
    <row r="2" spans="1:12" x14ac:dyDescent="0.25">
      <c r="A2" s="45"/>
      <c r="K2" s="1"/>
    </row>
    <row r="3" spans="1:12" x14ac:dyDescent="0.25">
      <c r="A3" s="45"/>
      <c r="B3" s="551" t="s">
        <v>1045</v>
      </c>
      <c r="K3" s="1"/>
    </row>
    <row r="4" spans="1:12" x14ac:dyDescent="0.25">
      <c r="B4" s="551" t="s">
        <v>600</v>
      </c>
      <c r="K4" s="1"/>
      <c r="L4" s="553"/>
    </row>
    <row r="5" spans="1:12" x14ac:dyDescent="0.25">
      <c r="B5" s="551"/>
      <c r="K5" s="1"/>
    </row>
    <row r="6" spans="1:12" x14ac:dyDescent="0.25">
      <c r="A6" s="553"/>
      <c r="B6" s="1" t="s">
        <v>1374</v>
      </c>
      <c r="K6" s="1"/>
    </row>
    <row r="7" spans="1:12" x14ac:dyDescent="0.25">
      <c r="A7" s="553"/>
      <c r="B7" s="1"/>
      <c r="D7" s="92" t="s">
        <v>394</v>
      </c>
      <c r="E7" s="92" t="s">
        <v>378</v>
      </c>
      <c r="F7" s="92" t="s">
        <v>379</v>
      </c>
      <c r="G7" s="92" t="s">
        <v>380</v>
      </c>
      <c r="H7" s="92" t="s">
        <v>381</v>
      </c>
      <c r="I7" s="92" t="s">
        <v>382</v>
      </c>
      <c r="J7" s="388"/>
      <c r="K7" s="1"/>
      <c r="L7" s="388"/>
    </row>
    <row r="8" spans="1:12" x14ac:dyDescent="0.25">
      <c r="D8" s="552" t="s">
        <v>1080</v>
      </c>
      <c r="J8" s="14"/>
      <c r="K8" s="14"/>
    </row>
    <row r="9" spans="1:12" x14ac:dyDescent="0.25">
      <c r="D9" s="574" t="s">
        <v>604</v>
      </c>
      <c r="J9" s="14"/>
      <c r="K9" s="14"/>
    </row>
    <row r="10" spans="1:12" x14ac:dyDescent="0.25">
      <c r="B10" s="689"/>
      <c r="J10" s="14"/>
      <c r="K10" s="14"/>
    </row>
    <row r="11" spans="1:12" x14ac:dyDescent="0.25">
      <c r="B11" s="689"/>
      <c r="D11" s="689" t="s">
        <v>19</v>
      </c>
      <c r="F11" s="689" t="s">
        <v>374</v>
      </c>
      <c r="G11" s="689" t="s">
        <v>377</v>
      </c>
      <c r="H11" s="689"/>
      <c r="I11" s="689"/>
      <c r="J11" s="121"/>
      <c r="K11" s="551"/>
    </row>
    <row r="12" spans="1:12" x14ac:dyDescent="0.25">
      <c r="A12" s="1139" t="s">
        <v>360</v>
      </c>
      <c r="B12" s="768" t="s">
        <v>211</v>
      </c>
      <c r="C12" s="768" t="s">
        <v>212</v>
      </c>
      <c r="D12" s="3" t="s">
        <v>598</v>
      </c>
      <c r="E12" s="3" t="s">
        <v>249</v>
      </c>
      <c r="F12" s="3" t="s">
        <v>375</v>
      </c>
      <c r="G12" s="3" t="s">
        <v>376</v>
      </c>
      <c r="H12" s="3" t="s">
        <v>601</v>
      </c>
      <c r="I12" s="3" t="s">
        <v>602</v>
      </c>
      <c r="J12" s="135"/>
      <c r="K12" s="551"/>
    </row>
    <row r="13" spans="1:12" x14ac:dyDescent="0.25">
      <c r="A13" s="121">
        <v>1</v>
      </c>
      <c r="B13" s="769" t="s">
        <v>199</v>
      </c>
      <c r="C13" s="770"/>
      <c r="D13" s="7">
        <f>SUM(E13:I13)+SUM(D33:G33)</f>
        <v>0</v>
      </c>
      <c r="E13" s="618"/>
      <c r="F13" s="117"/>
      <c r="G13" s="117"/>
      <c r="H13" s="117"/>
      <c r="I13" s="117"/>
      <c r="J13" s="771"/>
    </row>
    <row r="14" spans="1:12" x14ac:dyDescent="0.25">
      <c r="A14" s="121">
        <f>A13+1</f>
        <v>2</v>
      </c>
      <c r="B14" s="769" t="s">
        <v>200</v>
      </c>
      <c r="C14" s="770"/>
      <c r="D14" s="7">
        <f t="shared" ref="D14:D25" si="0">SUM(E14:I14)+SUM(D34:G34)</f>
        <v>0</v>
      </c>
      <c r="E14" s="618"/>
      <c r="F14" s="117"/>
      <c r="G14" s="117"/>
      <c r="H14" s="117"/>
      <c r="I14" s="117"/>
      <c r="J14" s="771"/>
    </row>
    <row r="15" spans="1:12" x14ac:dyDescent="0.25">
      <c r="A15" s="121">
        <f t="shared" ref="A15:A26" si="1">A14+1</f>
        <v>3</v>
      </c>
      <c r="B15" s="772" t="s">
        <v>201</v>
      </c>
      <c r="C15" s="770"/>
      <c r="D15" s="7">
        <f t="shared" si="0"/>
        <v>0</v>
      </c>
      <c r="E15" s="618"/>
      <c r="F15" s="117"/>
      <c r="G15" s="117"/>
      <c r="H15" s="117"/>
      <c r="I15" s="117"/>
      <c r="J15" s="771"/>
    </row>
    <row r="16" spans="1:12" x14ac:dyDescent="0.25">
      <c r="A16" s="121">
        <f t="shared" si="1"/>
        <v>4</v>
      </c>
      <c r="B16" s="772" t="s">
        <v>214</v>
      </c>
      <c r="C16" s="770"/>
      <c r="D16" s="7">
        <f t="shared" si="0"/>
        <v>0</v>
      </c>
      <c r="E16" s="618"/>
      <c r="F16" s="117"/>
      <c r="G16" s="117"/>
      <c r="H16" s="117"/>
      <c r="I16" s="117"/>
      <c r="J16" s="771"/>
    </row>
    <row r="17" spans="1:11" x14ac:dyDescent="0.25">
      <c r="A17" s="121">
        <f t="shared" si="1"/>
        <v>5</v>
      </c>
      <c r="B17" s="769" t="s">
        <v>202</v>
      </c>
      <c r="C17" s="770"/>
      <c r="D17" s="7">
        <f t="shared" si="0"/>
        <v>0</v>
      </c>
      <c r="E17" s="618"/>
      <c r="F17" s="117"/>
      <c r="G17" s="117"/>
      <c r="H17" s="117"/>
      <c r="I17" s="117"/>
      <c r="J17" s="771"/>
    </row>
    <row r="18" spans="1:11" x14ac:dyDescent="0.25">
      <c r="A18" s="121">
        <f t="shared" si="1"/>
        <v>6</v>
      </c>
      <c r="B18" s="772" t="s">
        <v>203</v>
      </c>
      <c r="C18" s="770"/>
      <c r="D18" s="7">
        <f t="shared" si="0"/>
        <v>0</v>
      </c>
      <c r="E18" s="618"/>
      <c r="F18" s="117"/>
      <c r="G18" s="117"/>
      <c r="H18" s="117"/>
      <c r="I18" s="117"/>
      <c r="J18" s="771"/>
    </row>
    <row r="19" spans="1:11" x14ac:dyDescent="0.25">
      <c r="A19" s="121">
        <f t="shared" si="1"/>
        <v>7</v>
      </c>
      <c r="B19" s="772" t="s">
        <v>204</v>
      </c>
      <c r="C19" s="770"/>
      <c r="D19" s="7">
        <f t="shared" si="0"/>
        <v>0</v>
      </c>
      <c r="E19" s="618"/>
      <c r="F19" s="117"/>
      <c r="G19" s="117"/>
      <c r="H19" s="117"/>
      <c r="I19" s="117"/>
      <c r="J19" s="771"/>
    </row>
    <row r="20" spans="1:11" x14ac:dyDescent="0.25">
      <c r="A20" s="121">
        <f t="shared" si="1"/>
        <v>8</v>
      </c>
      <c r="B20" s="769" t="s">
        <v>205</v>
      </c>
      <c r="C20" s="770"/>
      <c r="D20" s="7">
        <f t="shared" si="0"/>
        <v>0</v>
      </c>
      <c r="E20" s="618"/>
      <c r="F20" s="117"/>
      <c r="G20" s="117"/>
      <c r="H20" s="117"/>
      <c r="I20" s="117"/>
      <c r="J20" s="771"/>
    </row>
    <row r="21" spans="1:11" x14ac:dyDescent="0.25">
      <c r="A21" s="121">
        <f t="shared" si="1"/>
        <v>9</v>
      </c>
      <c r="B21" s="772" t="s">
        <v>206</v>
      </c>
      <c r="C21" s="770"/>
      <c r="D21" s="7">
        <f t="shared" si="0"/>
        <v>0</v>
      </c>
      <c r="E21" s="618"/>
      <c r="F21" s="117"/>
      <c r="G21" s="117"/>
      <c r="H21" s="117"/>
      <c r="I21" s="117"/>
      <c r="J21" s="771"/>
    </row>
    <row r="22" spans="1:11" x14ac:dyDescent="0.25">
      <c r="A22" s="121">
        <f t="shared" si="1"/>
        <v>10</v>
      </c>
      <c r="B22" s="772" t="s">
        <v>207</v>
      </c>
      <c r="C22" s="770"/>
      <c r="D22" s="7">
        <f t="shared" si="0"/>
        <v>0</v>
      </c>
      <c r="E22" s="618"/>
      <c r="F22" s="117"/>
      <c r="G22" s="117"/>
      <c r="H22" s="117"/>
      <c r="I22" s="117"/>
      <c r="J22" s="771"/>
    </row>
    <row r="23" spans="1:11" x14ac:dyDescent="0.25">
      <c r="A23" s="121">
        <f t="shared" si="1"/>
        <v>11</v>
      </c>
      <c r="B23" s="769" t="s">
        <v>208</v>
      </c>
      <c r="C23" s="770"/>
      <c r="D23" s="7">
        <f t="shared" si="0"/>
        <v>0</v>
      </c>
      <c r="E23" s="618"/>
      <c r="F23" s="117"/>
      <c r="G23" s="117"/>
      <c r="H23" s="117"/>
      <c r="I23" s="117"/>
      <c r="J23" s="771"/>
    </row>
    <row r="24" spans="1:11" x14ac:dyDescent="0.25">
      <c r="A24" s="121">
        <f t="shared" si="1"/>
        <v>12</v>
      </c>
      <c r="B24" s="769" t="s">
        <v>209</v>
      </c>
      <c r="C24" s="770"/>
      <c r="D24" s="7">
        <f t="shared" si="0"/>
        <v>0</v>
      </c>
      <c r="E24" s="618"/>
      <c r="F24" s="117"/>
      <c r="G24" s="117"/>
      <c r="H24" s="117"/>
      <c r="I24" s="117"/>
      <c r="J24" s="771"/>
    </row>
    <row r="25" spans="1:11" x14ac:dyDescent="0.25">
      <c r="A25" s="121">
        <f t="shared" si="1"/>
        <v>13</v>
      </c>
      <c r="B25" s="769" t="s">
        <v>199</v>
      </c>
      <c r="C25" s="770"/>
      <c r="D25" s="99">
        <f t="shared" si="0"/>
        <v>0</v>
      </c>
      <c r="E25" s="469"/>
      <c r="F25" s="127"/>
      <c r="G25" s="127"/>
      <c r="H25" s="127"/>
      <c r="I25" s="127"/>
      <c r="J25" s="771"/>
    </row>
    <row r="26" spans="1:11" x14ac:dyDescent="0.25">
      <c r="A26" s="121">
        <f t="shared" si="1"/>
        <v>14</v>
      </c>
      <c r="B26" s="769"/>
      <c r="C26" s="773" t="s">
        <v>599</v>
      </c>
      <c r="D26" s="615">
        <f t="shared" ref="D26:I26" si="2">SUM(D13:D25)/13</f>
        <v>0</v>
      </c>
      <c r="E26" s="615">
        <f>SUM(E13:E25)/13</f>
        <v>0</v>
      </c>
      <c r="F26" s="615">
        <f t="shared" si="2"/>
        <v>0</v>
      </c>
      <c r="G26" s="615">
        <f t="shared" si="2"/>
        <v>0</v>
      </c>
      <c r="H26" s="615">
        <f t="shared" si="2"/>
        <v>0</v>
      </c>
      <c r="I26" s="615">
        <f t="shared" si="2"/>
        <v>0</v>
      </c>
      <c r="J26" s="771"/>
      <c r="K26" s="771"/>
    </row>
    <row r="27" spans="1:11" x14ac:dyDescent="0.25">
      <c r="A27" s="121"/>
      <c r="B27" s="769"/>
      <c r="C27" s="773"/>
      <c r="D27" s="615"/>
      <c r="E27" s="615"/>
      <c r="F27" s="615"/>
      <c r="G27" s="615"/>
      <c r="H27" s="615"/>
      <c r="I27" s="771"/>
      <c r="J27" s="555"/>
      <c r="K27" s="771"/>
    </row>
    <row r="28" spans="1:11" x14ac:dyDescent="0.25">
      <c r="A28" s="121"/>
      <c r="B28" s="769"/>
      <c r="C28" s="773"/>
      <c r="D28" s="92" t="s">
        <v>383</v>
      </c>
      <c r="E28" s="92" t="s">
        <v>597</v>
      </c>
      <c r="F28" s="92" t="s">
        <v>1046</v>
      </c>
      <c r="G28" s="92" t="s">
        <v>1062</v>
      </c>
      <c r="H28" s="92" t="s">
        <v>1065</v>
      </c>
      <c r="I28" s="92" t="s">
        <v>1083</v>
      </c>
      <c r="J28" s="555"/>
      <c r="K28" s="771"/>
    </row>
    <row r="29" spans="1:11" x14ac:dyDescent="0.25">
      <c r="A29" s="121"/>
      <c r="B29" s="769"/>
      <c r="C29" s="773"/>
      <c r="E29" s="389" t="s">
        <v>1084</v>
      </c>
      <c r="F29" s="389"/>
      <c r="G29" s="389"/>
      <c r="H29" s="615"/>
      <c r="I29" s="771"/>
      <c r="J29" s="555"/>
      <c r="K29" s="771"/>
    </row>
    <row r="30" spans="1:11" x14ac:dyDescent="0.25">
      <c r="B30" s="689"/>
      <c r="D30" s="689" t="s">
        <v>1081</v>
      </c>
      <c r="E30" s="689" t="s">
        <v>1085</v>
      </c>
      <c r="F30" s="389"/>
      <c r="G30" s="389"/>
      <c r="H30" s="615"/>
      <c r="I30" s="771"/>
      <c r="J30" s="555"/>
      <c r="K30" s="771"/>
    </row>
    <row r="31" spans="1:11" x14ac:dyDescent="0.25">
      <c r="B31" s="689"/>
      <c r="D31" s="689" t="s">
        <v>473</v>
      </c>
      <c r="E31" s="689" t="s">
        <v>473</v>
      </c>
      <c r="F31" s="389" t="s">
        <v>1087</v>
      </c>
      <c r="G31" s="389" t="s">
        <v>1088</v>
      </c>
      <c r="H31" s="615"/>
      <c r="I31" s="771"/>
      <c r="J31" s="771"/>
      <c r="K31" s="771"/>
    </row>
    <row r="32" spans="1:11" x14ac:dyDescent="0.25">
      <c r="A32" s="1139" t="s">
        <v>360</v>
      </c>
      <c r="B32" s="768" t="s">
        <v>211</v>
      </c>
      <c r="C32" s="768" t="s">
        <v>212</v>
      </c>
      <c r="D32" s="3" t="s">
        <v>1082</v>
      </c>
      <c r="E32" s="3" t="s">
        <v>1082</v>
      </c>
      <c r="F32" s="390" t="s">
        <v>1086</v>
      </c>
      <c r="G32" s="390" t="s">
        <v>1089</v>
      </c>
      <c r="H32" s="391"/>
      <c r="I32" s="391"/>
      <c r="J32" s="771"/>
      <c r="K32" s="771"/>
    </row>
    <row r="33" spans="1:11" x14ac:dyDescent="0.25">
      <c r="A33" s="121">
        <f>+A26+1</f>
        <v>15</v>
      </c>
      <c r="B33" s="769" t="s">
        <v>199</v>
      </c>
      <c r="C33" s="770"/>
      <c r="D33" s="117"/>
      <c r="E33" s="117"/>
      <c r="F33" s="117"/>
      <c r="G33" s="117"/>
      <c r="H33" s="774" t="s">
        <v>86</v>
      </c>
      <c r="I33" s="774" t="s">
        <v>86</v>
      </c>
      <c r="J33" s="771"/>
      <c r="K33" s="771"/>
    </row>
    <row r="34" spans="1:11" x14ac:dyDescent="0.25">
      <c r="A34" s="121">
        <f>A33+1</f>
        <v>16</v>
      </c>
      <c r="B34" s="769" t="s">
        <v>200</v>
      </c>
      <c r="C34" s="770"/>
      <c r="D34" s="117"/>
      <c r="E34" s="117"/>
      <c r="F34" s="117"/>
      <c r="G34" s="117"/>
      <c r="H34" s="774" t="s">
        <v>86</v>
      </c>
      <c r="I34" s="774" t="s">
        <v>86</v>
      </c>
      <c r="J34" s="771"/>
      <c r="K34" s="771"/>
    </row>
    <row r="35" spans="1:11" x14ac:dyDescent="0.25">
      <c r="A35" s="121">
        <f t="shared" ref="A35:A46" si="3">A34+1</f>
        <v>17</v>
      </c>
      <c r="B35" s="772" t="s">
        <v>201</v>
      </c>
      <c r="C35" s="770"/>
      <c r="D35" s="117"/>
      <c r="E35" s="117"/>
      <c r="F35" s="117"/>
      <c r="G35" s="117"/>
      <c r="H35" s="774" t="s">
        <v>86</v>
      </c>
      <c r="I35" s="774" t="s">
        <v>86</v>
      </c>
      <c r="J35" s="771"/>
      <c r="K35" s="771"/>
    </row>
    <row r="36" spans="1:11" x14ac:dyDescent="0.25">
      <c r="A36" s="121">
        <f t="shared" si="3"/>
        <v>18</v>
      </c>
      <c r="B36" s="772" t="s">
        <v>214</v>
      </c>
      <c r="C36" s="770"/>
      <c r="D36" s="117"/>
      <c r="E36" s="117"/>
      <c r="F36" s="117"/>
      <c r="G36" s="117"/>
      <c r="H36" s="774" t="s">
        <v>86</v>
      </c>
      <c r="I36" s="774" t="s">
        <v>86</v>
      </c>
      <c r="J36" s="771"/>
      <c r="K36" s="771"/>
    </row>
    <row r="37" spans="1:11" x14ac:dyDescent="0.25">
      <c r="A37" s="121">
        <f t="shared" si="3"/>
        <v>19</v>
      </c>
      <c r="B37" s="769" t="s">
        <v>202</v>
      </c>
      <c r="C37" s="770"/>
      <c r="D37" s="117"/>
      <c r="E37" s="117"/>
      <c r="F37" s="117"/>
      <c r="G37" s="117"/>
      <c r="H37" s="774" t="s">
        <v>86</v>
      </c>
      <c r="I37" s="774" t="s">
        <v>86</v>
      </c>
      <c r="J37" s="771"/>
      <c r="K37" s="771"/>
    </row>
    <row r="38" spans="1:11" x14ac:dyDescent="0.25">
      <c r="A38" s="121">
        <f t="shared" si="3"/>
        <v>20</v>
      </c>
      <c r="B38" s="772" t="s">
        <v>203</v>
      </c>
      <c r="C38" s="770"/>
      <c r="D38" s="117"/>
      <c r="E38" s="117"/>
      <c r="F38" s="117"/>
      <c r="G38" s="117"/>
      <c r="H38" s="774" t="s">
        <v>86</v>
      </c>
      <c r="I38" s="774" t="s">
        <v>86</v>
      </c>
      <c r="J38" s="771"/>
      <c r="K38" s="771"/>
    </row>
    <row r="39" spans="1:11" x14ac:dyDescent="0.25">
      <c r="A39" s="121">
        <f t="shared" si="3"/>
        <v>21</v>
      </c>
      <c r="B39" s="772" t="s">
        <v>204</v>
      </c>
      <c r="C39" s="770"/>
      <c r="D39" s="117"/>
      <c r="E39" s="117"/>
      <c r="F39" s="117"/>
      <c r="G39" s="117"/>
      <c r="H39" s="774" t="s">
        <v>86</v>
      </c>
      <c r="I39" s="774" t="s">
        <v>86</v>
      </c>
      <c r="J39" s="771"/>
      <c r="K39" s="771"/>
    </row>
    <row r="40" spans="1:11" x14ac:dyDescent="0.25">
      <c r="A40" s="121">
        <f t="shared" si="3"/>
        <v>22</v>
      </c>
      <c r="B40" s="769" t="s">
        <v>205</v>
      </c>
      <c r="C40" s="770"/>
      <c r="D40" s="117"/>
      <c r="E40" s="117"/>
      <c r="F40" s="117"/>
      <c r="G40" s="117"/>
      <c r="H40" s="774" t="s">
        <v>86</v>
      </c>
      <c r="I40" s="774" t="s">
        <v>86</v>
      </c>
      <c r="J40" s="771"/>
      <c r="K40" s="771"/>
    </row>
    <row r="41" spans="1:11" x14ac:dyDescent="0.25">
      <c r="A41" s="121">
        <f t="shared" si="3"/>
        <v>23</v>
      </c>
      <c r="B41" s="772" t="s">
        <v>206</v>
      </c>
      <c r="C41" s="770"/>
      <c r="D41" s="117"/>
      <c r="E41" s="117"/>
      <c r="F41" s="117"/>
      <c r="G41" s="117"/>
      <c r="H41" s="774" t="s">
        <v>86</v>
      </c>
      <c r="I41" s="774" t="s">
        <v>86</v>
      </c>
      <c r="J41" s="771"/>
      <c r="K41" s="771"/>
    </row>
    <row r="42" spans="1:11" x14ac:dyDescent="0.25">
      <c r="A42" s="121">
        <f t="shared" si="3"/>
        <v>24</v>
      </c>
      <c r="B42" s="772" t="s">
        <v>207</v>
      </c>
      <c r="C42" s="770"/>
      <c r="D42" s="117"/>
      <c r="E42" s="117"/>
      <c r="F42" s="117"/>
      <c r="G42" s="117"/>
      <c r="H42" s="774" t="s">
        <v>86</v>
      </c>
      <c r="I42" s="774" t="s">
        <v>86</v>
      </c>
      <c r="J42" s="771"/>
      <c r="K42" s="771"/>
    </row>
    <row r="43" spans="1:11" x14ac:dyDescent="0.25">
      <c r="A43" s="121">
        <f t="shared" si="3"/>
        <v>25</v>
      </c>
      <c r="B43" s="769" t="s">
        <v>208</v>
      </c>
      <c r="C43" s="770"/>
      <c r="D43" s="117"/>
      <c r="E43" s="117"/>
      <c r="F43" s="117"/>
      <c r="G43" s="117"/>
      <c r="H43" s="774" t="s">
        <v>86</v>
      </c>
      <c r="I43" s="774" t="s">
        <v>86</v>
      </c>
      <c r="J43" s="771"/>
      <c r="K43" s="771"/>
    </row>
    <row r="44" spans="1:11" x14ac:dyDescent="0.25">
      <c r="A44" s="121">
        <f t="shared" si="3"/>
        <v>26</v>
      </c>
      <c r="B44" s="769" t="s">
        <v>209</v>
      </c>
      <c r="C44" s="770"/>
      <c r="D44" s="117"/>
      <c r="E44" s="117"/>
      <c r="F44" s="117"/>
      <c r="G44" s="117"/>
      <c r="H44" s="774" t="s">
        <v>86</v>
      </c>
      <c r="I44" s="774" t="s">
        <v>86</v>
      </c>
      <c r="J44" s="771"/>
      <c r="K44" s="771"/>
    </row>
    <row r="45" spans="1:11" x14ac:dyDescent="0.25">
      <c r="A45" s="121">
        <f t="shared" si="3"/>
        <v>27</v>
      </c>
      <c r="B45" s="769" t="s">
        <v>199</v>
      </c>
      <c r="C45" s="770"/>
      <c r="D45" s="127"/>
      <c r="E45" s="127"/>
      <c r="F45" s="127"/>
      <c r="G45" s="127"/>
      <c r="H45" s="774" t="s">
        <v>86</v>
      </c>
      <c r="I45" s="774" t="s">
        <v>86</v>
      </c>
      <c r="J45" s="771"/>
      <c r="K45" s="771"/>
    </row>
    <row r="46" spans="1:11" x14ac:dyDescent="0.25">
      <c r="A46" s="121">
        <f t="shared" si="3"/>
        <v>28</v>
      </c>
      <c r="B46" s="769"/>
      <c r="C46" s="773" t="s">
        <v>599</v>
      </c>
      <c r="D46" s="615">
        <f>SUM(D33:D45)/13</f>
        <v>0</v>
      </c>
      <c r="E46" s="615">
        <f>SUM(E33:E45)/13</f>
        <v>0</v>
      </c>
      <c r="F46" s="615">
        <f>SUM(F33:F45)/13</f>
        <v>0</v>
      </c>
      <c r="G46" s="615">
        <f>SUM(G33:G45)/13</f>
        <v>0</v>
      </c>
      <c r="H46" s="775" t="s">
        <v>86</v>
      </c>
      <c r="I46" s="775" t="s">
        <v>86</v>
      </c>
      <c r="J46" s="771"/>
      <c r="K46" s="771"/>
    </row>
    <row r="48" spans="1:11" x14ac:dyDescent="0.25">
      <c r="B48" s="776" t="s">
        <v>2342</v>
      </c>
    </row>
    <row r="49" spans="1:13" x14ac:dyDescent="0.25">
      <c r="B49" s="776"/>
      <c r="D49" s="804" t="s">
        <v>394</v>
      </c>
      <c r="E49" s="804" t="s">
        <v>378</v>
      </c>
      <c r="F49" s="804" t="s">
        <v>379</v>
      </c>
      <c r="G49" s="804" t="s">
        <v>380</v>
      </c>
      <c r="H49" s="804" t="s">
        <v>381</v>
      </c>
      <c r="I49" s="804" t="s">
        <v>382</v>
      </c>
      <c r="J49" s="804" t="s">
        <v>383</v>
      </c>
      <c r="K49" s="804" t="s">
        <v>597</v>
      </c>
    </row>
    <row r="50" spans="1:13" s="805" customFormat="1" x14ac:dyDescent="0.25">
      <c r="A50" s="1075"/>
      <c r="D50" s="552" t="s">
        <v>235</v>
      </c>
      <c r="E50" s="552" t="s">
        <v>235</v>
      </c>
      <c r="F50" s="552" t="s">
        <v>235</v>
      </c>
      <c r="G50" s="552" t="s">
        <v>235</v>
      </c>
      <c r="H50" s="552" t="s">
        <v>235</v>
      </c>
      <c r="I50" s="552" t="s">
        <v>235</v>
      </c>
      <c r="J50" s="552" t="s">
        <v>235</v>
      </c>
      <c r="K50" s="552" t="s">
        <v>235</v>
      </c>
      <c r="L50" s="1075"/>
    </row>
    <row r="51" spans="1:13" x14ac:dyDescent="0.25">
      <c r="G51" s="689" t="s">
        <v>2343</v>
      </c>
      <c r="K51" s="806"/>
    </row>
    <row r="52" spans="1:13" x14ac:dyDescent="0.25">
      <c r="A52" s="806"/>
      <c r="B52" s="806"/>
      <c r="C52" s="806"/>
      <c r="D52" s="806" t="s">
        <v>217</v>
      </c>
      <c r="E52" s="806" t="s">
        <v>2326</v>
      </c>
      <c r="F52" s="806" t="s">
        <v>2344</v>
      </c>
      <c r="G52" s="806" t="s">
        <v>215</v>
      </c>
      <c r="H52" s="806" t="s">
        <v>2345</v>
      </c>
      <c r="I52" s="807" t="s">
        <v>2346</v>
      </c>
      <c r="J52" s="806" t="s">
        <v>217</v>
      </c>
      <c r="K52" s="806" t="s">
        <v>18</v>
      </c>
    </row>
    <row r="53" spans="1:13" x14ac:dyDescent="0.25">
      <c r="A53" s="1139" t="s">
        <v>360</v>
      </c>
      <c r="B53" s="768" t="s">
        <v>211</v>
      </c>
      <c r="C53" s="768" t="s">
        <v>212</v>
      </c>
      <c r="D53" s="804" t="s">
        <v>2347</v>
      </c>
      <c r="E53" s="804" t="s">
        <v>2327</v>
      </c>
      <c r="F53" s="804" t="s">
        <v>2348</v>
      </c>
      <c r="G53" s="804" t="s">
        <v>2349</v>
      </c>
      <c r="H53" s="804" t="s">
        <v>2350</v>
      </c>
      <c r="I53" s="804" t="s">
        <v>2351</v>
      </c>
      <c r="J53" s="804" t="s">
        <v>2352</v>
      </c>
      <c r="K53" s="3" t="s">
        <v>2353</v>
      </c>
    </row>
    <row r="54" spans="1:13" x14ac:dyDescent="0.25">
      <c r="A54" s="121">
        <f>A46+1</f>
        <v>29</v>
      </c>
      <c r="B54" s="769" t="s">
        <v>199</v>
      </c>
      <c r="C54" s="770"/>
      <c r="D54" s="813" t="s">
        <v>86</v>
      </c>
      <c r="E54" s="813" t="s">
        <v>86</v>
      </c>
      <c r="F54" s="813" t="s">
        <v>86</v>
      </c>
      <c r="G54" s="813" t="s">
        <v>86</v>
      </c>
      <c r="H54" s="813" t="s">
        <v>86</v>
      </c>
      <c r="I54" s="813" t="s">
        <v>86</v>
      </c>
      <c r="J54" s="7">
        <f>D25</f>
        <v>0</v>
      </c>
      <c r="K54" s="813" t="s">
        <v>86</v>
      </c>
    </row>
    <row r="55" spans="1:13" x14ac:dyDescent="0.25">
      <c r="A55" s="121">
        <f>A54+1</f>
        <v>30</v>
      </c>
      <c r="B55" s="769" t="s">
        <v>200</v>
      </c>
      <c r="C55" s="770"/>
      <c r="D55" s="7">
        <f t="shared" ref="D55:K64" si="4">D89+D122+D153+D186+D217+D250+D281+D314+D345+D378</f>
        <v>0</v>
      </c>
      <c r="E55" s="7">
        <f t="shared" si="4"/>
        <v>0</v>
      </c>
      <c r="F55" s="7">
        <f t="shared" si="4"/>
        <v>0</v>
      </c>
      <c r="G55" s="7">
        <f t="shared" si="4"/>
        <v>0</v>
      </c>
      <c r="H55" s="7">
        <f t="shared" si="4"/>
        <v>0</v>
      </c>
      <c r="I55" s="7">
        <f t="shared" si="4"/>
        <v>0</v>
      </c>
      <c r="J55" s="7">
        <f t="shared" si="4"/>
        <v>0</v>
      </c>
      <c r="K55" s="7">
        <f t="shared" si="4"/>
        <v>0</v>
      </c>
      <c r="L55" s="1072"/>
      <c r="M55" s="7"/>
    </row>
    <row r="56" spans="1:13" x14ac:dyDescent="0.25">
      <c r="A56" s="121">
        <f t="shared" ref="A56:A79" si="5">A55+1</f>
        <v>31</v>
      </c>
      <c r="B56" s="772" t="s">
        <v>201</v>
      </c>
      <c r="C56" s="770"/>
      <c r="D56" s="7">
        <f t="shared" si="4"/>
        <v>0</v>
      </c>
      <c r="E56" s="7">
        <f t="shared" si="4"/>
        <v>0</v>
      </c>
      <c r="F56" s="7">
        <f t="shared" si="4"/>
        <v>0</v>
      </c>
      <c r="G56" s="7">
        <f t="shared" si="4"/>
        <v>0</v>
      </c>
      <c r="H56" s="7">
        <f t="shared" si="4"/>
        <v>0</v>
      </c>
      <c r="I56" s="7">
        <f t="shared" si="4"/>
        <v>0</v>
      </c>
      <c r="J56" s="7">
        <f t="shared" si="4"/>
        <v>0</v>
      </c>
      <c r="K56" s="7">
        <f t="shared" si="4"/>
        <v>0</v>
      </c>
      <c r="L56" s="1072"/>
      <c r="M56" s="7"/>
    </row>
    <row r="57" spans="1:13" x14ac:dyDescent="0.25">
      <c r="A57" s="121">
        <f t="shared" si="5"/>
        <v>32</v>
      </c>
      <c r="B57" s="772" t="s">
        <v>214</v>
      </c>
      <c r="C57" s="770"/>
      <c r="D57" s="7">
        <f t="shared" si="4"/>
        <v>0</v>
      </c>
      <c r="E57" s="7">
        <f t="shared" si="4"/>
        <v>0</v>
      </c>
      <c r="F57" s="7">
        <f t="shared" si="4"/>
        <v>0</v>
      </c>
      <c r="G57" s="7">
        <f t="shared" si="4"/>
        <v>0</v>
      </c>
      <c r="H57" s="7">
        <f t="shared" si="4"/>
        <v>0</v>
      </c>
      <c r="I57" s="7">
        <f t="shared" si="4"/>
        <v>0</v>
      </c>
      <c r="J57" s="7">
        <f t="shared" si="4"/>
        <v>0</v>
      </c>
      <c r="K57" s="7">
        <f t="shared" si="4"/>
        <v>0</v>
      </c>
      <c r="L57" s="1072"/>
      <c r="M57" s="7"/>
    </row>
    <row r="58" spans="1:13" x14ac:dyDescent="0.25">
      <c r="A58" s="121">
        <f t="shared" si="5"/>
        <v>33</v>
      </c>
      <c r="B58" s="769" t="s">
        <v>202</v>
      </c>
      <c r="C58" s="770"/>
      <c r="D58" s="7">
        <f t="shared" si="4"/>
        <v>0</v>
      </c>
      <c r="E58" s="7">
        <f t="shared" si="4"/>
        <v>0</v>
      </c>
      <c r="F58" s="7">
        <f t="shared" si="4"/>
        <v>0</v>
      </c>
      <c r="G58" s="7">
        <f t="shared" si="4"/>
        <v>0</v>
      </c>
      <c r="H58" s="7">
        <f t="shared" si="4"/>
        <v>0</v>
      </c>
      <c r="I58" s="7">
        <f t="shared" si="4"/>
        <v>0</v>
      </c>
      <c r="J58" s="7">
        <f t="shared" si="4"/>
        <v>0</v>
      </c>
      <c r="K58" s="7">
        <f t="shared" si="4"/>
        <v>0</v>
      </c>
      <c r="L58" s="1072"/>
      <c r="M58" s="7"/>
    </row>
    <row r="59" spans="1:13" x14ac:dyDescent="0.25">
      <c r="A59" s="121">
        <f t="shared" si="5"/>
        <v>34</v>
      </c>
      <c r="B59" s="772" t="s">
        <v>203</v>
      </c>
      <c r="C59" s="770"/>
      <c r="D59" s="7">
        <f t="shared" si="4"/>
        <v>0</v>
      </c>
      <c r="E59" s="7">
        <f t="shared" si="4"/>
        <v>0</v>
      </c>
      <c r="F59" s="7">
        <f t="shared" si="4"/>
        <v>0</v>
      </c>
      <c r="G59" s="7">
        <f t="shared" si="4"/>
        <v>0</v>
      </c>
      <c r="H59" s="7">
        <f t="shared" si="4"/>
        <v>0</v>
      </c>
      <c r="I59" s="7">
        <f t="shared" si="4"/>
        <v>0</v>
      </c>
      <c r="J59" s="7">
        <f t="shared" si="4"/>
        <v>0</v>
      </c>
      <c r="K59" s="7">
        <f t="shared" si="4"/>
        <v>0</v>
      </c>
      <c r="L59" s="1072"/>
      <c r="M59" s="7"/>
    </row>
    <row r="60" spans="1:13" x14ac:dyDescent="0.25">
      <c r="A60" s="121">
        <f t="shared" si="5"/>
        <v>35</v>
      </c>
      <c r="B60" s="772" t="s">
        <v>1670</v>
      </c>
      <c r="C60" s="770"/>
      <c r="D60" s="7">
        <f t="shared" si="4"/>
        <v>0</v>
      </c>
      <c r="E60" s="7">
        <f t="shared" si="4"/>
        <v>0</v>
      </c>
      <c r="F60" s="7">
        <f t="shared" si="4"/>
        <v>0</v>
      </c>
      <c r="G60" s="7">
        <f t="shared" si="4"/>
        <v>0</v>
      </c>
      <c r="H60" s="7">
        <f t="shared" si="4"/>
        <v>0</v>
      </c>
      <c r="I60" s="7">
        <f t="shared" si="4"/>
        <v>0</v>
      </c>
      <c r="J60" s="7">
        <f t="shared" si="4"/>
        <v>0</v>
      </c>
      <c r="K60" s="7">
        <f t="shared" si="4"/>
        <v>0</v>
      </c>
      <c r="L60" s="1072"/>
      <c r="M60" s="7"/>
    </row>
    <row r="61" spans="1:13" x14ac:dyDescent="0.25">
      <c r="A61" s="121">
        <f t="shared" si="5"/>
        <v>36</v>
      </c>
      <c r="B61" s="769" t="s">
        <v>205</v>
      </c>
      <c r="C61" s="770"/>
      <c r="D61" s="7">
        <f t="shared" si="4"/>
        <v>0</v>
      </c>
      <c r="E61" s="7">
        <f t="shared" si="4"/>
        <v>0</v>
      </c>
      <c r="F61" s="7">
        <f t="shared" si="4"/>
        <v>0</v>
      </c>
      <c r="G61" s="7">
        <f t="shared" si="4"/>
        <v>0</v>
      </c>
      <c r="H61" s="7">
        <f t="shared" si="4"/>
        <v>0</v>
      </c>
      <c r="I61" s="7">
        <f t="shared" si="4"/>
        <v>0</v>
      </c>
      <c r="J61" s="7">
        <f t="shared" si="4"/>
        <v>0</v>
      </c>
      <c r="K61" s="7">
        <f t="shared" si="4"/>
        <v>0</v>
      </c>
      <c r="L61" s="1072"/>
      <c r="M61" s="7"/>
    </row>
    <row r="62" spans="1:13" x14ac:dyDescent="0.25">
      <c r="A62" s="121">
        <f t="shared" si="5"/>
        <v>37</v>
      </c>
      <c r="B62" s="772" t="s">
        <v>206</v>
      </c>
      <c r="C62" s="770"/>
      <c r="D62" s="7">
        <f t="shared" si="4"/>
        <v>0</v>
      </c>
      <c r="E62" s="7">
        <f t="shared" si="4"/>
        <v>0</v>
      </c>
      <c r="F62" s="7">
        <f t="shared" si="4"/>
        <v>0</v>
      </c>
      <c r="G62" s="7">
        <f t="shared" si="4"/>
        <v>0</v>
      </c>
      <c r="H62" s="7">
        <f t="shared" si="4"/>
        <v>0</v>
      </c>
      <c r="I62" s="7">
        <f t="shared" si="4"/>
        <v>0</v>
      </c>
      <c r="J62" s="7">
        <f t="shared" si="4"/>
        <v>0</v>
      </c>
      <c r="K62" s="7">
        <f t="shared" si="4"/>
        <v>0</v>
      </c>
      <c r="L62" s="1072"/>
      <c r="M62" s="7"/>
    </row>
    <row r="63" spans="1:13" x14ac:dyDescent="0.25">
      <c r="A63" s="121">
        <f t="shared" si="5"/>
        <v>38</v>
      </c>
      <c r="B63" s="772" t="s">
        <v>207</v>
      </c>
      <c r="C63" s="770"/>
      <c r="D63" s="7">
        <f t="shared" si="4"/>
        <v>0</v>
      </c>
      <c r="E63" s="7">
        <f t="shared" si="4"/>
        <v>0</v>
      </c>
      <c r="F63" s="7">
        <f t="shared" si="4"/>
        <v>0</v>
      </c>
      <c r="G63" s="7">
        <f t="shared" si="4"/>
        <v>0</v>
      </c>
      <c r="H63" s="7">
        <f t="shared" si="4"/>
        <v>0</v>
      </c>
      <c r="I63" s="7">
        <f t="shared" si="4"/>
        <v>0</v>
      </c>
      <c r="J63" s="7">
        <f t="shared" si="4"/>
        <v>0</v>
      </c>
      <c r="K63" s="7">
        <f t="shared" si="4"/>
        <v>0</v>
      </c>
      <c r="L63" s="1072"/>
      <c r="M63" s="7"/>
    </row>
    <row r="64" spans="1:13" x14ac:dyDescent="0.25">
      <c r="A64" s="121">
        <f t="shared" si="5"/>
        <v>39</v>
      </c>
      <c r="B64" s="769" t="s">
        <v>210</v>
      </c>
      <c r="C64" s="770"/>
      <c r="D64" s="7">
        <f t="shared" si="4"/>
        <v>0</v>
      </c>
      <c r="E64" s="7">
        <f t="shared" si="4"/>
        <v>0</v>
      </c>
      <c r="F64" s="7">
        <f t="shared" si="4"/>
        <v>0</v>
      </c>
      <c r="G64" s="7">
        <f t="shared" si="4"/>
        <v>0</v>
      </c>
      <c r="H64" s="7">
        <f t="shared" si="4"/>
        <v>0</v>
      </c>
      <c r="I64" s="7">
        <f t="shared" si="4"/>
        <v>0</v>
      </c>
      <c r="J64" s="7">
        <f t="shared" si="4"/>
        <v>0</v>
      </c>
      <c r="K64" s="7">
        <f t="shared" si="4"/>
        <v>0</v>
      </c>
      <c r="L64" s="1072"/>
      <c r="M64" s="7"/>
    </row>
    <row r="65" spans="1:13" x14ac:dyDescent="0.25">
      <c r="A65" s="121">
        <f t="shared" si="5"/>
        <v>40</v>
      </c>
      <c r="B65" s="769" t="s">
        <v>209</v>
      </c>
      <c r="C65" s="770"/>
      <c r="D65" s="7">
        <f t="shared" ref="D65:K74" si="6">D99+D132+D163+D196+D227+D260+D291+D324+D355+D388</f>
        <v>0</v>
      </c>
      <c r="E65" s="7">
        <f t="shared" si="6"/>
        <v>0</v>
      </c>
      <c r="F65" s="7">
        <f t="shared" si="6"/>
        <v>0</v>
      </c>
      <c r="G65" s="7">
        <f t="shared" si="6"/>
        <v>0</v>
      </c>
      <c r="H65" s="7">
        <f t="shared" si="6"/>
        <v>0</v>
      </c>
      <c r="I65" s="7">
        <f t="shared" si="6"/>
        <v>0</v>
      </c>
      <c r="J65" s="7">
        <f t="shared" si="6"/>
        <v>0</v>
      </c>
      <c r="K65" s="7">
        <f t="shared" si="6"/>
        <v>0</v>
      </c>
      <c r="L65" s="1072"/>
      <c r="M65" s="7"/>
    </row>
    <row r="66" spans="1:13" x14ac:dyDescent="0.25">
      <c r="A66" s="121">
        <f t="shared" si="5"/>
        <v>41</v>
      </c>
      <c r="B66" s="769" t="s">
        <v>199</v>
      </c>
      <c r="C66" s="770"/>
      <c r="D66" s="7">
        <f t="shared" si="6"/>
        <v>0</v>
      </c>
      <c r="E66" s="7">
        <f t="shared" si="6"/>
        <v>0</v>
      </c>
      <c r="F66" s="7">
        <f t="shared" si="6"/>
        <v>0</v>
      </c>
      <c r="G66" s="7">
        <f t="shared" si="6"/>
        <v>0</v>
      </c>
      <c r="H66" s="7">
        <f t="shared" si="6"/>
        <v>0</v>
      </c>
      <c r="I66" s="7">
        <f t="shared" si="6"/>
        <v>0</v>
      </c>
      <c r="J66" s="7">
        <f t="shared" si="6"/>
        <v>0</v>
      </c>
      <c r="K66" s="7">
        <f t="shared" si="6"/>
        <v>0</v>
      </c>
      <c r="L66" s="1072"/>
      <c r="M66" s="7"/>
    </row>
    <row r="67" spans="1:13" x14ac:dyDescent="0.25">
      <c r="A67" s="121">
        <f t="shared" si="5"/>
        <v>42</v>
      </c>
      <c r="B67" s="769" t="s">
        <v>200</v>
      </c>
      <c r="C67" s="770"/>
      <c r="D67" s="7">
        <f t="shared" si="6"/>
        <v>0</v>
      </c>
      <c r="E67" s="7">
        <f t="shared" si="6"/>
        <v>0</v>
      </c>
      <c r="F67" s="7">
        <f t="shared" si="6"/>
        <v>0</v>
      </c>
      <c r="G67" s="7">
        <f t="shared" si="6"/>
        <v>0</v>
      </c>
      <c r="H67" s="7">
        <f t="shared" si="6"/>
        <v>0</v>
      </c>
      <c r="I67" s="7">
        <f t="shared" si="6"/>
        <v>0</v>
      </c>
      <c r="J67" s="7">
        <f t="shared" si="6"/>
        <v>0</v>
      </c>
      <c r="K67" s="7">
        <f t="shared" si="6"/>
        <v>0</v>
      </c>
      <c r="L67" s="1072"/>
      <c r="M67" s="7"/>
    </row>
    <row r="68" spans="1:13" x14ac:dyDescent="0.25">
      <c r="A68" s="121">
        <f t="shared" si="5"/>
        <v>43</v>
      </c>
      <c r="B68" s="772" t="s">
        <v>201</v>
      </c>
      <c r="C68" s="770"/>
      <c r="D68" s="7">
        <f t="shared" si="6"/>
        <v>0</v>
      </c>
      <c r="E68" s="7">
        <f t="shared" si="6"/>
        <v>0</v>
      </c>
      <c r="F68" s="7">
        <f t="shared" si="6"/>
        <v>0</v>
      </c>
      <c r="G68" s="7">
        <f t="shared" si="6"/>
        <v>0</v>
      </c>
      <c r="H68" s="7">
        <f t="shared" si="6"/>
        <v>0</v>
      </c>
      <c r="I68" s="7">
        <f t="shared" si="6"/>
        <v>0</v>
      </c>
      <c r="J68" s="7">
        <f t="shared" si="6"/>
        <v>0</v>
      </c>
      <c r="K68" s="7">
        <f t="shared" si="6"/>
        <v>0</v>
      </c>
      <c r="L68" s="1072"/>
      <c r="M68" s="7"/>
    </row>
    <row r="69" spans="1:13" x14ac:dyDescent="0.25">
      <c r="A69" s="121">
        <f t="shared" si="5"/>
        <v>44</v>
      </c>
      <c r="B69" s="772" t="s">
        <v>214</v>
      </c>
      <c r="C69" s="770"/>
      <c r="D69" s="7">
        <f t="shared" si="6"/>
        <v>0</v>
      </c>
      <c r="E69" s="7">
        <f t="shared" si="6"/>
        <v>0</v>
      </c>
      <c r="F69" s="7">
        <f t="shared" si="6"/>
        <v>0</v>
      </c>
      <c r="G69" s="7">
        <f t="shared" si="6"/>
        <v>0</v>
      </c>
      <c r="H69" s="7">
        <f t="shared" si="6"/>
        <v>0</v>
      </c>
      <c r="I69" s="7">
        <f t="shared" si="6"/>
        <v>0</v>
      </c>
      <c r="J69" s="7">
        <f t="shared" si="6"/>
        <v>0</v>
      </c>
      <c r="K69" s="7">
        <f t="shared" si="6"/>
        <v>0</v>
      </c>
      <c r="L69" s="1072"/>
      <c r="M69" s="7"/>
    </row>
    <row r="70" spans="1:13" x14ac:dyDescent="0.25">
      <c r="A70" s="121">
        <f t="shared" si="5"/>
        <v>45</v>
      </c>
      <c r="B70" s="769" t="s">
        <v>202</v>
      </c>
      <c r="C70" s="770"/>
      <c r="D70" s="7">
        <f t="shared" si="6"/>
        <v>0</v>
      </c>
      <c r="E70" s="7">
        <f t="shared" si="6"/>
        <v>0</v>
      </c>
      <c r="F70" s="7">
        <f t="shared" si="6"/>
        <v>0</v>
      </c>
      <c r="G70" s="7">
        <f t="shared" si="6"/>
        <v>0</v>
      </c>
      <c r="H70" s="7">
        <f t="shared" si="6"/>
        <v>0</v>
      </c>
      <c r="I70" s="7">
        <f t="shared" si="6"/>
        <v>0</v>
      </c>
      <c r="J70" s="7">
        <f t="shared" si="6"/>
        <v>0</v>
      </c>
      <c r="K70" s="7">
        <f t="shared" si="6"/>
        <v>0</v>
      </c>
      <c r="L70" s="1072"/>
      <c r="M70" s="7"/>
    </row>
    <row r="71" spans="1:13" x14ac:dyDescent="0.25">
      <c r="A71" s="121">
        <f t="shared" si="5"/>
        <v>46</v>
      </c>
      <c r="B71" s="772" t="s">
        <v>203</v>
      </c>
      <c r="C71" s="770"/>
      <c r="D71" s="7">
        <f t="shared" si="6"/>
        <v>0</v>
      </c>
      <c r="E71" s="7">
        <f t="shared" si="6"/>
        <v>0</v>
      </c>
      <c r="F71" s="7">
        <f t="shared" si="6"/>
        <v>0</v>
      </c>
      <c r="G71" s="7">
        <f t="shared" si="6"/>
        <v>0</v>
      </c>
      <c r="H71" s="7">
        <f t="shared" si="6"/>
        <v>0</v>
      </c>
      <c r="I71" s="7">
        <f t="shared" si="6"/>
        <v>0</v>
      </c>
      <c r="J71" s="7">
        <f t="shared" si="6"/>
        <v>0</v>
      </c>
      <c r="K71" s="7">
        <f t="shared" si="6"/>
        <v>0</v>
      </c>
      <c r="L71" s="1072"/>
      <c r="M71" s="7"/>
    </row>
    <row r="72" spans="1:13" x14ac:dyDescent="0.25">
      <c r="A72" s="121">
        <f t="shared" si="5"/>
        <v>47</v>
      </c>
      <c r="B72" s="772" t="s">
        <v>1670</v>
      </c>
      <c r="C72" s="770"/>
      <c r="D72" s="7">
        <f t="shared" si="6"/>
        <v>0</v>
      </c>
      <c r="E72" s="7">
        <f t="shared" si="6"/>
        <v>0</v>
      </c>
      <c r="F72" s="7">
        <f t="shared" si="6"/>
        <v>0</v>
      </c>
      <c r="G72" s="7">
        <f t="shared" si="6"/>
        <v>0</v>
      </c>
      <c r="H72" s="7">
        <f t="shared" si="6"/>
        <v>0</v>
      </c>
      <c r="I72" s="7">
        <f t="shared" si="6"/>
        <v>0</v>
      </c>
      <c r="J72" s="7">
        <f t="shared" si="6"/>
        <v>0</v>
      </c>
      <c r="K72" s="7">
        <f t="shared" si="6"/>
        <v>0</v>
      </c>
      <c r="L72" s="1072"/>
      <c r="M72" s="7"/>
    </row>
    <row r="73" spans="1:13" x14ac:dyDescent="0.25">
      <c r="A73" s="121">
        <f t="shared" si="5"/>
        <v>48</v>
      </c>
      <c r="B73" s="769" t="s">
        <v>205</v>
      </c>
      <c r="C73" s="770"/>
      <c r="D73" s="7">
        <f t="shared" si="6"/>
        <v>0</v>
      </c>
      <c r="E73" s="7">
        <f t="shared" si="6"/>
        <v>0</v>
      </c>
      <c r="F73" s="7">
        <f t="shared" si="6"/>
        <v>0</v>
      </c>
      <c r="G73" s="7">
        <f t="shared" si="6"/>
        <v>0</v>
      </c>
      <c r="H73" s="7">
        <f t="shared" si="6"/>
        <v>0</v>
      </c>
      <c r="I73" s="7">
        <f t="shared" si="6"/>
        <v>0</v>
      </c>
      <c r="J73" s="7">
        <f t="shared" si="6"/>
        <v>0</v>
      </c>
      <c r="K73" s="7">
        <f t="shared" si="6"/>
        <v>0</v>
      </c>
      <c r="L73" s="1072"/>
      <c r="M73" s="7"/>
    </row>
    <row r="74" spans="1:13" x14ac:dyDescent="0.25">
      <c r="A74" s="121">
        <f t="shared" si="5"/>
        <v>49</v>
      </c>
      <c r="B74" s="772" t="s">
        <v>206</v>
      </c>
      <c r="C74" s="770"/>
      <c r="D74" s="7">
        <f t="shared" si="6"/>
        <v>0</v>
      </c>
      <c r="E74" s="7">
        <f t="shared" si="6"/>
        <v>0</v>
      </c>
      <c r="F74" s="7">
        <f t="shared" si="6"/>
        <v>0</v>
      </c>
      <c r="G74" s="7">
        <f t="shared" si="6"/>
        <v>0</v>
      </c>
      <c r="H74" s="7">
        <f t="shared" si="6"/>
        <v>0</v>
      </c>
      <c r="I74" s="7">
        <f t="shared" si="6"/>
        <v>0</v>
      </c>
      <c r="J74" s="7">
        <f t="shared" si="6"/>
        <v>0</v>
      </c>
      <c r="K74" s="7">
        <f t="shared" si="6"/>
        <v>0</v>
      </c>
      <c r="L74" s="1072"/>
      <c r="M74" s="7"/>
    </row>
    <row r="75" spans="1:13" x14ac:dyDescent="0.25">
      <c r="A75" s="121">
        <f t="shared" si="5"/>
        <v>50</v>
      </c>
      <c r="B75" s="772" t="s">
        <v>207</v>
      </c>
      <c r="C75" s="770"/>
      <c r="D75" s="7">
        <f t="shared" ref="D75:K75" si="7">D109+D142+D173+D206+D237+D270+D301+D334+D365+D398</f>
        <v>0</v>
      </c>
      <c r="E75" s="7">
        <f t="shared" si="7"/>
        <v>0</v>
      </c>
      <c r="F75" s="7">
        <f t="shared" si="7"/>
        <v>0</v>
      </c>
      <c r="G75" s="7">
        <f t="shared" si="7"/>
        <v>0</v>
      </c>
      <c r="H75" s="7">
        <f t="shared" si="7"/>
        <v>0</v>
      </c>
      <c r="I75" s="7">
        <f t="shared" si="7"/>
        <v>0</v>
      </c>
      <c r="J75" s="7">
        <f t="shared" si="7"/>
        <v>0</v>
      </c>
      <c r="K75" s="558">
        <f t="shared" si="7"/>
        <v>0</v>
      </c>
      <c r="L75" s="1072"/>
      <c r="M75" s="7"/>
    </row>
    <row r="76" spans="1:13" x14ac:dyDescent="0.25">
      <c r="A76" s="121">
        <f t="shared" si="5"/>
        <v>51</v>
      </c>
      <c r="B76" s="772" t="s">
        <v>210</v>
      </c>
      <c r="C76" s="770"/>
      <c r="D76" s="7">
        <f>D110+D143+D174+D207+D238+D271+D302+D335+D366</f>
        <v>0</v>
      </c>
      <c r="E76" s="7">
        <f>E110+E143+E174+E207+E238+E271+E302+E335+E366+E399</f>
        <v>0</v>
      </c>
      <c r="F76" s="7">
        <f t="shared" ref="F76:K78" si="8">F110+F143+F174+F207+F238+F271+F302+F335+F366+F399</f>
        <v>0</v>
      </c>
      <c r="G76" s="7">
        <f t="shared" si="8"/>
        <v>0</v>
      </c>
      <c r="H76" s="7">
        <f t="shared" si="8"/>
        <v>0</v>
      </c>
      <c r="I76" s="7">
        <f t="shared" si="8"/>
        <v>0</v>
      </c>
      <c r="J76" s="7">
        <f t="shared" si="8"/>
        <v>0</v>
      </c>
      <c r="K76" s="558">
        <f t="shared" si="8"/>
        <v>0</v>
      </c>
      <c r="L76" s="1072"/>
      <c r="M76" s="7"/>
    </row>
    <row r="77" spans="1:13" x14ac:dyDescent="0.25">
      <c r="A77" s="121">
        <f t="shared" si="5"/>
        <v>52</v>
      </c>
      <c r="B77" s="772" t="s">
        <v>209</v>
      </c>
      <c r="C77" s="770"/>
      <c r="D77" s="7">
        <f>D111+D144+D175+D208+D239+D272+D303+D336+D367</f>
        <v>0</v>
      </c>
      <c r="E77" s="7">
        <f>E111+E144+E175+E208+E239+E272+E303+E336+E367+E400</f>
        <v>0</v>
      </c>
      <c r="F77" s="7">
        <f t="shared" si="8"/>
        <v>0</v>
      </c>
      <c r="G77" s="7">
        <f t="shared" si="8"/>
        <v>0</v>
      </c>
      <c r="H77" s="7">
        <f t="shared" si="8"/>
        <v>0</v>
      </c>
      <c r="I77" s="7">
        <f t="shared" si="8"/>
        <v>0</v>
      </c>
      <c r="J77" s="7">
        <f t="shared" si="8"/>
        <v>0</v>
      </c>
      <c r="K77" s="558">
        <f t="shared" si="8"/>
        <v>0</v>
      </c>
      <c r="L77" s="1072"/>
      <c r="M77" s="7"/>
    </row>
    <row r="78" spans="1:13" x14ac:dyDescent="0.25">
      <c r="A78" s="121">
        <f t="shared" si="5"/>
        <v>53</v>
      </c>
      <c r="B78" s="772" t="s">
        <v>199</v>
      </c>
      <c r="C78" s="770"/>
      <c r="D78" s="7">
        <f>D112+D145+D176+D209+D240+D273+D304+D337+D368+D401</f>
        <v>0</v>
      </c>
      <c r="E78" s="7">
        <f>E112+E145+E176+E209+E240+E273+E304+E337+E368+E401</f>
        <v>0</v>
      </c>
      <c r="F78" s="7">
        <f t="shared" si="8"/>
        <v>0</v>
      </c>
      <c r="G78" s="7">
        <f t="shared" si="8"/>
        <v>0</v>
      </c>
      <c r="H78" s="7">
        <f t="shared" si="8"/>
        <v>0</v>
      </c>
      <c r="I78" s="7">
        <f t="shared" si="8"/>
        <v>0</v>
      </c>
      <c r="J78" s="7">
        <f t="shared" si="8"/>
        <v>0</v>
      </c>
      <c r="K78" s="99">
        <f>K112+K145+K176+K209+K240+K273+K304+K337+K368+K401</f>
        <v>0</v>
      </c>
      <c r="L78" s="1073"/>
      <c r="M78" s="7"/>
    </row>
    <row r="79" spans="1:13" x14ac:dyDescent="0.25">
      <c r="A79" s="121">
        <f t="shared" si="5"/>
        <v>54</v>
      </c>
      <c r="C79" s="808" t="s">
        <v>1846</v>
      </c>
      <c r="K79" s="80">
        <f>AVERAGE(K66:K78)</f>
        <v>0</v>
      </c>
      <c r="L79" s="1076"/>
    </row>
    <row r="81" spans="1:11" x14ac:dyDescent="0.25">
      <c r="B81" s="776" t="s">
        <v>2354</v>
      </c>
    </row>
    <row r="82" spans="1:11" s="809" customFormat="1" x14ac:dyDescent="0.25">
      <c r="B82" s="810" t="s">
        <v>2355</v>
      </c>
      <c r="D82" s="1297" t="s">
        <v>249</v>
      </c>
      <c r="E82" s="1297"/>
    </row>
    <row r="83" spans="1:11" s="804" customFormat="1" x14ac:dyDescent="0.25">
      <c r="D83" s="804" t="s">
        <v>394</v>
      </c>
      <c r="E83" s="804" t="s">
        <v>378</v>
      </c>
      <c r="F83" s="804" t="s">
        <v>379</v>
      </c>
      <c r="G83" s="804" t="s">
        <v>380</v>
      </c>
      <c r="H83" s="804" t="s">
        <v>381</v>
      </c>
      <c r="I83" s="804" t="s">
        <v>382</v>
      </c>
      <c r="J83" s="804" t="s">
        <v>383</v>
      </c>
      <c r="K83" s="804" t="s">
        <v>597</v>
      </c>
    </row>
    <row r="84" spans="1:11" s="809" customFormat="1" ht="25.95" customHeight="1" x14ac:dyDescent="0.25">
      <c r="D84" s="811"/>
      <c r="E84" s="812" t="s">
        <v>2620</v>
      </c>
      <c r="F84" s="813" t="s">
        <v>2356</v>
      </c>
      <c r="G84" s="560"/>
      <c r="H84" s="811"/>
      <c r="I84" s="812" t="s">
        <v>2621</v>
      </c>
      <c r="J84" s="812" t="s">
        <v>2357</v>
      </c>
      <c r="K84" s="812" t="s">
        <v>2358</v>
      </c>
    </row>
    <row r="85" spans="1:11" s="809" customFormat="1" x14ac:dyDescent="0.25">
      <c r="D85" s="811"/>
      <c r="E85" s="814"/>
      <c r="F85" s="814"/>
      <c r="G85" s="689" t="str">
        <f>G51</f>
        <v>Unloaded</v>
      </c>
      <c r="H85" s="811"/>
      <c r="I85" s="814"/>
      <c r="J85" s="814"/>
      <c r="K85" s="689"/>
    </row>
    <row r="86" spans="1:11" s="806" customFormat="1" x14ac:dyDescent="0.25">
      <c r="D86" s="806" t="str">
        <f>D$52</f>
        <v>Forecast</v>
      </c>
      <c r="E86" s="806" t="str">
        <f t="shared" ref="E86:J86" si="9">E$52</f>
        <v>Corporate</v>
      </c>
      <c r="F86" s="806" t="str">
        <f t="shared" si="9"/>
        <v xml:space="preserve">Total </v>
      </c>
      <c r="G86" s="689" t="str">
        <f>G52</f>
        <v>Total</v>
      </c>
      <c r="H86" s="806" t="str">
        <f t="shared" si="9"/>
        <v>Prior Period</v>
      </c>
      <c r="I86" s="806" t="str">
        <f t="shared" si="9"/>
        <v>Over Heads</v>
      </c>
      <c r="J86" s="806" t="str">
        <f t="shared" si="9"/>
        <v>Forecast</v>
      </c>
      <c r="K86" s="689" t="str">
        <f>K$52</f>
        <v>Forecast Period</v>
      </c>
    </row>
    <row r="87" spans="1:11" s="809" customFormat="1" x14ac:dyDescent="0.25">
      <c r="A87" s="1139" t="s">
        <v>360</v>
      </c>
      <c r="B87" s="768" t="s">
        <v>211</v>
      </c>
      <c r="C87" s="768" t="s">
        <v>212</v>
      </c>
      <c r="D87" s="804" t="str">
        <f>D$53</f>
        <v>Expenditures</v>
      </c>
      <c r="E87" s="804" t="str">
        <f t="shared" ref="E87:J87" si="10">E$53</f>
        <v>Overheads</v>
      </c>
      <c r="F87" s="804" t="str">
        <f t="shared" si="10"/>
        <v>CWIP Exp</v>
      </c>
      <c r="G87" s="3" t="str">
        <f>G53</f>
        <v>Plant Adds</v>
      </c>
      <c r="H87" s="804" t="str">
        <f t="shared" si="10"/>
        <v>CWIP Closed</v>
      </c>
      <c r="I87" s="804" t="str">
        <f t="shared" si="10"/>
        <v>Closed to PIS</v>
      </c>
      <c r="J87" s="804" t="str">
        <f t="shared" si="10"/>
        <v>Period CWIP</v>
      </c>
      <c r="K87" s="804" t="str">
        <f>K$53</f>
        <v>Incremental CWIP</v>
      </c>
    </row>
    <row r="88" spans="1:11" s="809" customFormat="1" x14ac:dyDescent="0.25">
      <c r="A88" s="121">
        <f>A79+1</f>
        <v>55</v>
      </c>
      <c r="B88" s="769" t="s">
        <v>199</v>
      </c>
      <c r="C88" s="770"/>
      <c r="D88" s="813" t="s">
        <v>86</v>
      </c>
      <c r="E88" s="813" t="s">
        <v>86</v>
      </c>
      <c r="F88" s="813" t="s">
        <v>86</v>
      </c>
      <c r="G88" s="813" t="s">
        <v>86</v>
      </c>
      <c r="H88" s="813" t="s">
        <v>86</v>
      </c>
      <c r="I88" s="813" t="s">
        <v>86</v>
      </c>
      <c r="J88" s="65">
        <f>E25</f>
        <v>0</v>
      </c>
      <c r="K88" s="813" t="s">
        <v>86</v>
      </c>
    </row>
    <row r="89" spans="1:11" s="809" customFormat="1" x14ac:dyDescent="0.25">
      <c r="A89" s="121">
        <f>A88+1</f>
        <v>56</v>
      </c>
      <c r="B89" s="769" t="s">
        <v>200</v>
      </c>
      <c r="C89" s="770"/>
      <c r="D89" s="117"/>
      <c r="E89" s="65">
        <f>D89*'16-PlantAdditions'!$E$103</f>
        <v>0</v>
      </c>
      <c r="F89" s="65">
        <f>E89+D89</f>
        <v>0</v>
      </c>
      <c r="G89" s="117"/>
      <c r="H89" s="117"/>
      <c r="I89" s="65">
        <f>(G89-H89)*'16-PlantAdditions'!$E$103</f>
        <v>0</v>
      </c>
      <c r="J89" s="65">
        <f>J88+F89-G89-I89</f>
        <v>0</v>
      </c>
      <c r="K89" s="65">
        <f>J89-$J$88</f>
        <v>0</v>
      </c>
    </row>
    <row r="90" spans="1:11" s="809" customFormat="1" x14ac:dyDescent="0.25">
      <c r="A90" s="121">
        <f t="shared" ref="A90:A108" si="11">A89+1</f>
        <v>57</v>
      </c>
      <c r="B90" s="772" t="s">
        <v>201</v>
      </c>
      <c r="C90" s="770"/>
      <c r="D90" s="117"/>
      <c r="E90" s="65">
        <f>D90*'16-PlantAdditions'!$E$103</f>
        <v>0</v>
      </c>
      <c r="F90" s="65">
        <f t="shared" ref="F90:F112" si="12">E90+D90</f>
        <v>0</v>
      </c>
      <c r="G90" s="117"/>
      <c r="H90" s="117"/>
      <c r="I90" s="65">
        <f>(G90-H90)*'16-PlantAdditions'!$E$103</f>
        <v>0</v>
      </c>
      <c r="J90" s="65">
        <f t="shared" ref="J90:J108" si="13">J89+F90-G90-I90</f>
        <v>0</v>
      </c>
      <c r="K90" s="65">
        <f t="shared" ref="K90:K112" si="14">J90-$J$88</f>
        <v>0</v>
      </c>
    </row>
    <row r="91" spans="1:11" s="809" customFormat="1" x14ac:dyDescent="0.25">
      <c r="A91" s="121">
        <f t="shared" si="11"/>
        <v>58</v>
      </c>
      <c r="B91" s="772" t="s">
        <v>214</v>
      </c>
      <c r="C91" s="770"/>
      <c r="D91" s="117"/>
      <c r="E91" s="65">
        <f>D91*'16-PlantAdditions'!$E$103</f>
        <v>0</v>
      </c>
      <c r="F91" s="65">
        <f t="shared" si="12"/>
        <v>0</v>
      </c>
      <c r="G91" s="117"/>
      <c r="H91" s="117"/>
      <c r="I91" s="65">
        <f>(G91-H91)*'16-PlantAdditions'!$E$103</f>
        <v>0</v>
      </c>
      <c r="J91" s="65">
        <f t="shared" si="13"/>
        <v>0</v>
      </c>
      <c r="K91" s="65">
        <f t="shared" si="14"/>
        <v>0</v>
      </c>
    </row>
    <row r="92" spans="1:11" s="809" customFormat="1" x14ac:dyDescent="0.25">
      <c r="A92" s="121">
        <f t="shared" si="11"/>
        <v>59</v>
      </c>
      <c r="B92" s="769" t="s">
        <v>202</v>
      </c>
      <c r="C92" s="770"/>
      <c r="D92" s="117"/>
      <c r="E92" s="65">
        <f>D92*'16-PlantAdditions'!$E$103</f>
        <v>0</v>
      </c>
      <c r="F92" s="65">
        <f t="shared" si="12"/>
        <v>0</v>
      </c>
      <c r="G92" s="117"/>
      <c r="H92" s="117"/>
      <c r="I92" s="65">
        <f>(G92-H92)*'16-PlantAdditions'!$E$103</f>
        <v>0</v>
      </c>
      <c r="J92" s="65">
        <f t="shared" si="13"/>
        <v>0</v>
      </c>
      <c r="K92" s="65">
        <f t="shared" si="14"/>
        <v>0</v>
      </c>
    </row>
    <row r="93" spans="1:11" s="809" customFormat="1" x14ac:dyDescent="0.25">
      <c r="A93" s="121">
        <f t="shared" si="11"/>
        <v>60</v>
      </c>
      <c r="B93" s="772" t="s">
        <v>203</v>
      </c>
      <c r="C93" s="770"/>
      <c r="D93" s="117"/>
      <c r="E93" s="65">
        <f>D93*'16-PlantAdditions'!$E$103</f>
        <v>0</v>
      </c>
      <c r="F93" s="65">
        <f t="shared" si="12"/>
        <v>0</v>
      </c>
      <c r="G93" s="117"/>
      <c r="H93" s="117"/>
      <c r="I93" s="65">
        <f>(G93-H93)*'16-PlantAdditions'!$E$103</f>
        <v>0</v>
      </c>
      <c r="J93" s="65">
        <f t="shared" si="13"/>
        <v>0</v>
      </c>
      <c r="K93" s="65">
        <f t="shared" si="14"/>
        <v>0</v>
      </c>
    </row>
    <row r="94" spans="1:11" s="809" customFormat="1" x14ac:dyDescent="0.25">
      <c r="A94" s="121">
        <f t="shared" si="11"/>
        <v>61</v>
      </c>
      <c r="B94" s="772" t="s">
        <v>1670</v>
      </c>
      <c r="C94" s="770"/>
      <c r="D94" s="117"/>
      <c r="E94" s="65">
        <f>D94*'16-PlantAdditions'!$E$103</f>
        <v>0</v>
      </c>
      <c r="F94" s="65">
        <f t="shared" si="12"/>
        <v>0</v>
      </c>
      <c r="G94" s="117"/>
      <c r="H94" s="117"/>
      <c r="I94" s="65">
        <f>(G94-H94)*'16-PlantAdditions'!$E$103</f>
        <v>0</v>
      </c>
      <c r="J94" s="65">
        <f t="shared" si="13"/>
        <v>0</v>
      </c>
      <c r="K94" s="65">
        <f t="shared" si="14"/>
        <v>0</v>
      </c>
    </row>
    <row r="95" spans="1:11" s="809" customFormat="1" x14ac:dyDescent="0.25">
      <c r="A95" s="121">
        <f t="shared" si="11"/>
        <v>62</v>
      </c>
      <c r="B95" s="769" t="s">
        <v>205</v>
      </c>
      <c r="C95" s="770"/>
      <c r="D95" s="117"/>
      <c r="E95" s="65">
        <f>D95*'16-PlantAdditions'!$E$103</f>
        <v>0</v>
      </c>
      <c r="F95" s="65">
        <f t="shared" si="12"/>
        <v>0</v>
      </c>
      <c r="G95" s="117"/>
      <c r="H95" s="117"/>
      <c r="I95" s="65">
        <f>(G95-H95)*'16-PlantAdditions'!$E$103</f>
        <v>0</v>
      </c>
      <c r="J95" s="65">
        <f t="shared" si="13"/>
        <v>0</v>
      </c>
      <c r="K95" s="65">
        <f t="shared" si="14"/>
        <v>0</v>
      </c>
    </row>
    <row r="96" spans="1:11" s="809" customFormat="1" x14ac:dyDescent="0.25">
      <c r="A96" s="121">
        <f t="shared" si="11"/>
        <v>63</v>
      </c>
      <c r="B96" s="772" t="s">
        <v>206</v>
      </c>
      <c r="C96" s="770"/>
      <c r="D96" s="117"/>
      <c r="E96" s="65">
        <f>D96*'16-PlantAdditions'!$E$103</f>
        <v>0</v>
      </c>
      <c r="F96" s="65">
        <f t="shared" si="12"/>
        <v>0</v>
      </c>
      <c r="G96" s="117"/>
      <c r="H96" s="117"/>
      <c r="I96" s="65">
        <f>(G96-H96)*'16-PlantAdditions'!$E$103</f>
        <v>0</v>
      </c>
      <c r="J96" s="65">
        <f t="shared" si="13"/>
        <v>0</v>
      </c>
      <c r="K96" s="65">
        <f t="shared" si="14"/>
        <v>0</v>
      </c>
    </row>
    <row r="97" spans="1:11" s="809" customFormat="1" x14ac:dyDescent="0.25">
      <c r="A97" s="121">
        <f t="shared" si="11"/>
        <v>64</v>
      </c>
      <c r="B97" s="772" t="s">
        <v>207</v>
      </c>
      <c r="C97" s="770"/>
      <c r="D97" s="117"/>
      <c r="E97" s="65">
        <f>D97*'16-PlantAdditions'!$E$103</f>
        <v>0</v>
      </c>
      <c r="F97" s="65">
        <f t="shared" si="12"/>
        <v>0</v>
      </c>
      <c r="G97" s="117"/>
      <c r="H97" s="117"/>
      <c r="I97" s="65">
        <f>(G97-H97)*'16-PlantAdditions'!$E$103</f>
        <v>0</v>
      </c>
      <c r="J97" s="65">
        <f t="shared" si="13"/>
        <v>0</v>
      </c>
      <c r="K97" s="65">
        <f t="shared" si="14"/>
        <v>0</v>
      </c>
    </row>
    <row r="98" spans="1:11" s="809" customFormat="1" x14ac:dyDescent="0.25">
      <c r="A98" s="121">
        <f t="shared" si="11"/>
        <v>65</v>
      </c>
      <c r="B98" s="769" t="s">
        <v>210</v>
      </c>
      <c r="C98" s="770"/>
      <c r="D98" s="117"/>
      <c r="E98" s="65">
        <f>D98*'16-PlantAdditions'!$E$103</f>
        <v>0</v>
      </c>
      <c r="F98" s="65">
        <f t="shared" si="12"/>
        <v>0</v>
      </c>
      <c r="G98" s="117"/>
      <c r="H98" s="117"/>
      <c r="I98" s="65">
        <f>(G98-H98)*'16-PlantAdditions'!$E$103</f>
        <v>0</v>
      </c>
      <c r="J98" s="65">
        <f t="shared" si="13"/>
        <v>0</v>
      </c>
      <c r="K98" s="65">
        <f t="shared" si="14"/>
        <v>0</v>
      </c>
    </row>
    <row r="99" spans="1:11" s="809" customFormat="1" x14ac:dyDescent="0.25">
      <c r="A99" s="121">
        <f t="shared" si="11"/>
        <v>66</v>
      </c>
      <c r="B99" s="769" t="s">
        <v>209</v>
      </c>
      <c r="C99" s="770"/>
      <c r="D99" s="117"/>
      <c r="E99" s="65">
        <f>D99*'16-PlantAdditions'!$E$103</f>
        <v>0</v>
      </c>
      <c r="F99" s="65">
        <f t="shared" si="12"/>
        <v>0</v>
      </c>
      <c r="G99" s="117"/>
      <c r="H99" s="117"/>
      <c r="I99" s="65">
        <f>(G99-H99)*'16-PlantAdditions'!$E$103</f>
        <v>0</v>
      </c>
      <c r="J99" s="65">
        <f t="shared" si="13"/>
        <v>0</v>
      </c>
      <c r="K99" s="65">
        <f t="shared" si="14"/>
        <v>0</v>
      </c>
    </row>
    <row r="100" spans="1:11" s="809" customFormat="1" x14ac:dyDescent="0.25">
      <c r="A100" s="121">
        <f t="shared" si="11"/>
        <v>67</v>
      </c>
      <c r="B100" s="769" t="s">
        <v>199</v>
      </c>
      <c r="C100" s="770"/>
      <c r="D100" s="117"/>
      <c r="E100" s="65">
        <f>D100*'16-PlantAdditions'!$E$103</f>
        <v>0</v>
      </c>
      <c r="F100" s="65">
        <f t="shared" si="12"/>
        <v>0</v>
      </c>
      <c r="G100" s="117"/>
      <c r="H100" s="117"/>
      <c r="I100" s="65">
        <f>(G100-H100)*'16-PlantAdditions'!$E$103</f>
        <v>0</v>
      </c>
      <c r="J100" s="65">
        <f t="shared" si="13"/>
        <v>0</v>
      </c>
      <c r="K100" s="65">
        <f t="shared" si="14"/>
        <v>0</v>
      </c>
    </row>
    <row r="101" spans="1:11" s="809" customFormat="1" x14ac:dyDescent="0.25">
      <c r="A101" s="121">
        <f t="shared" si="11"/>
        <v>68</v>
      </c>
      <c r="B101" s="769" t="s">
        <v>200</v>
      </c>
      <c r="C101" s="770"/>
      <c r="D101" s="117"/>
      <c r="E101" s="65">
        <f>D101*'16-PlantAdditions'!$E$103</f>
        <v>0</v>
      </c>
      <c r="F101" s="65">
        <f t="shared" si="12"/>
        <v>0</v>
      </c>
      <c r="G101" s="117"/>
      <c r="H101" s="117"/>
      <c r="I101" s="65">
        <f>(G101-H101)*'16-PlantAdditions'!$E$103</f>
        <v>0</v>
      </c>
      <c r="J101" s="65">
        <f t="shared" si="13"/>
        <v>0</v>
      </c>
      <c r="K101" s="65">
        <f t="shared" si="14"/>
        <v>0</v>
      </c>
    </row>
    <row r="102" spans="1:11" s="809" customFormat="1" x14ac:dyDescent="0.25">
      <c r="A102" s="121">
        <f t="shared" si="11"/>
        <v>69</v>
      </c>
      <c r="B102" s="772" t="s">
        <v>201</v>
      </c>
      <c r="C102" s="770"/>
      <c r="D102" s="117"/>
      <c r="E102" s="65">
        <f>D102*'16-PlantAdditions'!$E$103</f>
        <v>0</v>
      </c>
      <c r="F102" s="65">
        <f t="shared" si="12"/>
        <v>0</v>
      </c>
      <c r="G102" s="117"/>
      <c r="H102" s="117"/>
      <c r="I102" s="65">
        <f>(G102-H102)*'16-PlantAdditions'!$E$103</f>
        <v>0</v>
      </c>
      <c r="J102" s="65">
        <f t="shared" si="13"/>
        <v>0</v>
      </c>
      <c r="K102" s="65">
        <f t="shared" si="14"/>
        <v>0</v>
      </c>
    </row>
    <row r="103" spans="1:11" s="809" customFormat="1" x14ac:dyDescent="0.25">
      <c r="A103" s="121">
        <f t="shared" si="11"/>
        <v>70</v>
      </c>
      <c r="B103" s="772" t="s">
        <v>214</v>
      </c>
      <c r="C103" s="770"/>
      <c r="D103" s="117"/>
      <c r="E103" s="65">
        <f>D103*'16-PlantAdditions'!$E$103</f>
        <v>0</v>
      </c>
      <c r="F103" s="65">
        <f t="shared" si="12"/>
        <v>0</v>
      </c>
      <c r="G103" s="117"/>
      <c r="H103" s="117"/>
      <c r="I103" s="65">
        <f>(G103-H103)*'16-PlantAdditions'!$E$103</f>
        <v>0</v>
      </c>
      <c r="J103" s="65">
        <f t="shared" si="13"/>
        <v>0</v>
      </c>
      <c r="K103" s="65">
        <f t="shared" si="14"/>
        <v>0</v>
      </c>
    </row>
    <row r="104" spans="1:11" s="809" customFormat="1" x14ac:dyDescent="0.25">
      <c r="A104" s="121">
        <f t="shared" si="11"/>
        <v>71</v>
      </c>
      <c r="B104" s="769" t="s">
        <v>202</v>
      </c>
      <c r="C104" s="770"/>
      <c r="D104" s="117"/>
      <c r="E104" s="65">
        <f>D104*'16-PlantAdditions'!$E$103</f>
        <v>0</v>
      </c>
      <c r="F104" s="65">
        <f t="shared" si="12"/>
        <v>0</v>
      </c>
      <c r="G104" s="117"/>
      <c r="H104" s="117"/>
      <c r="I104" s="65">
        <f>(G104-H104)*'16-PlantAdditions'!$E$103</f>
        <v>0</v>
      </c>
      <c r="J104" s="65">
        <f t="shared" si="13"/>
        <v>0</v>
      </c>
      <c r="K104" s="65">
        <f t="shared" si="14"/>
        <v>0</v>
      </c>
    </row>
    <row r="105" spans="1:11" s="809" customFormat="1" x14ac:dyDescent="0.25">
      <c r="A105" s="121">
        <f t="shared" si="11"/>
        <v>72</v>
      </c>
      <c r="B105" s="772" t="s">
        <v>203</v>
      </c>
      <c r="C105" s="770"/>
      <c r="D105" s="117"/>
      <c r="E105" s="65">
        <f>D105*'16-PlantAdditions'!$E$103</f>
        <v>0</v>
      </c>
      <c r="F105" s="65">
        <f t="shared" si="12"/>
        <v>0</v>
      </c>
      <c r="G105" s="117"/>
      <c r="H105" s="117"/>
      <c r="I105" s="65">
        <f>(G105-H105)*'16-PlantAdditions'!$E$103</f>
        <v>0</v>
      </c>
      <c r="J105" s="65">
        <f t="shared" si="13"/>
        <v>0</v>
      </c>
      <c r="K105" s="65">
        <f t="shared" si="14"/>
        <v>0</v>
      </c>
    </row>
    <row r="106" spans="1:11" s="809" customFormat="1" x14ac:dyDescent="0.25">
      <c r="A106" s="121">
        <f t="shared" si="11"/>
        <v>73</v>
      </c>
      <c r="B106" s="772" t="s">
        <v>1670</v>
      </c>
      <c r="C106" s="770"/>
      <c r="D106" s="117"/>
      <c r="E106" s="65">
        <f>D106*'16-PlantAdditions'!$E$103</f>
        <v>0</v>
      </c>
      <c r="F106" s="65">
        <f t="shared" si="12"/>
        <v>0</v>
      </c>
      <c r="G106" s="117"/>
      <c r="H106" s="117"/>
      <c r="I106" s="65">
        <f>(G106-H106)*'16-PlantAdditions'!$E$103</f>
        <v>0</v>
      </c>
      <c r="J106" s="65">
        <f t="shared" si="13"/>
        <v>0</v>
      </c>
      <c r="K106" s="65">
        <f t="shared" si="14"/>
        <v>0</v>
      </c>
    </row>
    <row r="107" spans="1:11" s="809" customFormat="1" x14ac:dyDescent="0.25">
      <c r="A107" s="121">
        <f t="shared" si="11"/>
        <v>74</v>
      </c>
      <c r="B107" s="769" t="s">
        <v>205</v>
      </c>
      <c r="C107" s="770"/>
      <c r="D107" s="117"/>
      <c r="E107" s="65">
        <f>D107*'16-PlantAdditions'!$E$103</f>
        <v>0</v>
      </c>
      <c r="F107" s="65">
        <f t="shared" si="12"/>
        <v>0</v>
      </c>
      <c r="G107" s="117"/>
      <c r="H107" s="117"/>
      <c r="I107" s="65">
        <f>(G107-H107)*'16-PlantAdditions'!$E$103</f>
        <v>0</v>
      </c>
      <c r="J107" s="65">
        <f t="shared" si="13"/>
        <v>0</v>
      </c>
      <c r="K107" s="65">
        <f t="shared" si="14"/>
        <v>0</v>
      </c>
    </row>
    <row r="108" spans="1:11" s="809" customFormat="1" x14ac:dyDescent="0.25">
      <c r="A108" s="121">
        <f t="shared" si="11"/>
        <v>75</v>
      </c>
      <c r="B108" s="772" t="s">
        <v>206</v>
      </c>
      <c r="C108" s="770"/>
      <c r="D108" s="117"/>
      <c r="E108" s="65">
        <f>D108*'16-PlantAdditions'!$E$103</f>
        <v>0</v>
      </c>
      <c r="F108" s="65">
        <f t="shared" si="12"/>
        <v>0</v>
      </c>
      <c r="G108" s="117"/>
      <c r="H108" s="117"/>
      <c r="I108" s="65">
        <f>(G108-H108)*'16-PlantAdditions'!$E$103</f>
        <v>0</v>
      </c>
      <c r="J108" s="65">
        <f t="shared" si="13"/>
        <v>0</v>
      </c>
      <c r="K108" s="65">
        <f t="shared" si="14"/>
        <v>0</v>
      </c>
    </row>
    <row r="109" spans="1:11" s="809" customFormat="1" x14ac:dyDescent="0.25">
      <c r="A109" s="121">
        <f>A108+1</f>
        <v>76</v>
      </c>
      <c r="B109" s="772" t="s">
        <v>207</v>
      </c>
      <c r="C109" s="770"/>
      <c r="D109" s="117"/>
      <c r="E109" s="65">
        <f>D109*'16-PlantAdditions'!$E$103</f>
        <v>0</v>
      </c>
      <c r="F109" s="65">
        <f t="shared" si="12"/>
        <v>0</v>
      </c>
      <c r="G109" s="117"/>
      <c r="H109" s="117"/>
      <c r="I109" s="65">
        <f>(G109-H109)*'16-PlantAdditions'!$E$103</f>
        <v>0</v>
      </c>
      <c r="J109" s="65">
        <f>J108+F109-G109-I109</f>
        <v>0</v>
      </c>
      <c r="K109" s="65">
        <f t="shared" si="14"/>
        <v>0</v>
      </c>
    </row>
    <row r="110" spans="1:11" s="809" customFormat="1" x14ac:dyDescent="0.25">
      <c r="A110" s="121">
        <f t="shared" ref="A110:A113" si="15">A109+1</f>
        <v>77</v>
      </c>
      <c r="B110" s="772" t="s">
        <v>210</v>
      </c>
      <c r="C110" s="770"/>
      <c r="D110" s="117"/>
      <c r="E110" s="65">
        <f>D110*'16-PlantAdditions'!$E$103</f>
        <v>0</v>
      </c>
      <c r="F110" s="65">
        <f t="shared" si="12"/>
        <v>0</v>
      </c>
      <c r="G110" s="117"/>
      <c r="H110" s="117"/>
      <c r="I110" s="65">
        <f>(G110-H110)*'16-PlantAdditions'!$E$103</f>
        <v>0</v>
      </c>
      <c r="J110" s="65">
        <f t="shared" ref="J110:J112" si="16">J109+F110-G110-I110</f>
        <v>0</v>
      </c>
      <c r="K110" s="65">
        <f t="shared" si="14"/>
        <v>0</v>
      </c>
    </row>
    <row r="111" spans="1:11" s="809" customFormat="1" x14ac:dyDescent="0.25">
      <c r="A111" s="121">
        <f t="shared" si="15"/>
        <v>78</v>
      </c>
      <c r="B111" s="772" t="s">
        <v>209</v>
      </c>
      <c r="C111" s="770"/>
      <c r="D111" s="117"/>
      <c r="E111" s="65">
        <f>D111*'16-PlantAdditions'!$E$103</f>
        <v>0</v>
      </c>
      <c r="F111" s="65">
        <f t="shared" si="12"/>
        <v>0</v>
      </c>
      <c r="G111" s="117"/>
      <c r="H111" s="117"/>
      <c r="I111" s="65">
        <f>(G111-H111)*'16-PlantAdditions'!$E$103</f>
        <v>0</v>
      </c>
      <c r="J111" s="65">
        <f t="shared" si="16"/>
        <v>0</v>
      </c>
      <c r="K111" s="65">
        <f t="shared" si="14"/>
        <v>0</v>
      </c>
    </row>
    <row r="112" spans="1:11" s="809" customFormat="1" x14ac:dyDescent="0.25">
      <c r="A112" s="121">
        <f t="shared" si="15"/>
        <v>79</v>
      </c>
      <c r="B112" s="772" t="s">
        <v>199</v>
      </c>
      <c r="C112" s="770"/>
      <c r="D112" s="117"/>
      <c r="E112" s="65">
        <f>D112*'16-PlantAdditions'!$E$103</f>
        <v>0</v>
      </c>
      <c r="F112" s="65">
        <f t="shared" si="12"/>
        <v>0</v>
      </c>
      <c r="G112" s="117"/>
      <c r="H112" s="117"/>
      <c r="I112" s="65">
        <f>(G112-H112)*'16-PlantAdditions'!$E$103</f>
        <v>0</v>
      </c>
      <c r="J112" s="65">
        <f t="shared" si="16"/>
        <v>0</v>
      </c>
      <c r="K112" s="122">
        <f t="shared" si="14"/>
        <v>0</v>
      </c>
    </row>
    <row r="113" spans="1:11" s="809" customFormat="1" x14ac:dyDescent="0.25">
      <c r="A113" s="121">
        <f t="shared" si="15"/>
        <v>80</v>
      </c>
      <c r="B113"/>
      <c r="C113" s="808" t="s">
        <v>1846</v>
      </c>
      <c r="D113"/>
      <c r="E113"/>
      <c r="F113"/>
      <c r="G113"/>
      <c r="H113"/>
      <c r="I113"/>
      <c r="J113"/>
      <c r="K113" s="80">
        <f>AVERAGE(K100:K112)</f>
        <v>0</v>
      </c>
    </row>
    <row r="114" spans="1:11" s="809" customFormat="1" x14ac:dyDescent="0.25">
      <c r="A114" s="121"/>
      <c r="B114"/>
      <c r="C114" s="808"/>
      <c r="D114"/>
      <c r="E114"/>
      <c r="F114"/>
      <c r="G114"/>
      <c r="H114"/>
      <c r="I114"/>
      <c r="J114"/>
      <c r="K114" s="80"/>
    </row>
    <row r="115" spans="1:11" s="809" customFormat="1" x14ac:dyDescent="0.25">
      <c r="B115" s="810" t="s">
        <v>2359</v>
      </c>
      <c r="D115" s="1297" t="s">
        <v>2360</v>
      </c>
      <c r="E115" s="1297"/>
    </row>
    <row r="116" spans="1:11" s="809" customFormat="1" x14ac:dyDescent="0.25">
      <c r="A116" s="804"/>
      <c r="B116" s="804"/>
      <c r="C116" s="804"/>
      <c r="D116" s="804" t="s">
        <v>394</v>
      </c>
      <c r="E116" s="804" t="s">
        <v>378</v>
      </c>
      <c r="F116" s="804" t="s">
        <v>379</v>
      </c>
      <c r="G116" s="804" t="s">
        <v>380</v>
      </c>
      <c r="H116" s="804" t="s">
        <v>381</v>
      </c>
      <c r="I116" s="804" t="s">
        <v>382</v>
      </c>
      <c r="J116" s="804" t="s">
        <v>383</v>
      </c>
      <c r="K116" s="804" t="s">
        <v>597</v>
      </c>
    </row>
    <row r="117" spans="1:11" s="809" customFormat="1" ht="26.4" x14ac:dyDescent="0.25">
      <c r="D117" s="811"/>
      <c r="E117" s="812" t="s">
        <v>2620</v>
      </c>
      <c r="F117" s="813" t="s">
        <v>2356</v>
      </c>
      <c r="G117" s="560"/>
      <c r="H117" s="811"/>
      <c r="I117" s="812" t="s">
        <v>2621</v>
      </c>
      <c r="J117" s="812" t="s">
        <v>2357</v>
      </c>
      <c r="K117" s="812" t="s">
        <v>2358</v>
      </c>
    </row>
    <row r="118" spans="1:11" s="809" customFormat="1" x14ac:dyDescent="0.25">
      <c r="D118" s="811"/>
      <c r="E118" s="811"/>
      <c r="F118" s="811"/>
      <c r="G118" s="689" t="str">
        <f>G51</f>
        <v>Unloaded</v>
      </c>
      <c r="H118" s="811"/>
      <c r="I118" s="811"/>
    </row>
    <row r="119" spans="1:11" s="809" customFormat="1" x14ac:dyDescent="0.25">
      <c r="A119" s="806"/>
      <c r="B119" s="806"/>
      <c r="C119" s="806"/>
      <c r="D119" s="806" t="str">
        <f>D$52</f>
        <v>Forecast</v>
      </c>
      <c r="E119" s="806" t="str">
        <f t="shared" ref="E119:J119" si="17">E$52</f>
        <v>Corporate</v>
      </c>
      <c r="F119" s="806" t="str">
        <f t="shared" si="17"/>
        <v xml:space="preserve">Total </v>
      </c>
      <c r="G119" s="689" t="str">
        <f>G52</f>
        <v>Total</v>
      </c>
      <c r="H119" s="806" t="str">
        <f t="shared" si="17"/>
        <v>Prior Period</v>
      </c>
      <c r="I119" s="806" t="str">
        <f t="shared" si="17"/>
        <v>Over Heads</v>
      </c>
      <c r="J119" s="806" t="str">
        <f t="shared" si="17"/>
        <v>Forecast</v>
      </c>
      <c r="K119" s="689" t="str">
        <f>K$52</f>
        <v>Forecast Period</v>
      </c>
    </row>
    <row r="120" spans="1:11" s="809" customFormat="1" x14ac:dyDescent="0.25">
      <c r="A120" s="1139" t="s">
        <v>360</v>
      </c>
      <c r="B120" s="768" t="s">
        <v>211</v>
      </c>
      <c r="C120" s="768" t="s">
        <v>212</v>
      </c>
      <c r="D120" s="804" t="str">
        <f>D$53</f>
        <v>Expenditures</v>
      </c>
      <c r="E120" s="804" t="str">
        <f t="shared" ref="E120:J120" si="18">E$53</f>
        <v>Overheads</v>
      </c>
      <c r="F120" s="804" t="str">
        <f t="shared" si="18"/>
        <v>CWIP Exp</v>
      </c>
      <c r="G120" s="3" t="str">
        <f>G53</f>
        <v>Plant Adds</v>
      </c>
      <c r="H120" s="804" t="str">
        <f t="shared" si="18"/>
        <v>CWIP Closed</v>
      </c>
      <c r="I120" s="804" t="str">
        <f t="shared" si="18"/>
        <v>Closed to PIS</v>
      </c>
      <c r="J120" s="804" t="str">
        <f t="shared" si="18"/>
        <v>Period CWIP</v>
      </c>
      <c r="K120" s="804" t="str">
        <f>K$53</f>
        <v>Incremental CWIP</v>
      </c>
    </row>
    <row r="121" spans="1:11" s="809" customFormat="1" x14ac:dyDescent="0.25">
      <c r="A121" s="121">
        <f>A113+1</f>
        <v>81</v>
      </c>
      <c r="B121" s="769" t="s">
        <v>199</v>
      </c>
      <c r="C121" s="770"/>
      <c r="D121" s="813" t="s">
        <v>86</v>
      </c>
      <c r="E121" s="813" t="s">
        <v>86</v>
      </c>
      <c r="F121" s="813" t="s">
        <v>86</v>
      </c>
      <c r="G121" s="813" t="s">
        <v>86</v>
      </c>
      <c r="H121" s="813" t="s">
        <v>86</v>
      </c>
      <c r="I121" s="813" t="s">
        <v>86</v>
      </c>
      <c r="J121" s="65">
        <f>F25</f>
        <v>0</v>
      </c>
      <c r="K121" s="813" t="s">
        <v>86</v>
      </c>
    </row>
    <row r="122" spans="1:11" s="809" customFormat="1" x14ac:dyDescent="0.25">
      <c r="A122" s="121">
        <f>A121+1</f>
        <v>82</v>
      </c>
      <c r="B122" s="769" t="s">
        <v>200</v>
      </c>
      <c r="C122" s="770"/>
      <c r="D122" s="117"/>
      <c r="E122" s="65">
        <f>D122*'16-PlantAdditions'!$E$103</f>
        <v>0</v>
      </c>
      <c r="F122" s="65">
        <f>E122+D122</f>
        <v>0</v>
      </c>
      <c r="G122" s="117"/>
      <c r="H122" s="117"/>
      <c r="I122" s="65">
        <f>(G122-H122)*'16-PlantAdditions'!$E$103</f>
        <v>0</v>
      </c>
      <c r="J122" s="65">
        <f>J121+F122-G122-I122</f>
        <v>0</v>
      </c>
      <c r="K122" s="566">
        <f>J122-$J$121</f>
        <v>0</v>
      </c>
    </row>
    <row r="123" spans="1:11" s="809" customFormat="1" x14ac:dyDescent="0.25">
      <c r="A123" s="121">
        <f t="shared" ref="A123:A146" si="19">A122+1</f>
        <v>83</v>
      </c>
      <c r="B123" s="772" t="s">
        <v>201</v>
      </c>
      <c r="C123" s="770"/>
      <c r="D123" s="117"/>
      <c r="E123" s="65">
        <f>D123*'16-PlantAdditions'!$E$103</f>
        <v>0</v>
      </c>
      <c r="F123" s="65">
        <f t="shared" ref="F123:F145" si="20">E123+D123</f>
        <v>0</v>
      </c>
      <c r="G123" s="117"/>
      <c r="H123" s="117"/>
      <c r="I123" s="65">
        <f>(G123-H123)*'16-PlantAdditions'!$E$103</f>
        <v>0</v>
      </c>
      <c r="J123" s="65">
        <f t="shared" ref="J123:J145" si="21">J122+F123-G123-I123</f>
        <v>0</v>
      </c>
      <c r="K123" s="566">
        <f t="shared" ref="K123:K145" si="22">J123-$J$121</f>
        <v>0</v>
      </c>
    </row>
    <row r="124" spans="1:11" s="809" customFormat="1" x14ac:dyDescent="0.25">
      <c r="A124" s="121">
        <f t="shared" si="19"/>
        <v>84</v>
      </c>
      <c r="B124" s="772" t="s">
        <v>214</v>
      </c>
      <c r="C124" s="770"/>
      <c r="D124" s="117"/>
      <c r="E124" s="65">
        <f>D124*'16-PlantAdditions'!$E$103</f>
        <v>0</v>
      </c>
      <c r="F124" s="65">
        <f t="shared" si="20"/>
        <v>0</v>
      </c>
      <c r="G124" s="117"/>
      <c r="H124" s="117"/>
      <c r="I124" s="65">
        <f>(G124-H124)*'16-PlantAdditions'!$E$103</f>
        <v>0</v>
      </c>
      <c r="J124" s="65">
        <f t="shared" si="21"/>
        <v>0</v>
      </c>
      <c r="K124" s="566">
        <f t="shared" si="22"/>
        <v>0</v>
      </c>
    </row>
    <row r="125" spans="1:11" s="809" customFormat="1" x14ac:dyDescent="0.25">
      <c r="A125" s="121">
        <f t="shared" si="19"/>
        <v>85</v>
      </c>
      <c r="B125" s="769" t="s">
        <v>202</v>
      </c>
      <c r="C125" s="770"/>
      <c r="D125" s="117"/>
      <c r="E125" s="65">
        <f>D125*'16-PlantAdditions'!$E$103</f>
        <v>0</v>
      </c>
      <c r="F125" s="65">
        <f t="shared" si="20"/>
        <v>0</v>
      </c>
      <c r="G125" s="117"/>
      <c r="H125" s="117"/>
      <c r="I125" s="65">
        <f>(G125-H125)*'16-PlantAdditions'!$E$103</f>
        <v>0</v>
      </c>
      <c r="J125" s="65">
        <f t="shared" si="21"/>
        <v>0</v>
      </c>
      <c r="K125" s="566">
        <f t="shared" si="22"/>
        <v>0</v>
      </c>
    </row>
    <row r="126" spans="1:11" s="809" customFormat="1" x14ac:dyDescent="0.25">
      <c r="A126" s="121">
        <f t="shared" si="19"/>
        <v>86</v>
      </c>
      <c r="B126" s="772" t="s">
        <v>203</v>
      </c>
      <c r="C126" s="770"/>
      <c r="D126" s="117"/>
      <c r="E126" s="65">
        <f>D126*'16-PlantAdditions'!$E$103</f>
        <v>0</v>
      </c>
      <c r="F126" s="65">
        <f t="shared" si="20"/>
        <v>0</v>
      </c>
      <c r="G126" s="117"/>
      <c r="H126" s="117"/>
      <c r="I126" s="65">
        <f>(G126-H126)*'16-PlantAdditions'!$E$103</f>
        <v>0</v>
      </c>
      <c r="J126" s="65">
        <f t="shared" si="21"/>
        <v>0</v>
      </c>
      <c r="K126" s="566">
        <f t="shared" si="22"/>
        <v>0</v>
      </c>
    </row>
    <row r="127" spans="1:11" s="809" customFormat="1" x14ac:dyDescent="0.25">
      <c r="A127" s="121">
        <f t="shared" si="19"/>
        <v>87</v>
      </c>
      <c r="B127" s="772" t="s">
        <v>1670</v>
      </c>
      <c r="C127" s="770"/>
      <c r="D127" s="117"/>
      <c r="E127" s="65">
        <f>D127*'16-PlantAdditions'!$E$103</f>
        <v>0</v>
      </c>
      <c r="F127" s="65">
        <f t="shared" si="20"/>
        <v>0</v>
      </c>
      <c r="G127" s="117"/>
      <c r="H127" s="117"/>
      <c r="I127" s="65">
        <f>(G127-H127)*'16-PlantAdditions'!$E$103</f>
        <v>0</v>
      </c>
      <c r="J127" s="65">
        <f t="shared" si="21"/>
        <v>0</v>
      </c>
      <c r="K127" s="566">
        <f t="shared" si="22"/>
        <v>0</v>
      </c>
    </row>
    <row r="128" spans="1:11" s="809" customFormat="1" x14ac:dyDescent="0.25">
      <c r="A128" s="121">
        <f t="shared" si="19"/>
        <v>88</v>
      </c>
      <c r="B128" s="769" t="s">
        <v>205</v>
      </c>
      <c r="C128" s="770"/>
      <c r="D128" s="117"/>
      <c r="E128" s="65">
        <f>D128*'16-PlantAdditions'!$E$103</f>
        <v>0</v>
      </c>
      <c r="F128" s="65">
        <f t="shared" si="20"/>
        <v>0</v>
      </c>
      <c r="G128" s="117"/>
      <c r="H128" s="117"/>
      <c r="I128" s="65">
        <f>(G128-H128)*'16-PlantAdditions'!$E$103</f>
        <v>0</v>
      </c>
      <c r="J128" s="65">
        <f t="shared" si="21"/>
        <v>0</v>
      </c>
      <c r="K128" s="566">
        <f t="shared" si="22"/>
        <v>0</v>
      </c>
    </row>
    <row r="129" spans="1:11" s="809" customFormat="1" x14ac:dyDescent="0.25">
      <c r="A129" s="121">
        <f t="shared" si="19"/>
        <v>89</v>
      </c>
      <c r="B129" s="772" t="s">
        <v>206</v>
      </c>
      <c r="C129" s="770"/>
      <c r="D129" s="117"/>
      <c r="E129" s="65">
        <f>D129*'16-PlantAdditions'!$E$103</f>
        <v>0</v>
      </c>
      <c r="F129" s="65">
        <f t="shared" si="20"/>
        <v>0</v>
      </c>
      <c r="G129" s="117"/>
      <c r="H129" s="117"/>
      <c r="I129" s="65">
        <f>(G129-H129)*'16-PlantAdditions'!$E$103</f>
        <v>0</v>
      </c>
      <c r="J129" s="65">
        <f t="shared" si="21"/>
        <v>0</v>
      </c>
      <c r="K129" s="566">
        <f t="shared" si="22"/>
        <v>0</v>
      </c>
    </row>
    <row r="130" spans="1:11" s="809" customFormat="1" x14ac:dyDescent="0.25">
      <c r="A130" s="121">
        <f t="shared" si="19"/>
        <v>90</v>
      </c>
      <c r="B130" s="772" t="s">
        <v>207</v>
      </c>
      <c r="C130" s="770"/>
      <c r="D130" s="117"/>
      <c r="E130" s="65">
        <f>D130*'16-PlantAdditions'!$E$103</f>
        <v>0</v>
      </c>
      <c r="F130" s="65">
        <f t="shared" si="20"/>
        <v>0</v>
      </c>
      <c r="G130" s="117"/>
      <c r="H130" s="117"/>
      <c r="I130" s="65">
        <f>(G130-H130)*'16-PlantAdditions'!$E$103</f>
        <v>0</v>
      </c>
      <c r="J130" s="65">
        <f t="shared" si="21"/>
        <v>0</v>
      </c>
      <c r="K130" s="566">
        <f t="shared" si="22"/>
        <v>0</v>
      </c>
    </row>
    <row r="131" spans="1:11" s="809" customFormat="1" x14ac:dyDescent="0.25">
      <c r="A131" s="121">
        <f t="shared" si="19"/>
        <v>91</v>
      </c>
      <c r="B131" s="769" t="s">
        <v>210</v>
      </c>
      <c r="C131" s="770"/>
      <c r="D131" s="117"/>
      <c r="E131" s="65">
        <f>D131*'16-PlantAdditions'!$E$103</f>
        <v>0</v>
      </c>
      <c r="F131" s="65">
        <f t="shared" si="20"/>
        <v>0</v>
      </c>
      <c r="G131" s="117"/>
      <c r="H131" s="117"/>
      <c r="I131" s="65">
        <f>(G131-H131)*'16-PlantAdditions'!$E$103</f>
        <v>0</v>
      </c>
      <c r="J131" s="65">
        <f t="shared" si="21"/>
        <v>0</v>
      </c>
      <c r="K131" s="566">
        <f t="shared" si="22"/>
        <v>0</v>
      </c>
    </row>
    <row r="132" spans="1:11" s="809" customFormat="1" x14ac:dyDescent="0.25">
      <c r="A132" s="121">
        <f t="shared" si="19"/>
        <v>92</v>
      </c>
      <c r="B132" s="769" t="s">
        <v>209</v>
      </c>
      <c r="C132" s="770"/>
      <c r="D132" s="117"/>
      <c r="E132" s="65">
        <f>D132*'16-PlantAdditions'!$E$103</f>
        <v>0</v>
      </c>
      <c r="F132" s="65">
        <f t="shared" si="20"/>
        <v>0</v>
      </c>
      <c r="G132" s="117"/>
      <c r="H132" s="117"/>
      <c r="I132" s="65">
        <f>(G132-H132)*'16-PlantAdditions'!$E$103</f>
        <v>0</v>
      </c>
      <c r="J132" s="65">
        <f t="shared" si="21"/>
        <v>0</v>
      </c>
      <c r="K132" s="566">
        <f t="shared" si="22"/>
        <v>0</v>
      </c>
    </row>
    <row r="133" spans="1:11" s="809" customFormat="1" x14ac:dyDescent="0.25">
      <c r="A133" s="121">
        <f t="shared" si="19"/>
        <v>93</v>
      </c>
      <c r="B133" s="769" t="s">
        <v>199</v>
      </c>
      <c r="C133" s="770"/>
      <c r="D133" s="117"/>
      <c r="E133" s="65">
        <f>D133*'16-PlantAdditions'!$E$103</f>
        <v>0</v>
      </c>
      <c r="F133" s="65">
        <f t="shared" si="20"/>
        <v>0</v>
      </c>
      <c r="G133" s="117"/>
      <c r="H133" s="117"/>
      <c r="I133" s="65">
        <f>(G133-H133)*'16-PlantAdditions'!$E$103</f>
        <v>0</v>
      </c>
      <c r="J133" s="65">
        <f t="shared" si="21"/>
        <v>0</v>
      </c>
      <c r="K133" s="566">
        <f t="shared" si="22"/>
        <v>0</v>
      </c>
    </row>
    <row r="134" spans="1:11" s="809" customFormat="1" x14ac:dyDescent="0.25">
      <c r="A134" s="121">
        <f t="shared" si="19"/>
        <v>94</v>
      </c>
      <c r="B134" s="769" t="s">
        <v>200</v>
      </c>
      <c r="C134" s="770"/>
      <c r="D134" s="117"/>
      <c r="E134" s="65">
        <f>D134*'16-PlantAdditions'!$E$103</f>
        <v>0</v>
      </c>
      <c r="F134" s="65">
        <f t="shared" si="20"/>
        <v>0</v>
      </c>
      <c r="G134" s="117"/>
      <c r="H134" s="117"/>
      <c r="I134" s="65">
        <f>(G134-H134)*'16-PlantAdditions'!$E$103</f>
        <v>0</v>
      </c>
      <c r="J134" s="65">
        <f t="shared" si="21"/>
        <v>0</v>
      </c>
      <c r="K134" s="566">
        <f t="shared" si="22"/>
        <v>0</v>
      </c>
    </row>
    <row r="135" spans="1:11" s="809" customFormat="1" x14ac:dyDescent="0.25">
      <c r="A135" s="121">
        <f t="shared" si="19"/>
        <v>95</v>
      </c>
      <c r="B135" s="772" t="s">
        <v>201</v>
      </c>
      <c r="C135" s="770"/>
      <c r="D135" s="117"/>
      <c r="E135" s="65">
        <f>D135*'16-PlantAdditions'!$E$103</f>
        <v>0</v>
      </c>
      <c r="F135" s="65">
        <f t="shared" si="20"/>
        <v>0</v>
      </c>
      <c r="G135" s="117"/>
      <c r="H135" s="117"/>
      <c r="I135" s="65">
        <f>(G135-H135)*'16-PlantAdditions'!$E$103</f>
        <v>0</v>
      </c>
      <c r="J135" s="65">
        <f t="shared" si="21"/>
        <v>0</v>
      </c>
      <c r="K135" s="566">
        <f t="shared" si="22"/>
        <v>0</v>
      </c>
    </row>
    <row r="136" spans="1:11" s="809" customFormat="1" x14ac:dyDescent="0.25">
      <c r="A136" s="121">
        <f t="shared" si="19"/>
        <v>96</v>
      </c>
      <c r="B136" s="772" t="s">
        <v>214</v>
      </c>
      <c r="C136" s="770"/>
      <c r="D136" s="117"/>
      <c r="E136" s="65">
        <f>D136*'16-PlantAdditions'!$E$103</f>
        <v>0</v>
      </c>
      <c r="F136" s="65">
        <f t="shared" si="20"/>
        <v>0</v>
      </c>
      <c r="G136" s="117"/>
      <c r="H136" s="117"/>
      <c r="I136" s="65">
        <f>(G136-H136)*'16-PlantAdditions'!$E$103</f>
        <v>0</v>
      </c>
      <c r="J136" s="65">
        <f t="shared" si="21"/>
        <v>0</v>
      </c>
      <c r="K136" s="566">
        <f t="shared" si="22"/>
        <v>0</v>
      </c>
    </row>
    <row r="137" spans="1:11" s="809" customFormat="1" x14ac:dyDescent="0.25">
      <c r="A137" s="121">
        <f t="shared" si="19"/>
        <v>97</v>
      </c>
      <c r="B137" s="769" t="s">
        <v>202</v>
      </c>
      <c r="C137" s="770"/>
      <c r="D137" s="117"/>
      <c r="E137" s="65">
        <f>D137*'16-PlantAdditions'!$E$103</f>
        <v>0</v>
      </c>
      <c r="F137" s="65">
        <f t="shared" si="20"/>
        <v>0</v>
      </c>
      <c r="G137" s="117"/>
      <c r="H137" s="117"/>
      <c r="I137" s="65">
        <f>(G137-H137)*'16-PlantAdditions'!$E$103</f>
        <v>0</v>
      </c>
      <c r="J137" s="65">
        <f t="shared" si="21"/>
        <v>0</v>
      </c>
      <c r="K137" s="566">
        <f t="shared" si="22"/>
        <v>0</v>
      </c>
    </row>
    <row r="138" spans="1:11" s="809" customFormat="1" x14ac:dyDescent="0.25">
      <c r="A138" s="121">
        <f t="shared" si="19"/>
        <v>98</v>
      </c>
      <c r="B138" s="772" t="s">
        <v>203</v>
      </c>
      <c r="C138" s="770"/>
      <c r="D138" s="117"/>
      <c r="E138" s="65">
        <f>D138*'16-PlantAdditions'!$E$103</f>
        <v>0</v>
      </c>
      <c r="F138" s="65">
        <f t="shared" si="20"/>
        <v>0</v>
      </c>
      <c r="G138" s="117"/>
      <c r="H138" s="117"/>
      <c r="I138" s="65">
        <f>(G138-H138)*'16-PlantAdditions'!$E$103</f>
        <v>0</v>
      </c>
      <c r="J138" s="65">
        <f t="shared" si="21"/>
        <v>0</v>
      </c>
      <c r="K138" s="566">
        <f t="shared" si="22"/>
        <v>0</v>
      </c>
    </row>
    <row r="139" spans="1:11" s="809" customFormat="1" x14ac:dyDescent="0.25">
      <c r="A139" s="121">
        <f t="shared" si="19"/>
        <v>99</v>
      </c>
      <c r="B139" s="772" t="s">
        <v>1670</v>
      </c>
      <c r="C139" s="770"/>
      <c r="D139" s="117"/>
      <c r="E139" s="65">
        <f>D139*'16-PlantAdditions'!$E$103</f>
        <v>0</v>
      </c>
      <c r="F139" s="65">
        <f t="shared" si="20"/>
        <v>0</v>
      </c>
      <c r="G139" s="117"/>
      <c r="H139" s="117"/>
      <c r="I139" s="65">
        <f>(G139-H139)*'16-PlantAdditions'!$E$103</f>
        <v>0</v>
      </c>
      <c r="J139" s="65">
        <f t="shared" si="21"/>
        <v>0</v>
      </c>
      <c r="K139" s="566">
        <f t="shared" si="22"/>
        <v>0</v>
      </c>
    </row>
    <row r="140" spans="1:11" s="809" customFormat="1" x14ac:dyDescent="0.25">
      <c r="A140" s="121">
        <f t="shared" si="19"/>
        <v>100</v>
      </c>
      <c r="B140" s="769" t="s">
        <v>205</v>
      </c>
      <c r="C140" s="770"/>
      <c r="D140" s="117"/>
      <c r="E140" s="65">
        <f>D140*'16-PlantAdditions'!$E$103</f>
        <v>0</v>
      </c>
      <c r="F140" s="65">
        <f t="shared" si="20"/>
        <v>0</v>
      </c>
      <c r="G140" s="117"/>
      <c r="H140" s="117"/>
      <c r="I140" s="65">
        <f>(G140-H140)*'16-PlantAdditions'!$E$103</f>
        <v>0</v>
      </c>
      <c r="J140" s="65">
        <f t="shared" si="21"/>
        <v>0</v>
      </c>
      <c r="K140" s="566">
        <f t="shared" si="22"/>
        <v>0</v>
      </c>
    </row>
    <row r="141" spans="1:11" s="809" customFormat="1" x14ac:dyDescent="0.25">
      <c r="A141" s="121">
        <f t="shared" si="19"/>
        <v>101</v>
      </c>
      <c r="B141" s="772" t="s">
        <v>206</v>
      </c>
      <c r="C141" s="770"/>
      <c r="D141" s="117"/>
      <c r="E141" s="65">
        <f>D141*'16-PlantAdditions'!$E$103</f>
        <v>0</v>
      </c>
      <c r="F141" s="65">
        <f t="shared" si="20"/>
        <v>0</v>
      </c>
      <c r="G141" s="117"/>
      <c r="H141" s="117"/>
      <c r="I141" s="65">
        <f>(G141-H141)*'16-PlantAdditions'!$E$103</f>
        <v>0</v>
      </c>
      <c r="J141" s="65">
        <f t="shared" si="21"/>
        <v>0</v>
      </c>
      <c r="K141" s="566">
        <f t="shared" si="22"/>
        <v>0</v>
      </c>
    </row>
    <row r="142" spans="1:11" s="809" customFormat="1" x14ac:dyDescent="0.25">
      <c r="A142" s="121">
        <f t="shared" si="19"/>
        <v>102</v>
      </c>
      <c r="B142" s="772" t="s">
        <v>207</v>
      </c>
      <c r="C142" s="770"/>
      <c r="D142" s="117"/>
      <c r="E142" s="65">
        <f>D142*'16-PlantAdditions'!$E$103</f>
        <v>0</v>
      </c>
      <c r="F142" s="65">
        <f t="shared" si="20"/>
        <v>0</v>
      </c>
      <c r="G142" s="117"/>
      <c r="H142" s="117"/>
      <c r="I142" s="65">
        <f>(G142-H142)*'16-PlantAdditions'!$E$103</f>
        <v>0</v>
      </c>
      <c r="J142" s="65">
        <f t="shared" si="21"/>
        <v>0</v>
      </c>
      <c r="K142" s="566">
        <f t="shared" si="22"/>
        <v>0</v>
      </c>
    </row>
    <row r="143" spans="1:11" s="809" customFormat="1" x14ac:dyDescent="0.25">
      <c r="A143" s="121">
        <f t="shared" si="19"/>
        <v>103</v>
      </c>
      <c r="B143" s="772" t="s">
        <v>210</v>
      </c>
      <c r="C143" s="770"/>
      <c r="D143" s="117"/>
      <c r="E143" s="65">
        <f>D143*'16-PlantAdditions'!$E$103</f>
        <v>0</v>
      </c>
      <c r="F143" s="65">
        <f t="shared" si="20"/>
        <v>0</v>
      </c>
      <c r="G143" s="117"/>
      <c r="H143" s="117"/>
      <c r="I143" s="65">
        <f>(G143-H143)*'16-PlantAdditions'!$E$103</f>
        <v>0</v>
      </c>
      <c r="J143" s="65">
        <f t="shared" si="21"/>
        <v>0</v>
      </c>
      <c r="K143" s="566">
        <f t="shared" si="22"/>
        <v>0</v>
      </c>
    </row>
    <row r="144" spans="1:11" s="809" customFormat="1" x14ac:dyDescent="0.25">
      <c r="A144" s="121">
        <f t="shared" si="19"/>
        <v>104</v>
      </c>
      <c r="B144" s="772" t="s">
        <v>209</v>
      </c>
      <c r="C144" s="770"/>
      <c r="D144" s="117"/>
      <c r="E144" s="65">
        <f>D144*'16-PlantAdditions'!$E$103</f>
        <v>0</v>
      </c>
      <c r="F144" s="65">
        <f t="shared" si="20"/>
        <v>0</v>
      </c>
      <c r="G144" s="117"/>
      <c r="H144" s="117"/>
      <c r="I144" s="65">
        <f>(G144-H144)*'16-PlantAdditions'!$E$103</f>
        <v>0</v>
      </c>
      <c r="J144" s="65">
        <f t="shared" si="21"/>
        <v>0</v>
      </c>
      <c r="K144" s="566">
        <f t="shared" si="22"/>
        <v>0</v>
      </c>
    </row>
    <row r="145" spans="1:11" s="809" customFormat="1" x14ac:dyDescent="0.25">
      <c r="A145" s="121">
        <f t="shared" si="19"/>
        <v>105</v>
      </c>
      <c r="B145" s="772" t="s">
        <v>199</v>
      </c>
      <c r="C145" s="770"/>
      <c r="D145" s="117"/>
      <c r="E145" s="65">
        <f>D145*'16-PlantAdditions'!$E$103</f>
        <v>0</v>
      </c>
      <c r="F145" s="65">
        <f t="shared" si="20"/>
        <v>0</v>
      </c>
      <c r="G145" s="117"/>
      <c r="H145" s="117"/>
      <c r="I145" s="65">
        <f>(G145-H145)*'16-PlantAdditions'!$E$103</f>
        <v>0</v>
      </c>
      <c r="J145" s="65">
        <f t="shared" si="21"/>
        <v>0</v>
      </c>
      <c r="K145" s="122">
        <f t="shared" si="22"/>
        <v>0</v>
      </c>
    </row>
    <row r="146" spans="1:11" s="809" customFormat="1" x14ac:dyDescent="0.25">
      <c r="A146" s="121">
        <f t="shared" si="19"/>
        <v>106</v>
      </c>
      <c r="B146"/>
      <c r="C146" s="808" t="s">
        <v>1846</v>
      </c>
      <c r="D146"/>
      <c r="E146"/>
      <c r="F146"/>
      <c r="G146"/>
      <c r="H146"/>
      <c r="I146"/>
      <c r="J146"/>
      <c r="K146" s="80">
        <f>AVERAGE(K133:K145)</f>
        <v>0</v>
      </c>
    </row>
    <row r="147" spans="1:11" s="809" customFormat="1" x14ac:dyDescent="0.25">
      <c r="A147" s="121"/>
      <c r="B147"/>
      <c r="C147" s="808"/>
      <c r="D147"/>
      <c r="E147"/>
      <c r="F147"/>
      <c r="G147"/>
      <c r="H147"/>
      <c r="I147"/>
      <c r="J147"/>
      <c r="K147" s="80"/>
    </row>
    <row r="148" spans="1:11" s="809" customFormat="1" x14ac:dyDescent="0.25">
      <c r="B148" s="810" t="s">
        <v>2361</v>
      </c>
      <c r="D148" s="1297" t="s">
        <v>2362</v>
      </c>
      <c r="E148" s="1297"/>
    </row>
    <row r="149" spans="1:11" s="809" customFormat="1" x14ac:dyDescent="0.25">
      <c r="D149" s="811"/>
      <c r="E149" s="811"/>
      <c r="F149" s="811"/>
      <c r="G149" s="689" t="str">
        <f>G51</f>
        <v>Unloaded</v>
      </c>
      <c r="H149" s="811"/>
      <c r="I149" s="811"/>
    </row>
    <row r="150" spans="1:11" s="809" customFormat="1" x14ac:dyDescent="0.25">
      <c r="A150" s="806"/>
      <c r="B150" s="806"/>
      <c r="C150" s="806"/>
      <c r="D150" s="806" t="str">
        <f>D$52</f>
        <v>Forecast</v>
      </c>
      <c r="E150" s="806" t="str">
        <f t="shared" ref="E150:J150" si="23">E$52</f>
        <v>Corporate</v>
      </c>
      <c r="F150" s="806" t="str">
        <f t="shared" si="23"/>
        <v xml:space="preserve">Total </v>
      </c>
      <c r="G150" s="689" t="str">
        <f>G52</f>
        <v>Total</v>
      </c>
      <c r="H150" s="806" t="str">
        <f t="shared" si="23"/>
        <v>Prior Period</v>
      </c>
      <c r="I150" s="806" t="str">
        <f t="shared" si="23"/>
        <v>Over Heads</v>
      </c>
      <c r="J150" s="806" t="str">
        <f t="shared" si="23"/>
        <v>Forecast</v>
      </c>
      <c r="K150" s="689" t="str">
        <f>K$52</f>
        <v>Forecast Period</v>
      </c>
    </row>
    <row r="151" spans="1:11" s="809" customFormat="1" x14ac:dyDescent="0.25">
      <c r="A151" s="1139" t="s">
        <v>360</v>
      </c>
      <c r="B151" s="768" t="s">
        <v>211</v>
      </c>
      <c r="C151" s="768" t="s">
        <v>212</v>
      </c>
      <c r="D151" s="804" t="str">
        <f>D$53</f>
        <v>Expenditures</v>
      </c>
      <c r="E151" s="804" t="str">
        <f t="shared" ref="E151:J151" si="24">E$53</f>
        <v>Overheads</v>
      </c>
      <c r="F151" s="804" t="str">
        <f t="shared" si="24"/>
        <v>CWIP Exp</v>
      </c>
      <c r="G151" s="3" t="str">
        <f>G53</f>
        <v>Plant Adds</v>
      </c>
      <c r="H151" s="804" t="str">
        <f t="shared" si="24"/>
        <v>CWIP Closed</v>
      </c>
      <c r="I151" s="804" t="str">
        <f t="shared" si="24"/>
        <v>Closed to PIS</v>
      </c>
      <c r="J151" s="804" t="str">
        <f t="shared" si="24"/>
        <v>Period CWIP</v>
      </c>
      <c r="K151" s="804" t="str">
        <f>K$53</f>
        <v>Incremental CWIP</v>
      </c>
    </row>
    <row r="152" spans="1:11" s="809" customFormat="1" x14ac:dyDescent="0.25">
      <c r="A152" s="121">
        <f>A146+1</f>
        <v>107</v>
      </c>
      <c r="B152" s="769" t="s">
        <v>199</v>
      </c>
      <c r="C152" s="770"/>
      <c r="D152" s="813" t="s">
        <v>86</v>
      </c>
      <c r="E152" s="813" t="s">
        <v>86</v>
      </c>
      <c r="F152" s="813" t="s">
        <v>86</v>
      </c>
      <c r="G152" s="813" t="s">
        <v>86</v>
      </c>
      <c r="H152" s="813" t="s">
        <v>86</v>
      </c>
      <c r="I152" s="813" t="s">
        <v>86</v>
      </c>
      <c r="J152" s="65">
        <f>G25</f>
        <v>0</v>
      </c>
      <c r="K152" s="813" t="s">
        <v>86</v>
      </c>
    </row>
    <row r="153" spans="1:11" s="809" customFormat="1" x14ac:dyDescent="0.25">
      <c r="A153" s="121">
        <f>A152+1</f>
        <v>108</v>
      </c>
      <c r="B153" s="769" t="s">
        <v>200</v>
      </c>
      <c r="C153" s="770"/>
      <c r="D153" s="117"/>
      <c r="E153" s="65">
        <f>D153*'16-PlantAdditions'!$E$103</f>
        <v>0</v>
      </c>
      <c r="F153" s="65">
        <f>E153+D153</f>
        <v>0</v>
      </c>
      <c r="G153" s="117"/>
      <c r="H153" s="117"/>
      <c r="I153" s="65">
        <f>(G153-H153)*'16-PlantAdditions'!$E$103</f>
        <v>0</v>
      </c>
      <c r="J153" s="65">
        <f>J152+F153-G153-I153</f>
        <v>0</v>
      </c>
      <c r="K153" s="65">
        <f>J153-$J$152</f>
        <v>0</v>
      </c>
    </row>
    <row r="154" spans="1:11" s="809" customFormat="1" x14ac:dyDescent="0.25">
      <c r="A154" s="121">
        <f t="shared" ref="A154:A177" si="25">A153+1</f>
        <v>109</v>
      </c>
      <c r="B154" s="772" t="s">
        <v>201</v>
      </c>
      <c r="C154" s="770"/>
      <c r="D154" s="117"/>
      <c r="E154" s="65">
        <f>D154*'16-PlantAdditions'!$E$103</f>
        <v>0</v>
      </c>
      <c r="F154" s="65">
        <f t="shared" ref="F154:F176" si="26">E154+D154</f>
        <v>0</v>
      </c>
      <c r="G154" s="117"/>
      <c r="H154" s="117"/>
      <c r="I154" s="65">
        <f>(G154-H154)*'16-PlantAdditions'!$E$103</f>
        <v>0</v>
      </c>
      <c r="J154" s="65">
        <f t="shared" ref="J154:J173" si="27">J153+F154-G154-I154</f>
        <v>0</v>
      </c>
      <c r="K154" s="65">
        <f t="shared" ref="K154:K176" si="28">J154-$J$152</f>
        <v>0</v>
      </c>
    </row>
    <row r="155" spans="1:11" s="809" customFormat="1" x14ac:dyDescent="0.25">
      <c r="A155" s="121">
        <f t="shared" si="25"/>
        <v>110</v>
      </c>
      <c r="B155" s="772" t="s">
        <v>214</v>
      </c>
      <c r="C155" s="770"/>
      <c r="D155" s="117"/>
      <c r="E155" s="65">
        <f>D155*'16-PlantAdditions'!$E$103</f>
        <v>0</v>
      </c>
      <c r="F155" s="65">
        <f t="shared" si="26"/>
        <v>0</v>
      </c>
      <c r="G155" s="117"/>
      <c r="H155" s="117"/>
      <c r="I155" s="65">
        <f>(G155-H155)*'16-PlantAdditions'!$E$103</f>
        <v>0</v>
      </c>
      <c r="J155" s="65">
        <f t="shared" si="27"/>
        <v>0</v>
      </c>
      <c r="K155" s="65">
        <f t="shared" si="28"/>
        <v>0</v>
      </c>
    </row>
    <row r="156" spans="1:11" s="809" customFormat="1" x14ac:dyDescent="0.25">
      <c r="A156" s="121">
        <f t="shared" si="25"/>
        <v>111</v>
      </c>
      <c r="B156" s="769" t="s">
        <v>202</v>
      </c>
      <c r="C156" s="770"/>
      <c r="D156" s="117"/>
      <c r="E156" s="65">
        <f>D156*'16-PlantAdditions'!$E$103</f>
        <v>0</v>
      </c>
      <c r="F156" s="65">
        <f t="shared" si="26"/>
        <v>0</v>
      </c>
      <c r="G156" s="117"/>
      <c r="H156" s="117"/>
      <c r="I156" s="65">
        <f>(G156-H156)*'16-PlantAdditions'!$E$103</f>
        <v>0</v>
      </c>
      <c r="J156" s="65">
        <f t="shared" si="27"/>
        <v>0</v>
      </c>
      <c r="K156" s="65">
        <f t="shared" si="28"/>
        <v>0</v>
      </c>
    </row>
    <row r="157" spans="1:11" s="809" customFormat="1" x14ac:dyDescent="0.25">
      <c r="A157" s="121">
        <f t="shared" si="25"/>
        <v>112</v>
      </c>
      <c r="B157" s="772" t="s">
        <v>203</v>
      </c>
      <c r="C157" s="770"/>
      <c r="D157" s="117"/>
      <c r="E157" s="65">
        <f>D157*'16-PlantAdditions'!$E$103</f>
        <v>0</v>
      </c>
      <c r="F157" s="65">
        <f t="shared" si="26"/>
        <v>0</v>
      </c>
      <c r="G157" s="117"/>
      <c r="H157" s="117"/>
      <c r="I157" s="65">
        <f>(G157-H157)*'16-PlantAdditions'!$E$103</f>
        <v>0</v>
      </c>
      <c r="J157" s="65">
        <f t="shared" si="27"/>
        <v>0</v>
      </c>
      <c r="K157" s="65">
        <f t="shared" si="28"/>
        <v>0</v>
      </c>
    </row>
    <row r="158" spans="1:11" s="809" customFormat="1" x14ac:dyDescent="0.25">
      <c r="A158" s="121">
        <f t="shared" si="25"/>
        <v>113</v>
      </c>
      <c r="B158" s="772" t="s">
        <v>1670</v>
      </c>
      <c r="C158" s="770"/>
      <c r="D158" s="117"/>
      <c r="E158" s="65">
        <f>D158*'16-PlantAdditions'!$E$103</f>
        <v>0</v>
      </c>
      <c r="F158" s="65">
        <f t="shared" si="26"/>
        <v>0</v>
      </c>
      <c r="G158" s="117"/>
      <c r="H158" s="117"/>
      <c r="I158" s="65">
        <f>(G158-H158)*'16-PlantAdditions'!$E$103</f>
        <v>0</v>
      </c>
      <c r="J158" s="65">
        <f t="shared" si="27"/>
        <v>0</v>
      </c>
      <c r="K158" s="65">
        <f t="shared" si="28"/>
        <v>0</v>
      </c>
    </row>
    <row r="159" spans="1:11" s="809" customFormat="1" x14ac:dyDescent="0.25">
      <c r="A159" s="121">
        <f t="shared" si="25"/>
        <v>114</v>
      </c>
      <c r="B159" s="769" t="s">
        <v>205</v>
      </c>
      <c r="C159" s="770"/>
      <c r="D159" s="117"/>
      <c r="E159" s="65">
        <f>D159*'16-PlantAdditions'!$E$103</f>
        <v>0</v>
      </c>
      <c r="F159" s="65">
        <f t="shared" si="26"/>
        <v>0</v>
      </c>
      <c r="G159" s="117"/>
      <c r="H159" s="117"/>
      <c r="I159" s="65">
        <f>(G159-H159)*'16-PlantAdditions'!$E$103</f>
        <v>0</v>
      </c>
      <c r="J159" s="65">
        <f t="shared" si="27"/>
        <v>0</v>
      </c>
      <c r="K159" s="65">
        <f t="shared" si="28"/>
        <v>0</v>
      </c>
    </row>
    <row r="160" spans="1:11" s="809" customFormat="1" x14ac:dyDescent="0.25">
      <c r="A160" s="121">
        <f t="shared" si="25"/>
        <v>115</v>
      </c>
      <c r="B160" s="772" t="s">
        <v>206</v>
      </c>
      <c r="C160" s="770"/>
      <c r="D160" s="117"/>
      <c r="E160" s="65">
        <f>D160*'16-PlantAdditions'!$E$103</f>
        <v>0</v>
      </c>
      <c r="F160" s="65">
        <f t="shared" si="26"/>
        <v>0</v>
      </c>
      <c r="G160" s="117"/>
      <c r="H160" s="117"/>
      <c r="I160" s="65">
        <f>(G160-H160)*'16-PlantAdditions'!$E$103</f>
        <v>0</v>
      </c>
      <c r="J160" s="65">
        <f t="shared" si="27"/>
        <v>0</v>
      </c>
      <c r="K160" s="65">
        <f t="shared" si="28"/>
        <v>0</v>
      </c>
    </row>
    <row r="161" spans="1:11" s="809" customFormat="1" x14ac:dyDescent="0.25">
      <c r="A161" s="121">
        <f t="shared" si="25"/>
        <v>116</v>
      </c>
      <c r="B161" s="772" t="s">
        <v>207</v>
      </c>
      <c r="C161" s="770"/>
      <c r="D161" s="117"/>
      <c r="E161" s="65">
        <f>D161*'16-PlantAdditions'!$E$103</f>
        <v>0</v>
      </c>
      <c r="F161" s="65">
        <f t="shared" si="26"/>
        <v>0</v>
      </c>
      <c r="G161" s="117"/>
      <c r="H161" s="117"/>
      <c r="I161" s="65">
        <f>(G161-H161)*'16-PlantAdditions'!$E$103</f>
        <v>0</v>
      </c>
      <c r="J161" s="65">
        <f t="shared" si="27"/>
        <v>0</v>
      </c>
      <c r="K161" s="65">
        <f t="shared" si="28"/>
        <v>0</v>
      </c>
    </row>
    <row r="162" spans="1:11" s="809" customFormat="1" x14ac:dyDescent="0.25">
      <c r="A162" s="121">
        <f t="shared" si="25"/>
        <v>117</v>
      </c>
      <c r="B162" s="769" t="s">
        <v>210</v>
      </c>
      <c r="C162" s="770"/>
      <c r="D162" s="117"/>
      <c r="E162" s="65">
        <f>D162*'16-PlantAdditions'!$E$103</f>
        <v>0</v>
      </c>
      <c r="F162" s="65">
        <f t="shared" si="26"/>
        <v>0</v>
      </c>
      <c r="G162" s="117"/>
      <c r="H162" s="117"/>
      <c r="I162" s="65">
        <f>(G162-H162)*'16-PlantAdditions'!$E$103</f>
        <v>0</v>
      </c>
      <c r="J162" s="65">
        <f t="shared" si="27"/>
        <v>0</v>
      </c>
      <c r="K162" s="65">
        <f t="shared" si="28"/>
        <v>0</v>
      </c>
    </row>
    <row r="163" spans="1:11" s="809" customFormat="1" x14ac:dyDescent="0.25">
      <c r="A163" s="121">
        <f t="shared" si="25"/>
        <v>118</v>
      </c>
      <c r="B163" s="769" t="s">
        <v>209</v>
      </c>
      <c r="C163" s="770"/>
      <c r="D163" s="117"/>
      <c r="E163" s="65">
        <f>D163*'16-PlantAdditions'!$E$103</f>
        <v>0</v>
      </c>
      <c r="F163" s="65">
        <f t="shared" si="26"/>
        <v>0</v>
      </c>
      <c r="G163" s="117"/>
      <c r="H163" s="117"/>
      <c r="I163" s="65">
        <f>(G163-H163)*'16-PlantAdditions'!$E$103</f>
        <v>0</v>
      </c>
      <c r="J163" s="65">
        <f t="shared" si="27"/>
        <v>0</v>
      </c>
      <c r="K163" s="65">
        <f t="shared" si="28"/>
        <v>0</v>
      </c>
    </row>
    <row r="164" spans="1:11" s="809" customFormat="1" x14ac:dyDescent="0.25">
      <c r="A164" s="121">
        <f t="shared" si="25"/>
        <v>119</v>
      </c>
      <c r="B164" s="769" t="s">
        <v>199</v>
      </c>
      <c r="C164" s="770"/>
      <c r="D164" s="117"/>
      <c r="E164" s="65">
        <f>D164*'16-PlantAdditions'!$E$103</f>
        <v>0</v>
      </c>
      <c r="F164" s="65">
        <f t="shared" si="26"/>
        <v>0</v>
      </c>
      <c r="G164" s="117"/>
      <c r="H164" s="117"/>
      <c r="I164" s="65">
        <f>(G164-H164)*'16-PlantAdditions'!$E$103</f>
        <v>0</v>
      </c>
      <c r="J164" s="65">
        <f t="shared" si="27"/>
        <v>0</v>
      </c>
      <c r="K164" s="65">
        <f t="shared" si="28"/>
        <v>0</v>
      </c>
    </row>
    <row r="165" spans="1:11" s="809" customFormat="1" x14ac:dyDescent="0.25">
      <c r="A165" s="121">
        <f t="shared" si="25"/>
        <v>120</v>
      </c>
      <c r="B165" s="769" t="s">
        <v>200</v>
      </c>
      <c r="C165" s="770"/>
      <c r="D165" s="117"/>
      <c r="E165" s="65">
        <f>D165*'16-PlantAdditions'!$E$103</f>
        <v>0</v>
      </c>
      <c r="F165" s="65">
        <f t="shared" si="26"/>
        <v>0</v>
      </c>
      <c r="G165" s="117"/>
      <c r="H165" s="117"/>
      <c r="I165" s="65">
        <f>(G165-H165)*'16-PlantAdditions'!$E$103</f>
        <v>0</v>
      </c>
      <c r="J165" s="65">
        <f t="shared" si="27"/>
        <v>0</v>
      </c>
      <c r="K165" s="65">
        <f t="shared" si="28"/>
        <v>0</v>
      </c>
    </row>
    <row r="166" spans="1:11" s="809" customFormat="1" x14ac:dyDescent="0.25">
      <c r="A166" s="121">
        <f t="shared" si="25"/>
        <v>121</v>
      </c>
      <c r="B166" s="772" t="s">
        <v>201</v>
      </c>
      <c r="C166" s="770"/>
      <c r="D166" s="117"/>
      <c r="E166" s="65">
        <f>D166*'16-PlantAdditions'!$E$103</f>
        <v>0</v>
      </c>
      <c r="F166" s="65">
        <f t="shared" si="26"/>
        <v>0</v>
      </c>
      <c r="G166" s="117"/>
      <c r="H166" s="117"/>
      <c r="I166" s="65">
        <f>(G166-H166)*'16-PlantAdditions'!$E$103</f>
        <v>0</v>
      </c>
      <c r="J166" s="65">
        <f t="shared" si="27"/>
        <v>0</v>
      </c>
      <c r="K166" s="65">
        <f t="shared" si="28"/>
        <v>0</v>
      </c>
    </row>
    <row r="167" spans="1:11" s="809" customFormat="1" x14ac:dyDescent="0.25">
      <c r="A167" s="121">
        <f t="shared" si="25"/>
        <v>122</v>
      </c>
      <c r="B167" s="772" t="s">
        <v>214</v>
      </c>
      <c r="C167" s="770"/>
      <c r="D167" s="117"/>
      <c r="E167" s="65">
        <f>D167*'16-PlantAdditions'!$E$103</f>
        <v>0</v>
      </c>
      <c r="F167" s="65">
        <f t="shared" si="26"/>
        <v>0</v>
      </c>
      <c r="G167" s="117"/>
      <c r="H167" s="117"/>
      <c r="I167" s="65">
        <f>(G167-H167)*'16-PlantAdditions'!$E$103</f>
        <v>0</v>
      </c>
      <c r="J167" s="65">
        <f t="shared" si="27"/>
        <v>0</v>
      </c>
      <c r="K167" s="65">
        <f t="shared" si="28"/>
        <v>0</v>
      </c>
    </row>
    <row r="168" spans="1:11" s="809" customFormat="1" x14ac:dyDescent="0.25">
      <c r="A168" s="121">
        <f t="shared" si="25"/>
        <v>123</v>
      </c>
      <c r="B168" s="769" t="s">
        <v>202</v>
      </c>
      <c r="C168" s="770"/>
      <c r="D168" s="117"/>
      <c r="E168" s="65">
        <f>D168*'16-PlantAdditions'!$E$103</f>
        <v>0</v>
      </c>
      <c r="F168" s="65">
        <f t="shared" si="26"/>
        <v>0</v>
      </c>
      <c r="G168" s="117"/>
      <c r="H168" s="117"/>
      <c r="I168" s="65">
        <f>(G168-H168)*'16-PlantAdditions'!$E$103</f>
        <v>0</v>
      </c>
      <c r="J168" s="65">
        <f t="shared" si="27"/>
        <v>0</v>
      </c>
      <c r="K168" s="65">
        <f t="shared" si="28"/>
        <v>0</v>
      </c>
    </row>
    <row r="169" spans="1:11" s="809" customFormat="1" x14ac:dyDescent="0.25">
      <c r="A169" s="121">
        <f t="shared" si="25"/>
        <v>124</v>
      </c>
      <c r="B169" s="772" t="s">
        <v>203</v>
      </c>
      <c r="C169" s="770"/>
      <c r="D169" s="117"/>
      <c r="E169" s="65">
        <f>D169*'16-PlantAdditions'!$E$103</f>
        <v>0</v>
      </c>
      <c r="F169" s="65">
        <f t="shared" si="26"/>
        <v>0</v>
      </c>
      <c r="G169" s="117"/>
      <c r="H169" s="117"/>
      <c r="I169" s="65">
        <f>(G169-H169)*'16-PlantAdditions'!$E$103</f>
        <v>0</v>
      </c>
      <c r="J169" s="65">
        <f t="shared" si="27"/>
        <v>0</v>
      </c>
      <c r="K169" s="65">
        <f t="shared" si="28"/>
        <v>0</v>
      </c>
    </row>
    <row r="170" spans="1:11" s="809" customFormat="1" x14ac:dyDescent="0.25">
      <c r="A170" s="121">
        <f t="shared" si="25"/>
        <v>125</v>
      </c>
      <c r="B170" s="772" t="s">
        <v>1670</v>
      </c>
      <c r="C170" s="770"/>
      <c r="D170" s="117"/>
      <c r="E170" s="65">
        <f>D170*'16-PlantAdditions'!$E$103</f>
        <v>0</v>
      </c>
      <c r="F170" s="65">
        <f t="shared" si="26"/>
        <v>0</v>
      </c>
      <c r="G170" s="117"/>
      <c r="H170" s="117"/>
      <c r="I170" s="65">
        <f>(G170-H170)*'16-PlantAdditions'!$E$103</f>
        <v>0</v>
      </c>
      <c r="J170" s="65">
        <f t="shared" si="27"/>
        <v>0</v>
      </c>
      <c r="K170" s="65">
        <f t="shared" si="28"/>
        <v>0</v>
      </c>
    </row>
    <row r="171" spans="1:11" s="809" customFormat="1" x14ac:dyDescent="0.25">
      <c r="A171" s="121">
        <f t="shared" si="25"/>
        <v>126</v>
      </c>
      <c r="B171" s="769" t="s">
        <v>205</v>
      </c>
      <c r="C171" s="770"/>
      <c r="D171" s="117"/>
      <c r="E171" s="65">
        <f>D171*'16-PlantAdditions'!$E$103</f>
        <v>0</v>
      </c>
      <c r="F171" s="65">
        <f t="shared" si="26"/>
        <v>0</v>
      </c>
      <c r="G171" s="117"/>
      <c r="H171" s="117"/>
      <c r="I171" s="65">
        <f>(G171-H171)*'16-PlantAdditions'!$E$103</f>
        <v>0</v>
      </c>
      <c r="J171" s="65">
        <f t="shared" si="27"/>
        <v>0</v>
      </c>
      <c r="K171" s="65">
        <f t="shared" si="28"/>
        <v>0</v>
      </c>
    </row>
    <row r="172" spans="1:11" s="809" customFormat="1" x14ac:dyDescent="0.25">
      <c r="A172" s="121">
        <f t="shared" si="25"/>
        <v>127</v>
      </c>
      <c r="B172" s="772" t="s">
        <v>206</v>
      </c>
      <c r="C172" s="770"/>
      <c r="D172" s="117"/>
      <c r="E172" s="65">
        <f>D172*'16-PlantAdditions'!$E$103</f>
        <v>0</v>
      </c>
      <c r="F172" s="65">
        <f t="shared" si="26"/>
        <v>0</v>
      </c>
      <c r="G172" s="117"/>
      <c r="H172" s="117"/>
      <c r="I172" s="65">
        <f>(G172-H172)*'16-PlantAdditions'!$E$103</f>
        <v>0</v>
      </c>
      <c r="J172" s="65">
        <f t="shared" si="27"/>
        <v>0</v>
      </c>
      <c r="K172" s="65">
        <f t="shared" si="28"/>
        <v>0</v>
      </c>
    </row>
    <row r="173" spans="1:11" s="809" customFormat="1" x14ac:dyDescent="0.25">
      <c r="A173" s="121">
        <f t="shared" si="25"/>
        <v>128</v>
      </c>
      <c r="B173" s="772" t="s">
        <v>207</v>
      </c>
      <c r="C173" s="770"/>
      <c r="D173" s="117"/>
      <c r="E173" s="65">
        <f>D173*'16-PlantAdditions'!$E$103</f>
        <v>0</v>
      </c>
      <c r="F173" s="65">
        <f t="shared" si="26"/>
        <v>0</v>
      </c>
      <c r="G173" s="117"/>
      <c r="H173" s="117"/>
      <c r="I173" s="65">
        <f>(G173-H173)*'16-PlantAdditions'!$E$103</f>
        <v>0</v>
      </c>
      <c r="J173" s="65">
        <f t="shared" si="27"/>
        <v>0</v>
      </c>
      <c r="K173" s="65">
        <f t="shared" si="28"/>
        <v>0</v>
      </c>
    </row>
    <row r="174" spans="1:11" s="809" customFormat="1" x14ac:dyDescent="0.25">
      <c r="A174" s="121">
        <f t="shared" si="25"/>
        <v>129</v>
      </c>
      <c r="B174" s="772" t="s">
        <v>210</v>
      </c>
      <c r="C174" s="770"/>
      <c r="D174" s="117"/>
      <c r="E174" s="65">
        <f>D174*'16-PlantAdditions'!$E$103</f>
        <v>0</v>
      </c>
      <c r="F174" s="65">
        <f t="shared" si="26"/>
        <v>0</v>
      </c>
      <c r="G174" s="117"/>
      <c r="H174" s="117"/>
      <c r="I174" s="65">
        <f>(G174-H174)*'16-PlantAdditions'!$E$103</f>
        <v>0</v>
      </c>
      <c r="J174" s="65">
        <f t="shared" ref="J174:J176" si="29">J173+F174-G174-I174</f>
        <v>0</v>
      </c>
      <c r="K174" s="65">
        <f t="shared" si="28"/>
        <v>0</v>
      </c>
    </row>
    <row r="175" spans="1:11" s="809" customFormat="1" x14ac:dyDescent="0.25">
      <c r="A175" s="121">
        <f t="shared" si="25"/>
        <v>130</v>
      </c>
      <c r="B175" s="772" t="s">
        <v>209</v>
      </c>
      <c r="C175" s="770"/>
      <c r="D175" s="117"/>
      <c r="E175" s="65">
        <f>D175*'16-PlantAdditions'!$E$103</f>
        <v>0</v>
      </c>
      <c r="F175" s="65">
        <f t="shared" si="26"/>
        <v>0</v>
      </c>
      <c r="G175" s="117"/>
      <c r="H175" s="117"/>
      <c r="I175" s="65">
        <f>(G175-H175)*'16-PlantAdditions'!$E$103</f>
        <v>0</v>
      </c>
      <c r="J175" s="65">
        <f t="shared" si="29"/>
        <v>0</v>
      </c>
      <c r="K175" s="65">
        <f t="shared" si="28"/>
        <v>0</v>
      </c>
    </row>
    <row r="176" spans="1:11" s="809" customFormat="1" x14ac:dyDescent="0.25">
      <c r="A176" s="121">
        <f t="shared" si="25"/>
        <v>131</v>
      </c>
      <c r="B176" s="772" t="s">
        <v>199</v>
      </c>
      <c r="C176" s="770"/>
      <c r="D176" s="117"/>
      <c r="E176" s="65">
        <f>D176*'16-PlantAdditions'!$E$103</f>
        <v>0</v>
      </c>
      <c r="F176" s="65">
        <f t="shared" si="26"/>
        <v>0</v>
      </c>
      <c r="G176" s="117"/>
      <c r="H176" s="117"/>
      <c r="I176" s="65">
        <f>(G176-H176)*'16-PlantAdditions'!$E$103</f>
        <v>0</v>
      </c>
      <c r="J176" s="65">
        <f t="shared" si="29"/>
        <v>0</v>
      </c>
      <c r="K176" s="122">
        <f t="shared" si="28"/>
        <v>0</v>
      </c>
    </row>
    <row r="177" spans="1:11" s="809" customFormat="1" x14ac:dyDescent="0.25">
      <c r="A177" s="121">
        <f t="shared" si="25"/>
        <v>132</v>
      </c>
      <c r="B177"/>
      <c r="C177" s="808" t="s">
        <v>1846</v>
      </c>
      <c r="D177"/>
      <c r="E177"/>
      <c r="F177"/>
      <c r="G177"/>
      <c r="H177"/>
      <c r="I177"/>
      <c r="J177"/>
      <c r="K177" s="80">
        <f>AVERAGE(K164:K176)</f>
        <v>0</v>
      </c>
    </row>
    <row r="178" spans="1:11" s="809" customFormat="1" x14ac:dyDescent="0.25">
      <c r="A178" s="121"/>
      <c r="B178"/>
      <c r="C178" s="808"/>
      <c r="D178"/>
      <c r="E178"/>
      <c r="F178"/>
      <c r="G178"/>
      <c r="H178"/>
      <c r="I178"/>
      <c r="J178"/>
      <c r="K178" s="80"/>
    </row>
    <row r="179" spans="1:11" s="809" customFormat="1" x14ac:dyDescent="0.25">
      <c r="B179" s="810" t="s">
        <v>2363</v>
      </c>
      <c r="D179" s="1297" t="s">
        <v>2364</v>
      </c>
      <c r="E179" s="1297"/>
    </row>
    <row r="180" spans="1:11" s="809" customFormat="1" x14ac:dyDescent="0.25">
      <c r="A180" s="804"/>
      <c r="B180" s="804"/>
      <c r="C180" s="804"/>
      <c r="D180" s="804" t="s">
        <v>394</v>
      </c>
      <c r="E180" s="804" t="s">
        <v>378</v>
      </c>
      <c r="F180" s="804" t="s">
        <v>379</v>
      </c>
      <c r="G180" s="804" t="s">
        <v>380</v>
      </c>
      <c r="H180" s="804" t="s">
        <v>381</v>
      </c>
      <c r="I180" s="804" t="s">
        <v>382</v>
      </c>
      <c r="J180" s="804" t="s">
        <v>383</v>
      </c>
      <c r="K180" s="804" t="s">
        <v>597</v>
      </c>
    </row>
    <row r="181" spans="1:11" s="809" customFormat="1" ht="26.4" x14ac:dyDescent="0.25">
      <c r="D181" s="811"/>
      <c r="E181" s="812" t="s">
        <v>2620</v>
      </c>
      <c r="F181" s="813" t="s">
        <v>2356</v>
      </c>
      <c r="G181" s="560"/>
      <c r="H181" s="811"/>
      <c r="I181" s="812" t="s">
        <v>2621</v>
      </c>
      <c r="J181" s="812" t="s">
        <v>2357</v>
      </c>
      <c r="K181" s="812" t="s">
        <v>2358</v>
      </c>
    </row>
    <row r="182" spans="1:11" s="809" customFormat="1" x14ac:dyDescent="0.25">
      <c r="D182" s="811"/>
      <c r="E182" s="812"/>
      <c r="F182" s="813"/>
      <c r="G182" s="4" t="str">
        <f>G51</f>
        <v>Unloaded</v>
      </c>
      <c r="H182" s="811"/>
      <c r="I182" s="812"/>
      <c r="J182" s="812"/>
      <c r="K182" s="812"/>
    </row>
    <row r="183" spans="1:11" s="809" customFormat="1" x14ac:dyDescent="0.25">
      <c r="A183" s="806"/>
      <c r="B183" s="806"/>
      <c r="C183" s="806"/>
      <c r="D183" s="806" t="str">
        <f>D$52</f>
        <v>Forecast</v>
      </c>
      <c r="E183" s="806" t="str">
        <f t="shared" ref="E183:J183" si="30">E$52</f>
        <v>Corporate</v>
      </c>
      <c r="F183" s="806" t="str">
        <f t="shared" si="30"/>
        <v xml:space="preserve">Total </v>
      </c>
      <c r="G183" s="4" t="str">
        <f>G52</f>
        <v>Total</v>
      </c>
      <c r="H183" s="806" t="str">
        <f t="shared" si="30"/>
        <v>Prior Period</v>
      </c>
      <c r="I183" s="806" t="str">
        <f t="shared" si="30"/>
        <v>Over Heads</v>
      </c>
      <c r="J183" s="806" t="str">
        <f t="shared" si="30"/>
        <v>Forecast</v>
      </c>
      <c r="K183" s="689" t="str">
        <f>K$52</f>
        <v>Forecast Period</v>
      </c>
    </row>
    <row r="184" spans="1:11" s="809" customFormat="1" x14ac:dyDescent="0.25">
      <c r="A184" s="1139" t="s">
        <v>360</v>
      </c>
      <c r="B184" s="768" t="s">
        <v>211</v>
      </c>
      <c r="C184" s="768" t="s">
        <v>212</v>
      </c>
      <c r="D184" s="804" t="str">
        <f>D$53</f>
        <v>Expenditures</v>
      </c>
      <c r="E184" s="804" t="str">
        <f t="shared" ref="E184:J184" si="31">E$53</f>
        <v>Overheads</v>
      </c>
      <c r="F184" s="804" t="str">
        <f t="shared" si="31"/>
        <v>CWIP Exp</v>
      </c>
      <c r="G184" s="92" t="str">
        <f>G53</f>
        <v>Plant Adds</v>
      </c>
      <c r="H184" s="804" t="str">
        <f t="shared" si="31"/>
        <v>CWIP Closed</v>
      </c>
      <c r="I184" s="804" t="str">
        <f t="shared" si="31"/>
        <v>Closed to PIS</v>
      </c>
      <c r="J184" s="804" t="str">
        <f t="shared" si="31"/>
        <v>Period CWIP</v>
      </c>
      <c r="K184" s="804" t="str">
        <f>K$53</f>
        <v>Incremental CWIP</v>
      </c>
    </row>
    <row r="185" spans="1:11" s="809" customFormat="1" x14ac:dyDescent="0.25">
      <c r="A185" s="121">
        <f>A177+1</f>
        <v>133</v>
      </c>
      <c r="B185" s="769" t="s">
        <v>199</v>
      </c>
      <c r="C185" s="770"/>
      <c r="D185" s="813" t="s">
        <v>86</v>
      </c>
      <c r="E185" s="813" t="s">
        <v>86</v>
      </c>
      <c r="F185" s="813" t="s">
        <v>86</v>
      </c>
      <c r="G185" s="813" t="s">
        <v>86</v>
      </c>
      <c r="H185" s="813" t="s">
        <v>86</v>
      </c>
      <c r="I185" s="813" t="s">
        <v>86</v>
      </c>
      <c r="J185" s="65">
        <f>H25</f>
        <v>0</v>
      </c>
      <c r="K185" s="813" t="s">
        <v>86</v>
      </c>
    </row>
    <row r="186" spans="1:11" s="809" customFormat="1" x14ac:dyDescent="0.25">
      <c r="A186" s="121">
        <f>A185+1</f>
        <v>134</v>
      </c>
      <c r="B186" s="769" t="s">
        <v>200</v>
      </c>
      <c r="C186" s="770"/>
      <c r="D186" s="117"/>
      <c r="E186" s="65">
        <f>D186*'16-PlantAdditions'!$E$103</f>
        <v>0</v>
      </c>
      <c r="F186" s="65">
        <f>E186+D186</f>
        <v>0</v>
      </c>
      <c r="G186" s="117"/>
      <c r="H186" s="117"/>
      <c r="I186" s="65">
        <f>(G186-H186)*'16-PlantAdditions'!$E$103</f>
        <v>0</v>
      </c>
      <c r="J186" s="65">
        <f>J185+F186-G186-I186</f>
        <v>0</v>
      </c>
      <c r="K186" s="65">
        <f>J186-$J$185</f>
        <v>0</v>
      </c>
    </row>
    <row r="187" spans="1:11" s="809" customFormat="1" x14ac:dyDescent="0.25">
      <c r="A187" s="121">
        <f t="shared" ref="A187:A210" si="32">A186+1</f>
        <v>135</v>
      </c>
      <c r="B187" s="772" t="s">
        <v>201</v>
      </c>
      <c r="C187" s="770"/>
      <c r="D187" s="117"/>
      <c r="E187" s="65">
        <f>D187*'16-PlantAdditions'!$E$103</f>
        <v>0</v>
      </c>
      <c r="F187" s="65">
        <f t="shared" ref="F187:F206" si="33">E187+D187</f>
        <v>0</v>
      </c>
      <c r="G187" s="117"/>
      <c r="H187" s="117"/>
      <c r="I187" s="65">
        <f>(G187-H187)*'16-PlantAdditions'!$E$103</f>
        <v>0</v>
      </c>
      <c r="J187" s="65">
        <f t="shared" ref="J187:J206" si="34">J186+F187-G187-I187</f>
        <v>0</v>
      </c>
      <c r="K187" s="65">
        <f t="shared" ref="K187:K209" si="35">J187-$J$185</f>
        <v>0</v>
      </c>
    </row>
    <row r="188" spans="1:11" s="809" customFormat="1" x14ac:dyDescent="0.25">
      <c r="A188" s="121">
        <f t="shared" si="32"/>
        <v>136</v>
      </c>
      <c r="B188" s="772" t="s">
        <v>214</v>
      </c>
      <c r="C188" s="770"/>
      <c r="D188" s="117"/>
      <c r="E188" s="65">
        <f>D188*'16-PlantAdditions'!$E$103</f>
        <v>0</v>
      </c>
      <c r="F188" s="65">
        <f t="shared" si="33"/>
        <v>0</v>
      </c>
      <c r="G188" s="117"/>
      <c r="H188" s="117"/>
      <c r="I188" s="65">
        <f>(G188-H188)*'16-PlantAdditions'!$E$103</f>
        <v>0</v>
      </c>
      <c r="J188" s="65">
        <f t="shared" si="34"/>
        <v>0</v>
      </c>
      <c r="K188" s="65">
        <f t="shared" si="35"/>
        <v>0</v>
      </c>
    </row>
    <row r="189" spans="1:11" s="809" customFormat="1" x14ac:dyDescent="0.25">
      <c r="A189" s="121">
        <f t="shared" si="32"/>
        <v>137</v>
      </c>
      <c r="B189" s="769" t="s">
        <v>202</v>
      </c>
      <c r="C189" s="770"/>
      <c r="D189" s="117"/>
      <c r="E189" s="65">
        <f>D189*'16-PlantAdditions'!$E$103</f>
        <v>0</v>
      </c>
      <c r="F189" s="65">
        <f t="shared" si="33"/>
        <v>0</v>
      </c>
      <c r="G189" s="117"/>
      <c r="H189" s="117"/>
      <c r="I189" s="65">
        <f>(G189-H189)*'16-PlantAdditions'!$E$103</f>
        <v>0</v>
      </c>
      <c r="J189" s="65">
        <f t="shared" si="34"/>
        <v>0</v>
      </c>
      <c r="K189" s="65">
        <f t="shared" si="35"/>
        <v>0</v>
      </c>
    </row>
    <row r="190" spans="1:11" s="809" customFormat="1" x14ac:dyDescent="0.25">
      <c r="A190" s="121">
        <f t="shared" si="32"/>
        <v>138</v>
      </c>
      <c r="B190" s="772" t="s">
        <v>203</v>
      </c>
      <c r="C190" s="770"/>
      <c r="D190" s="117"/>
      <c r="E190" s="65">
        <f>D190*'16-PlantAdditions'!$E$103</f>
        <v>0</v>
      </c>
      <c r="F190" s="65">
        <f t="shared" si="33"/>
        <v>0</v>
      </c>
      <c r="G190" s="117"/>
      <c r="H190" s="117"/>
      <c r="I190" s="65">
        <f>(G190-H190)*'16-PlantAdditions'!$E$103</f>
        <v>0</v>
      </c>
      <c r="J190" s="65">
        <f t="shared" si="34"/>
        <v>0</v>
      </c>
      <c r="K190" s="65">
        <f t="shared" si="35"/>
        <v>0</v>
      </c>
    </row>
    <row r="191" spans="1:11" s="809" customFormat="1" x14ac:dyDescent="0.25">
      <c r="A191" s="121">
        <f t="shared" si="32"/>
        <v>139</v>
      </c>
      <c r="B191" s="772" t="s">
        <v>1670</v>
      </c>
      <c r="C191" s="770"/>
      <c r="D191" s="117"/>
      <c r="E191" s="65">
        <f>D191*'16-PlantAdditions'!$E$103</f>
        <v>0</v>
      </c>
      <c r="F191" s="65">
        <f t="shared" si="33"/>
        <v>0</v>
      </c>
      <c r="G191" s="117"/>
      <c r="H191" s="117"/>
      <c r="I191" s="65">
        <f>(G191-H191)*'16-PlantAdditions'!$E$103</f>
        <v>0</v>
      </c>
      <c r="J191" s="65">
        <f t="shared" si="34"/>
        <v>0</v>
      </c>
      <c r="K191" s="65">
        <f t="shared" si="35"/>
        <v>0</v>
      </c>
    </row>
    <row r="192" spans="1:11" s="809" customFormat="1" x14ac:dyDescent="0.25">
      <c r="A192" s="121">
        <f t="shared" si="32"/>
        <v>140</v>
      </c>
      <c r="B192" s="769" t="s">
        <v>205</v>
      </c>
      <c r="C192" s="770"/>
      <c r="D192" s="117"/>
      <c r="E192" s="65">
        <f>D192*'16-PlantAdditions'!$E$103</f>
        <v>0</v>
      </c>
      <c r="F192" s="65">
        <f t="shared" si="33"/>
        <v>0</v>
      </c>
      <c r="G192" s="117"/>
      <c r="H192" s="117"/>
      <c r="I192" s="65">
        <f>(G192-H192)*'16-PlantAdditions'!$E$103</f>
        <v>0</v>
      </c>
      <c r="J192" s="65">
        <f t="shared" si="34"/>
        <v>0</v>
      </c>
      <c r="K192" s="65">
        <f t="shared" si="35"/>
        <v>0</v>
      </c>
    </row>
    <row r="193" spans="1:11" s="809" customFormat="1" x14ac:dyDescent="0.25">
      <c r="A193" s="121">
        <f t="shared" si="32"/>
        <v>141</v>
      </c>
      <c r="B193" s="772" t="s">
        <v>206</v>
      </c>
      <c r="C193" s="770"/>
      <c r="D193" s="117"/>
      <c r="E193" s="65">
        <f>D193*'16-PlantAdditions'!$E$103</f>
        <v>0</v>
      </c>
      <c r="F193" s="65">
        <f t="shared" si="33"/>
        <v>0</v>
      </c>
      <c r="G193" s="117"/>
      <c r="H193" s="117"/>
      <c r="I193" s="65">
        <f>(G193-H193)*'16-PlantAdditions'!$E$103</f>
        <v>0</v>
      </c>
      <c r="J193" s="65">
        <f t="shared" si="34"/>
        <v>0</v>
      </c>
      <c r="K193" s="65">
        <f t="shared" si="35"/>
        <v>0</v>
      </c>
    </row>
    <row r="194" spans="1:11" s="809" customFormat="1" x14ac:dyDescent="0.25">
      <c r="A194" s="121">
        <f t="shared" si="32"/>
        <v>142</v>
      </c>
      <c r="B194" s="772" t="s">
        <v>207</v>
      </c>
      <c r="C194" s="770"/>
      <c r="D194" s="117"/>
      <c r="E194" s="65">
        <f>D194*'16-PlantAdditions'!$E$103</f>
        <v>0</v>
      </c>
      <c r="F194" s="65">
        <f t="shared" si="33"/>
        <v>0</v>
      </c>
      <c r="G194" s="117"/>
      <c r="H194" s="117"/>
      <c r="I194" s="65">
        <f>(G194-H194)*'16-PlantAdditions'!$E$103</f>
        <v>0</v>
      </c>
      <c r="J194" s="65">
        <f t="shared" si="34"/>
        <v>0</v>
      </c>
      <c r="K194" s="65">
        <f t="shared" si="35"/>
        <v>0</v>
      </c>
    </row>
    <row r="195" spans="1:11" s="809" customFormat="1" x14ac:dyDescent="0.25">
      <c r="A195" s="121">
        <f t="shared" si="32"/>
        <v>143</v>
      </c>
      <c r="B195" s="769" t="s">
        <v>210</v>
      </c>
      <c r="C195" s="770"/>
      <c r="D195" s="117"/>
      <c r="E195" s="65">
        <f>D195*'16-PlantAdditions'!$E$103</f>
        <v>0</v>
      </c>
      <c r="F195" s="65">
        <f t="shared" si="33"/>
        <v>0</v>
      </c>
      <c r="G195" s="117"/>
      <c r="H195" s="117"/>
      <c r="I195" s="65">
        <f>(G195-H195)*'16-PlantAdditions'!$E$103</f>
        <v>0</v>
      </c>
      <c r="J195" s="65">
        <f t="shared" si="34"/>
        <v>0</v>
      </c>
      <c r="K195" s="65">
        <f t="shared" si="35"/>
        <v>0</v>
      </c>
    </row>
    <row r="196" spans="1:11" s="809" customFormat="1" x14ac:dyDescent="0.25">
      <c r="A196" s="121">
        <f t="shared" si="32"/>
        <v>144</v>
      </c>
      <c r="B196" s="769" t="s">
        <v>209</v>
      </c>
      <c r="C196" s="770"/>
      <c r="D196" s="117"/>
      <c r="E196" s="65">
        <f>D196*'16-PlantAdditions'!$E$103</f>
        <v>0</v>
      </c>
      <c r="F196" s="65">
        <f t="shared" si="33"/>
        <v>0</v>
      </c>
      <c r="G196" s="117"/>
      <c r="H196" s="117"/>
      <c r="I196" s="65">
        <f>(G196-H196)*'16-PlantAdditions'!$E$103</f>
        <v>0</v>
      </c>
      <c r="J196" s="65">
        <f t="shared" si="34"/>
        <v>0</v>
      </c>
      <c r="K196" s="65">
        <f t="shared" si="35"/>
        <v>0</v>
      </c>
    </row>
    <row r="197" spans="1:11" s="809" customFormat="1" x14ac:dyDescent="0.25">
      <c r="A197" s="121">
        <f t="shared" si="32"/>
        <v>145</v>
      </c>
      <c r="B197" s="769" t="s">
        <v>199</v>
      </c>
      <c r="C197" s="770"/>
      <c r="D197" s="117"/>
      <c r="E197" s="65">
        <f>D197*'16-PlantAdditions'!$E$103</f>
        <v>0</v>
      </c>
      <c r="F197" s="65">
        <f t="shared" si="33"/>
        <v>0</v>
      </c>
      <c r="G197" s="117"/>
      <c r="H197" s="117"/>
      <c r="I197" s="65">
        <f>(G197-H197)*'16-PlantAdditions'!$E$103</f>
        <v>0</v>
      </c>
      <c r="J197" s="65">
        <f t="shared" si="34"/>
        <v>0</v>
      </c>
      <c r="K197" s="65">
        <f t="shared" si="35"/>
        <v>0</v>
      </c>
    </row>
    <row r="198" spans="1:11" s="809" customFormat="1" x14ac:dyDescent="0.25">
      <c r="A198" s="121">
        <f t="shared" si="32"/>
        <v>146</v>
      </c>
      <c r="B198" s="769" t="s">
        <v>200</v>
      </c>
      <c r="C198" s="770"/>
      <c r="D198" s="117"/>
      <c r="E198" s="65">
        <f>D198*'16-PlantAdditions'!$E$103</f>
        <v>0</v>
      </c>
      <c r="F198" s="65">
        <f t="shared" si="33"/>
        <v>0</v>
      </c>
      <c r="G198" s="117"/>
      <c r="H198" s="117"/>
      <c r="I198" s="65">
        <f>(G198-H198)*'16-PlantAdditions'!$E$103</f>
        <v>0</v>
      </c>
      <c r="J198" s="65">
        <f t="shared" si="34"/>
        <v>0</v>
      </c>
      <c r="K198" s="65">
        <f t="shared" si="35"/>
        <v>0</v>
      </c>
    </row>
    <row r="199" spans="1:11" s="809" customFormat="1" x14ac:dyDescent="0.25">
      <c r="A199" s="121">
        <f t="shared" si="32"/>
        <v>147</v>
      </c>
      <c r="B199" s="772" t="s">
        <v>201</v>
      </c>
      <c r="C199" s="770"/>
      <c r="D199" s="117"/>
      <c r="E199" s="65">
        <f>D199*'16-PlantAdditions'!$E$103</f>
        <v>0</v>
      </c>
      <c r="F199" s="65">
        <f t="shared" si="33"/>
        <v>0</v>
      </c>
      <c r="G199" s="117"/>
      <c r="H199" s="117"/>
      <c r="I199" s="65">
        <f>(G199-H199)*'16-PlantAdditions'!$E$103</f>
        <v>0</v>
      </c>
      <c r="J199" s="65">
        <f t="shared" si="34"/>
        <v>0</v>
      </c>
      <c r="K199" s="65">
        <f t="shared" si="35"/>
        <v>0</v>
      </c>
    </row>
    <row r="200" spans="1:11" s="809" customFormat="1" x14ac:dyDescent="0.25">
      <c r="A200" s="121">
        <f t="shared" si="32"/>
        <v>148</v>
      </c>
      <c r="B200" s="772" t="s">
        <v>214</v>
      </c>
      <c r="C200" s="770"/>
      <c r="D200" s="117"/>
      <c r="E200" s="65">
        <f>D200*'16-PlantAdditions'!$E$103</f>
        <v>0</v>
      </c>
      <c r="F200" s="65">
        <f t="shared" si="33"/>
        <v>0</v>
      </c>
      <c r="G200" s="117"/>
      <c r="H200" s="117"/>
      <c r="I200" s="65">
        <f>(G200-H200)*'16-PlantAdditions'!$E$103</f>
        <v>0</v>
      </c>
      <c r="J200" s="65">
        <f t="shared" si="34"/>
        <v>0</v>
      </c>
      <c r="K200" s="65">
        <f t="shared" si="35"/>
        <v>0</v>
      </c>
    </row>
    <row r="201" spans="1:11" s="809" customFormat="1" x14ac:dyDescent="0.25">
      <c r="A201" s="121">
        <f t="shared" si="32"/>
        <v>149</v>
      </c>
      <c r="B201" s="769" t="s">
        <v>202</v>
      </c>
      <c r="C201" s="770"/>
      <c r="D201" s="117"/>
      <c r="E201" s="65">
        <f>D201*'16-PlantAdditions'!$E$103</f>
        <v>0</v>
      </c>
      <c r="F201" s="65">
        <f t="shared" si="33"/>
        <v>0</v>
      </c>
      <c r="G201" s="117"/>
      <c r="H201" s="117"/>
      <c r="I201" s="65">
        <f>(G201-H201)*'16-PlantAdditions'!$E$103</f>
        <v>0</v>
      </c>
      <c r="J201" s="65">
        <f t="shared" si="34"/>
        <v>0</v>
      </c>
      <c r="K201" s="65">
        <f t="shared" si="35"/>
        <v>0</v>
      </c>
    </row>
    <row r="202" spans="1:11" s="809" customFormat="1" x14ac:dyDescent="0.25">
      <c r="A202" s="121">
        <f t="shared" si="32"/>
        <v>150</v>
      </c>
      <c r="B202" s="772" t="s">
        <v>203</v>
      </c>
      <c r="C202" s="770"/>
      <c r="D202" s="117"/>
      <c r="E202" s="65">
        <f>D202*'16-PlantAdditions'!$E$103</f>
        <v>0</v>
      </c>
      <c r="F202" s="65">
        <f t="shared" si="33"/>
        <v>0</v>
      </c>
      <c r="G202" s="117"/>
      <c r="H202" s="117"/>
      <c r="I202" s="65">
        <f>(G202-H202)*'16-PlantAdditions'!$E$103</f>
        <v>0</v>
      </c>
      <c r="J202" s="65">
        <f t="shared" si="34"/>
        <v>0</v>
      </c>
      <c r="K202" s="65">
        <f t="shared" si="35"/>
        <v>0</v>
      </c>
    </row>
    <row r="203" spans="1:11" s="809" customFormat="1" x14ac:dyDescent="0.25">
      <c r="A203" s="121">
        <f t="shared" si="32"/>
        <v>151</v>
      </c>
      <c r="B203" s="772" t="s">
        <v>1670</v>
      </c>
      <c r="C203" s="770"/>
      <c r="D203" s="117"/>
      <c r="E203" s="65">
        <f>D203*'16-PlantAdditions'!$E$103</f>
        <v>0</v>
      </c>
      <c r="F203" s="65">
        <f t="shared" si="33"/>
        <v>0</v>
      </c>
      <c r="G203" s="117"/>
      <c r="H203" s="117"/>
      <c r="I203" s="65">
        <f>(G203-H203)*'16-PlantAdditions'!$E$103</f>
        <v>0</v>
      </c>
      <c r="J203" s="65">
        <f t="shared" si="34"/>
        <v>0</v>
      </c>
      <c r="K203" s="65">
        <f t="shared" si="35"/>
        <v>0</v>
      </c>
    </row>
    <row r="204" spans="1:11" s="809" customFormat="1" x14ac:dyDescent="0.25">
      <c r="A204" s="121">
        <f t="shared" si="32"/>
        <v>152</v>
      </c>
      <c r="B204" s="769" t="s">
        <v>205</v>
      </c>
      <c r="C204" s="770"/>
      <c r="D204" s="117"/>
      <c r="E204" s="65">
        <f>D204*'16-PlantAdditions'!$E$103</f>
        <v>0</v>
      </c>
      <c r="F204" s="65">
        <f t="shared" si="33"/>
        <v>0</v>
      </c>
      <c r="G204" s="117"/>
      <c r="H204" s="117"/>
      <c r="I204" s="65">
        <f>(G204-H204)*'16-PlantAdditions'!$E$103</f>
        <v>0</v>
      </c>
      <c r="J204" s="65">
        <f t="shared" si="34"/>
        <v>0</v>
      </c>
      <c r="K204" s="65">
        <f t="shared" si="35"/>
        <v>0</v>
      </c>
    </row>
    <row r="205" spans="1:11" s="809" customFormat="1" x14ac:dyDescent="0.25">
      <c r="A205" s="121">
        <f t="shared" si="32"/>
        <v>153</v>
      </c>
      <c r="B205" s="772" t="s">
        <v>206</v>
      </c>
      <c r="C205" s="770"/>
      <c r="D205" s="117"/>
      <c r="E205" s="65">
        <f>D205*'16-PlantAdditions'!$E$103</f>
        <v>0</v>
      </c>
      <c r="F205" s="65">
        <f t="shared" si="33"/>
        <v>0</v>
      </c>
      <c r="G205" s="117"/>
      <c r="H205" s="117"/>
      <c r="I205" s="65">
        <f>(G205-H205)*'16-PlantAdditions'!$E$103</f>
        <v>0</v>
      </c>
      <c r="J205" s="65">
        <f t="shared" si="34"/>
        <v>0</v>
      </c>
      <c r="K205" s="65">
        <f t="shared" si="35"/>
        <v>0</v>
      </c>
    </row>
    <row r="206" spans="1:11" s="809" customFormat="1" x14ac:dyDescent="0.25">
      <c r="A206" s="121">
        <f t="shared" si="32"/>
        <v>154</v>
      </c>
      <c r="B206" s="772" t="s">
        <v>207</v>
      </c>
      <c r="C206" s="770"/>
      <c r="D206" s="117"/>
      <c r="E206" s="65">
        <f>D206*'16-PlantAdditions'!$E$103</f>
        <v>0</v>
      </c>
      <c r="F206" s="65">
        <f t="shared" si="33"/>
        <v>0</v>
      </c>
      <c r="G206" s="117"/>
      <c r="H206" s="117"/>
      <c r="I206" s="65">
        <f>(G206-H206)*'16-PlantAdditions'!$E$103</f>
        <v>0</v>
      </c>
      <c r="J206" s="65">
        <f t="shared" si="34"/>
        <v>0</v>
      </c>
      <c r="K206" s="65">
        <f t="shared" si="35"/>
        <v>0</v>
      </c>
    </row>
    <row r="207" spans="1:11" s="809" customFormat="1" x14ac:dyDescent="0.25">
      <c r="A207" s="121">
        <f t="shared" si="32"/>
        <v>155</v>
      </c>
      <c r="B207" s="772" t="s">
        <v>210</v>
      </c>
      <c r="C207" s="770"/>
      <c r="D207" s="117"/>
      <c r="E207" s="65">
        <f>D207*'16-PlantAdditions'!$E$103</f>
        <v>0</v>
      </c>
      <c r="F207" s="65">
        <f t="shared" ref="F207:F209" si="36">E207+D207</f>
        <v>0</v>
      </c>
      <c r="G207" s="117"/>
      <c r="H207" s="117"/>
      <c r="I207" s="65">
        <f>(G207-H207)*'16-PlantAdditions'!$E$103</f>
        <v>0</v>
      </c>
      <c r="J207" s="65">
        <f t="shared" ref="J207:J209" si="37">J206+F207-G207-I207</f>
        <v>0</v>
      </c>
      <c r="K207" s="65">
        <f t="shared" si="35"/>
        <v>0</v>
      </c>
    </row>
    <row r="208" spans="1:11" s="809" customFormat="1" x14ac:dyDescent="0.25">
      <c r="A208" s="121">
        <f t="shared" si="32"/>
        <v>156</v>
      </c>
      <c r="B208" s="772" t="s">
        <v>209</v>
      </c>
      <c r="C208" s="770"/>
      <c r="D208" s="117"/>
      <c r="E208" s="65">
        <f>D208*'16-PlantAdditions'!$E$103</f>
        <v>0</v>
      </c>
      <c r="F208" s="65">
        <f t="shared" si="36"/>
        <v>0</v>
      </c>
      <c r="G208" s="117"/>
      <c r="H208" s="117"/>
      <c r="I208" s="65">
        <f>(G208-H208)*'16-PlantAdditions'!$E$103</f>
        <v>0</v>
      </c>
      <c r="J208" s="65">
        <f t="shared" si="37"/>
        <v>0</v>
      </c>
      <c r="K208" s="65">
        <f t="shared" si="35"/>
        <v>0</v>
      </c>
    </row>
    <row r="209" spans="1:11" s="809" customFormat="1" x14ac:dyDescent="0.25">
      <c r="A209" s="121">
        <f t="shared" si="32"/>
        <v>157</v>
      </c>
      <c r="B209" s="772" t="s">
        <v>199</v>
      </c>
      <c r="C209" s="770"/>
      <c r="D209" s="117"/>
      <c r="E209" s="65">
        <f>D209*'16-PlantAdditions'!$E$103</f>
        <v>0</v>
      </c>
      <c r="F209" s="65">
        <f t="shared" si="36"/>
        <v>0</v>
      </c>
      <c r="G209" s="117"/>
      <c r="H209" s="117"/>
      <c r="I209" s="65">
        <f>(G209-H209)*'16-PlantAdditions'!$E$103</f>
        <v>0</v>
      </c>
      <c r="J209" s="65">
        <f t="shared" si="37"/>
        <v>0</v>
      </c>
      <c r="K209" s="122">
        <f t="shared" si="35"/>
        <v>0</v>
      </c>
    </row>
    <row r="210" spans="1:11" s="809" customFormat="1" x14ac:dyDescent="0.25">
      <c r="A210" s="121">
        <f t="shared" si="32"/>
        <v>158</v>
      </c>
      <c r="B210"/>
      <c r="C210" s="808" t="s">
        <v>1846</v>
      </c>
      <c r="D210"/>
      <c r="E210"/>
      <c r="F210"/>
      <c r="G210"/>
      <c r="H210"/>
      <c r="I210"/>
      <c r="J210"/>
      <c r="K210" s="80">
        <f>AVERAGE(K197:K209)</f>
        <v>0</v>
      </c>
    </row>
    <row r="211" spans="1:11" s="809" customFormat="1" x14ac:dyDescent="0.25">
      <c r="A211" s="121"/>
      <c r="B211"/>
      <c r="C211" s="808"/>
      <c r="D211"/>
      <c r="E211"/>
      <c r="F211"/>
      <c r="G211"/>
      <c r="H211"/>
      <c r="I211"/>
      <c r="J211"/>
      <c r="K211" s="80"/>
    </row>
    <row r="212" spans="1:11" s="809" customFormat="1" x14ac:dyDescent="0.25">
      <c r="B212" s="810" t="s">
        <v>2365</v>
      </c>
      <c r="D212" s="1297" t="s">
        <v>602</v>
      </c>
      <c r="E212" s="1297"/>
    </row>
    <row r="213" spans="1:11" s="809" customFormat="1" x14ac:dyDescent="0.25">
      <c r="D213" s="811"/>
      <c r="E213" s="811"/>
      <c r="F213" s="811"/>
      <c r="G213" s="689" t="str">
        <f>G51</f>
        <v>Unloaded</v>
      </c>
      <c r="H213" s="811"/>
      <c r="I213" s="811"/>
    </row>
    <row r="214" spans="1:11" s="809" customFormat="1" x14ac:dyDescent="0.25">
      <c r="A214" s="806"/>
      <c r="B214" s="806"/>
      <c r="C214" s="806"/>
      <c r="D214" s="806" t="str">
        <f>D$52</f>
        <v>Forecast</v>
      </c>
      <c r="E214" s="806" t="str">
        <f t="shared" ref="E214:J214" si="38">E$52</f>
        <v>Corporate</v>
      </c>
      <c r="F214" s="806" t="str">
        <f t="shared" si="38"/>
        <v xml:space="preserve">Total </v>
      </c>
      <c r="G214" s="689" t="str">
        <f>G52</f>
        <v>Total</v>
      </c>
      <c r="H214" s="806" t="str">
        <f t="shared" si="38"/>
        <v>Prior Period</v>
      </c>
      <c r="I214" s="806" t="str">
        <f t="shared" si="38"/>
        <v>Over Heads</v>
      </c>
      <c r="J214" s="806" t="str">
        <f t="shared" si="38"/>
        <v>Forecast</v>
      </c>
      <c r="K214" s="689" t="str">
        <f>K$52</f>
        <v>Forecast Period</v>
      </c>
    </row>
    <row r="215" spans="1:11" s="809" customFormat="1" x14ac:dyDescent="0.25">
      <c r="A215" s="1139" t="s">
        <v>360</v>
      </c>
      <c r="B215" s="768" t="s">
        <v>211</v>
      </c>
      <c r="C215" s="768" t="s">
        <v>212</v>
      </c>
      <c r="D215" s="804" t="str">
        <f>D$53</f>
        <v>Expenditures</v>
      </c>
      <c r="E215" s="804" t="str">
        <f t="shared" ref="E215:J215" si="39">E$53</f>
        <v>Overheads</v>
      </c>
      <c r="F215" s="804" t="str">
        <f t="shared" si="39"/>
        <v>CWIP Exp</v>
      </c>
      <c r="G215" s="3" t="str">
        <f>G53</f>
        <v>Plant Adds</v>
      </c>
      <c r="H215" s="804" t="str">
        <f t="shared" si="39"/>
        <v>CWIP Closed</v>
      </c>
      <c r="I215" s="804" t="str">
        <f t="shared" si="39"/>
        <v>Closed to PIS</v>
      </c>
      <c r="J215" s="804" t="str">
        <f t="shared" si="39"/>
        <v>Period CWIP</v>
      </c>
      <c r="K215" s="804" t="str">
        <f>K$53</f>
        <v>Incremental CWIP</v>
      </c>
    </row>
    <row r="216" spans="1:11" s="809" customFormat="1" x14ac:dyDescent="0.25">
      <c r="A216" s="121">
        <f>A210+1</f>
        <v>159</v>
      </c>
      <c r="B216" s="769" t="s">
        <v>199</v>
      </c>
      <c r="C216" s="770"/>
      <c r="D216" s="813" t="s">
        <v>86</v>
      </c>
      <c r="E216" s="813" t="s">
        <v>86</v>
      </c>
      <c r="F216" s="813" t="s">
        <v>86</v>
      </c>
      <c r="G216" s="813" t="s">
        <v>86</v>
      </c>
      <c r="H216" s="813" t="s">
        <v>86</v>
      </c>
      <c r="I216" s="813" t="s">
        <v>86</v>
      </c>
      <c r="J216" s="65">
        <f>I25</f>
        <v>0</v>
      </c>
      <c r="K216" s="813" t="s">
        <v>86</v>
      </c>
    </row>
    <row r="217" spans="1:11" s="809" customFormat="1" x14ac:dyDescent="0.25">
      <c r="A217" s="121">
        <f>A216+1</f>
        <v>160</v>
      </c>
      <c r="B217" s="769" t="s">
        <v>200</v>
      </c>
      <c r="C217" s="770"/>
      <c r="D217" s="117"/>
      <c r="E217" s="65">
        <f>D217*'16-PlantAdditions'!$E$103</f>
        <v>0</v>
      </c>
      <c r="F217" s="65">
        <f>E217+D217</f>
        <v>0</v>
      </c>
      <c r="G217" s="117"/>
      <c r="H217" s="117"/>
      <c r="I217" s="65">
        <f>(G217-H217)*'16-PlantAdditions'!$E$103</f>
        <v>0</v>
      </c>
      <c r="J217" s="65">
        <f>J216+F217-G217-I217</f>
        <v>0</v>
      </c>
      <c r="K217" s="65">
        <f>J217-$J$216</f>
        <v>0</v>
      </c>
    </row>
    <row r="218" spans="1:11" s="809" customFormat="1" x14ac:dyDescent="0.25">
      <c r="A218" s="121">
        <f t="shared" ref="A218:A241" si="40">A217+1</f>
        <v>161</v>
      </c>
      <c r="B218" s="772" t="s">
        <v>201</v>
      </c>
      <c r="C218" s="770"/>
      <c r="D218" s="117"/>
      <c r="E218" s="65">
        <f>D218*'16-PlantAdditions'!$E$103</f>
        <v>0</v>
      </c>
      <c r="F218" s="65">
        <f t="shared" ref="F218:F237" si="41">E218+D218</f>
        <v>0</v>
      </c>
      <c r="G218" s="117"/>
      <c r="H218" s="117"/>
      <c r="I218" s="65">
        <f>(G218-H218)*'16-PlantAdditions'!$E$103</f>
        <v>0</v>
      </c>
      <c r="J218" s="65">
        <f t="shared" ref="J218:J237" si="42">J217+F218-G218-I218</f>
        <v>0</v>
      </c>
      <c r="K218" s="65">
        <f t="shared" ref="K218:K240" si="43">J218-$J$216</f>
        <v>0</v>
      </c>
    </row>
    <row r="219" spans="1:11" s="809" customFormat="1" x14ac:dyDescent="0.25">
      <c r="A219" s="121">
        <f t="shared" si="40"/>
        <v>162</v>
      </c>
      <c r="B219" s="772" t="s">
        <v>214</v>
      </c>
      <c r="C219" s="770"/>
      <c r="D219" s="117"/>
      <c r="E219" s="65">
        <f>D219*'16-PlantAdditions'!$E$103</f>
        <v>0</v>
      </c>
      <c r="F219" s="65">
        <f t="shared" si="41"/>
        <v>0</v>
      </c>
      <c r="G219" s="117"/>
      <c r="H219" s="117"/>
      <c r="I219" s="65">
        <f>(G219-H219)*'16-PlantAdditions'!$E$103</f>
        <v>0</v>
      </c>
      <c r="J219" s="65">
        <f t="shared" si="42"/>
        <v>0</v>
      </c>
      <c r="K219" s="65">
        <f t="shared" si="43"/>
        <v>0</v>
      </c>
    </row>
    <row r="220" spans="1:11" s="809" customFormat="1" x14ac:dyDescent="0.25">
      <c r="A220" s="121">
        <f t="shared" si="40"/>
        <v>163</v>
      </c>
      <c r="B220" s="769" t="s">
        <v>202</v>
      </c>
      <c r="C220" s="770"/>
      <c r="D220" s="117"/>
      <c r="E220" s="65">
        <f>D220*'16-PlantAdditions'!$E$103</f>
        <v>0</v>
      </c>
      <c r="F220" s="65">
        <f t="shared" si="41"/>
        <v>0</v>
      </c>
      <c r="G220" s="117"/>
      <c r="H220" s="117"/>
      <c r="I220" s="65">
        <f>(G220-H220)*'16-PlantAdditions'!$E$103</f>
        <v>0</v>
      </c>
      <c r="J220" s="65">
        <f t="shared" si="42"/>
        <v>0</v>
      </c>
      <c r="K220" s="65">
        <f t="shared" si="43"/>
        <v>0</v>
      </c>
    </row>
    <row r="221" spans="1:11" s="809" customFormat="1" x14ac:dyDescent="0.25">
      <c r="A221" s="121">
        <f t="shared" si="40"/>
        <v>164</v>
      </c>
      <c r="B221" s="772" t="s">
        <v>203</v>
      </c>
      <c r="C221" s="770"/>
      <c r="D221" s="117"/>
      <c r="E221" s="65">
        <f>D221*'16-PlantAdditions'!$E$103</f>
        <v>0</v>
      </c>
      <c r="F221" s="65">
        <f t="shared" si="41"/>
        <v>0</v>
      </c>
      <c r="G221" s="117"/>
      <c r="H221" s="117"/>
      <c r="I221" s="65">
        <f>(G221-H221)*'16-PlantAdditions'!$E$103</f>
        <v>0</v>
      </c>
      <c r="J221" s="65">
        <f t="shared" si="42"/>
        <v>0</v>
      </c>
      <c r="K221" s="65">
        <f t="shared" si="43"/>
        <v>0</v>
      </c>
    </row>
    <row r="222" spans="1:11" s="809" customFormat="1" x14ac:dyDescent="0.25">
      <c r="A222" s="121">
        <f t="shared" si="40"/>
        <v>165</v>
      </c>
      <c r="B222" s="772" t="s">
        <v>1670</v>
      </c>
      <c r="C222" s="770"/>
      <c r="D222" s="117"/>
      <c r="E222" s="65">
        <f>D222*'16-PlantAdditions'!$E$103</f>
        <v>0</v>
      </c>
      <c r="F222" s="65">
        <f t="shared" si="41"/>
        <v>0</v>
      </c>
      <c r="G222" s="117"/>
      <c r="H222" s="117"/>
      <c r="I222" s="65">
        <f>(G222-H222)*'16-PlantAdditions'!$E$103</f>
        <v>0</v>
      </c>
      <c r="J222" s="65">
        <f t="shared" si="42"/>
        <v>0</v>
      </c>
      <c r="K222" s="65">
        <f t="shared" si="43"/>
        <v>0</v>
      </c>
    </row>
    <row r="223" spans="1:11" s="809" customFormat="1" x14ac:dyDescent="0.25">
      <c r="A223" s="121">
        <f t="shared" si="40"/>
        <v>166</v>
      </c>
      <c r="B223" s="769" t="s">
        <v>205</v>
      </c>
      <c r="C223" s="770"/>
      <c r="D223" s="117"/>
      <c r="E223" s="65">
        <f>D223*'16-PlantAdditions'!$E$103</f>
        <v>0</v>
      </c>
      <c r="F223" s="65">
        <f t="shared" si="41"/>
        <v>0</v>
      </c>
      <c r="G223" s="117"/>
      <c r="H223" s="117"/>
      <c r="I223" s="65">
        <f>(G223-H223)*'16-PlantAdditions'!$E$103</f>
        <v>0</v>
      </c>
      <c r="J223" s="65">
        <f t="shared" si="42"/>
        <v>0</v>
      </c>
      <c r="K223" s="65">
        <f t="shared" si="43"/>
        <v>0</v>
      </c>
    </row>
    <row r="224" spans="1:11" s="809" customFormat="1" x14ac:dyDescent="0.25">
      <c r="A224" s="121">
        <f t="shared" si="40"/>
        <v>167</v>
      </c>
      <c r="B224" s="772" t="s">
        <v>206</v>
      </c>
      <c r="C224" s="770"/>
      <c r="D224" s="117"/>
      <c r="E224" s="65">
        <f>D224*'16-PlantAdditions'!$E$103</f>
        <v>0</v>
      </c>
      <c r="F224" s="65">
        <f t="shared" si="41"/>
        <v>0</v>
      </c>
      <c r="G224" s="117"/>
      <c r="H224" s="117"/>
      <c r="I224" s="65">
        <f>(G224-H224)*'16-PlantAdditions'!$E$103</f>
        <v>0</v>
      </c>
      <c r="J224" s="65">
        <f t="shared" si="42"/>
        <v>0</v>
      </c>
      <c r="K224" s="65">
        <f t="shared" si="43"/>
        <v>0</v>
      </c>
    </row>
    <row r="225" spans="1:11" s="809" customFormat="1" x14ac:dyDescent="0.25">
      <c r="A225" s="121">
        <f t="shared" si="40"/>
        <v>168</v>
      </c>
      <c r="B225" s="772" t="s">
        <v>207</v>
      </c>
      <c r="C225" s="770"/>
      <c r="D225" s="117"/>
      <c r="E225" s="65">
        <f>D225*'16-PlantAdditions'!$E$103</f>
        <v>0</v>
      </c>
      <c r="F225" s="65">
        <f t="shared" si="41"/>
        <v>0</v>
      </c>
      <c r="G225" s="117"/>
      <c r="H225" s="117"/>
      <c r="I225" s="65">
        <f>(G225-H225)*'16-PlantAdditions'!$E$103</f>
        <v>0</v>
      </c>
      <c r="J225" s="65">
        <f t="shared" si="42"/>
        <v>0</v>
      </c>
      <c r="K225" s="65">
        <f t="shared" si="43"/>
        <v>0</v>
      </c>
    </row>
    <row r="226" spans="1:11" s="809" customFormat="1" x14ac:dyDescent="0.25">
      <c r="A226" s="121">
        <f t="shared" si="40"/>
        <v>169</v>
      </c>
      <c r="B226" s="769" t="s">
        <v>210</v>
      </c>
      <c r="C226" s="770"/>
      <c r="D226" s="117"/>
      <c r="E226" s="65">
        <f>D226*'16-PlantAdditions'!$E$103</f>
        <v>0</v>
      </c>
      <c r="F226" s="65">
        <f t="shared" si="41"/>
        <v>0</v>
      </c>
      <c r="G226" s="117"/>
      <c r="H226" s="117"/>
      <c r="I226" s="65">
        <f>(G226-H226)*'16-PlantAdditions'!$E$103</f>
        <v>0</v>
      </c>
      <c r="J226" s="65">
        <f t="shared" si="42"/>
        <v>0</v>
      </c>
      <c r="K226" s="65">
        <f t="shared" si="43"/>
        <v>0</v>
      </c>
    </row>
    <row r="227" spans="1:11" s="809" customFormat="1" x14ac:dyDescent="0.25">
      <c r="A227" s="121">
        <f t="shared" si="40"/>
        <v>170</v>
      </c>
      <c r="B227" s="769" t="s">
        <v>209</v>
      </c>
      <c r="C227" s="770"/>
      <c r="D227" s="117"/>
      <c r="E227" s="65">
        <f>D227*'16-PlantAdditions'!$E$103</f>
        <v>0</v>
      </c>
      <c r="F227" s="65">
        <f t="shared" si="41"/>
        <v>0</v>
      </c>
      <c r="G227" s="117"/>
      <c r="H227" s="117"/>
      <c r="I227" s="65">
        <f>(G227-H227)*'16-PlantAdditions'!$E$103</f>
        <v>0</v>
      </c>
      <c r="J227" s="65">
        <f t="shared" si="42"/>
        <v>0</v>
      </c>
      <c r="K227" s="65">
        <f t="shared" si="43"/>
        <v>0</v>
      </c>
    </row>
    <row r="228" spans="1:11" s="809" customFormat="1" x14ac:dyDescent="0.25">
      <c r="A228" s="121">
        <f t="shared" si="40"/>
        <v>171</v>
      </c>
      <c r="B228" s="769" t="s">
        <v>199</v>
      </c>
      <c r="C228" s="770"/>
      <c r="D228" s="117"/>
      <c r="E228" s="65">
        <f>D228*'16-PlantAdditions'!$E$103</f>
        <v>0</v>
      </c>
      <c r="F228" s="65">
        <f t="shared" si="41"/>
        <v>0</v>
      </c>
      <c r="G228" s="117"/>
      <c r="H228" s="117"/>
      <c r="I228" s="65">
        <f>(G228-H228)*'16-PlantAdditions'!$E$103</f>
        <v>0</v>
      </c>
      <c r="J228" s="65">
        <f t="shared" si="42"/>
        <v>0</v>
      </c>
      <c r="K228" s="65">
        <f t="shared" si="43"/>
        <v>0</v>
      </c>
    </row>
    <row r="229" spans="1:11" s="809" customFormat="1" x14ac:dyDescent="0.25">
      <c r="A229" s="121">
        <f t="shared" si="40"/>
        <v>172</v>
      </c>
      <c r="B229" s="769" t="s">
        <v>200</v>
      </c>
      <c r="C229" s="770"/>
      <c r="D229" s="117"/>
      <c r="E229" s="65">
        <f>D229*'16-PlantAdditions'!$E$103</f>
        <v>0</v>
      </c>
      <c r="F229" s="65">
        <f t="shared" si="41"/>
        <v>0</v>
      </c>
      <c r="G229" s="117"/>
      <c r="H229" s="117"/>
      <c r="I229" s="65">
        <f>(G229-H229)*'16-PlantAdditions'!$E$103</f>
        <v>0</v>
      </c>
      <c r="J229" s="65">
        <f t="shared" si="42"/>
        <v>0</v>
      </c>
      <c r="K229" s="65">
        <f t="shared" si="43"/>
        <v>0</v>
      </c>
    </row>
    <row r="230" spans="1:11" s="809" customFormat="1" x14ac:dyDescent="0.25">
      <c r="A230" s="121">
        <f t="shared" si="40"/>
        <v>173</v>
      </c>
      <c r="B230" s="772" t="s">
        <v>201</v>
      </c>
      <c r="C230" s="770"/>
      <c r="D230" s="117"/>
      <c r="E230" s="65">
        <f>D230*'16-PlantAdditions'!$E$103</f>
        <v>0</v>
      </c>
      <c r="F230" s="65">
        <f t="shared" si="41"/>
        <v>0</v>
      </c>
      <c r="G230" s="117"/>
      <c r="H230" s="117"/>
      <c r="I230" s="65">
        <f>(G230-H230)*'16-PlantAdditions'!$E$103</f>
        <v>0</v>
      </c>
      <c r="J230" s="65">
        <f t="shared" si="42"/>
        <v>0</v>
      </c>
      <c r="K230" s="65">
        <f t="shared" si="43"/>
        <v>0</v>
      </c>
    </row>
    <row r="231" spans="1:11" s="809" customFormat="1" x14ac:dyDescent="0.25">
      <c r="A231" s="121">
        <f t="shared" si="40"/>
        <v>174</v>
      </c>
      <c r="B231" s="772" t="s">
        <v>214</v>
      </c>
      <c r="C231" s="770"/>
      <c r="D231" s="117"/>
      <c r="E231" s="65">
        <f>D231*'16-PlantAdditions'!$E$103</f>
        <v>0</v>
      </c>
      <c r="F231" s="65">
        <f t="shared" si="41"/>
        <v>0</v>
      </c>
      <c r="G231" s="117"/>
      <c r="H231" s="117"/>
      <c r="I231" s="65">
        <f>(G231-H231)*'16-PlantAdditions'!$E$103</f>
        <v>0</v>
      </c>
      <c r="J231" s="65">
        <f t="shared" si="42"/>
        <v>0</v>
      </c>
      <c r="K231" s="65">
        <f t="shared" si="43"/>
        <v>0</v>
      </c>
    </row>
    <row r="232" spans="1:11" s="809" customFormat="1" x14ac:dyDescent="0.25">
      <c r="A232" s="121">
        <f t="shared" si="40"/>
        <v>175</v>
      </c>
      <c r="B232" s="769" t="s">
        <v>202</v>
      </c>
      <c r="C232" s="770"/>
      <c r="D232" s="117"/>
      <c r="E232" s="65">
        <f>D232*'16-PlantAdditions'!$E$103</f>
        <v>0</v>
      </c>
      <c r="F232" s="65">
        <f t="shared" si="41"/>
        <v>0</v>
      </c>
      <c r="G232" s="117"/>
      <c r="H232" s="117"/>
      <c r="I232" s="65">
        <f>(G232-H232)*'16-PlantAdditions'!$E$103</f>
        <v>0</v>
      </c>
      <c r="J232" s="65">
        <f t="shared" si="42"/>
        <v>0</v>
      </c>
      <c r="K232" s="65">
        <f t="shared" si="43"/>
        <v>0</v>
      </c>
    </row>
    <row r="233" spans="1:11" s="809" customFormat="1" x14ac:dyDescent="0.25">
      <c r="A233" s="121">
        <f t="shared" si="40"/>
        <v>176</v>
      </c>
      <c r="B233" s="772" t="s">
        <v>203</v>
      </c>
      <c r="C233" s="770"/>
      <c r="D233" s="117"/>
      <c r="E233" s="65">
        <f>D233*'16-PlantAdditions'!$E$103</f>
        <v>0</v>
      </c>
      <c r="F233" s="65">
        <f t="shared" si="41"/>
        <v>0</v>
      </c>
      <c r="G233" s="117"/>
      <c r="H233" s="117"/>
      <c r="I233" s="65">
        <f>(G233-H233)*'16-PlantAdditions'!$E$103</f>
        <v>0</v>
      </c>
      <c r="J233" s="65">
        <f t="shared" si="42"/>
        <v>0</v>
      </c>
      <c r="K233" s="65">
        <f t="shared" si="43"/>
        <v>0</v>
      </c>
    </row>
    <row r="234" spans="1:11" s="809" customFormat="1" x14ac:dyDescent="0.25">
      <c r="A234" s="121">
        <f t="shared" si="40"/>
        <v>177</v>
      </c>
      <c r="B234" s="772" t="s">
        <v>1670</v>
      </c>
      <c r="C234" s="770"/>
      <c r="D234" s="117"/>
      <c r="E234" s="65">
        <f>D234*'16-PlantAdditions'!$E$103</f>
        <v>0</v>
      </c>
      <c r="F234" s="65">
        <f t="shared" si="41"/>
        <v>0</v>
      </c>
      <c r="G234" s="117"/>
      <c r="H234" s="117"/>
      <c r="I234" s="65">
        <f>(G234-H234)*'16-PlantAdditions'!$E$103</f>
        <v>0</v>
      </c>
      <c r="J234" s="65">
        <f t="shared" si="42"/>
        <v>0</v>
      </c>
      <c r="K234" s="65">
        <f t="shared" si="43"/>
        <v>0</v>
      </c>
    </row>
    <row r="235" spans="1:11" s="809" customFormat="1" x14ac:dyDescent="0.25">
      <c r="A235" s="121">
        <f t="shared" si="40"/>
        <v>178</v>
      </c>
      <c r="B235" s="769" t="s">
        <v>205</v>
      </c>
      <c r="C235" s="770"/>
      <c r="D235" s="117"/>
      <c r="E235" s="65">
        <f>D235*'16-PlantAdditions'!$E$103</f>
        <v>0</v>
      </c>
      <c r="F235" s="65">
        <f t="shared" si="41"/>
        <v>0</v>
      </c>
      <c r="G235" s="117"/>
      <c r="H235" s="117"/>
      <c r="I235" s="65">
        <f>(G235-H235)*'16-PlantAdditions'!$E$103</f>
        <v>0</v>
      </c>
      <c r="J235" s="65">
        <f t="shared" si="42"/>
        <v>0</v>
      </c>
      <c r="K235" s="65">
        <f t="shared" si="43"/>
        <v>0</v>
      </c>
    </row>
    <row r="236" spans="1:11" s="809" customFormat="1" x14ac:dyDescent="0.25">
      <c r="A236" s="121">
        <f t="shared" si="40"/>
        <v>179</v>
      </c>
      <c r="B236" s="772" t="s">
        <v>206</v>
      </c>
      <c r="C236" s="770"/>
      <c r="D236" s="117"/>
      <c r="E236" s="65">
        <f>D236*'16-PlantAdditions'!$E$103</f>
        <v>0</v>
      </c>
      <c r="F236" s="65">
        <f t="shared" si="41"/>
        <v>0</v>
      </c>
      <c r="G236" s="117"/>
      <c r="H236" s="117"/>
      <c r="I236" s="65">
        <f>(G236-H236)*'16-PlantAdditions'!$E$103</f>
        <v>0</v>
      </c>
      <c r="J236" s="65">
        <f t="shared" si="42"/>
        <v>0</v>
      </c>
      <c r="K236" s="65">
        <f t="shared" si="43"/>
        <v>0</v>
      </c>
    </row>
    <row r="237" spans="1:11" s="809" customFormat="1" x14ac:dyDescent="0.25">
      <c r="A237" s="121">
        <f t="shared" si="40"/>
        <v>180</v>
      </c>
      <c r="B237" s="772" t="s">
        <v>207</v>
      </c>
      <c r="C237" s="770"/>
      <c r="D237" s="117"/>
      <c r="E237" s="65">
        <f>D237*'16-PlantAdditions'!$E$103</f>
        <v>0</v>
      </c>
      <c r="F237" s="65">
        <f t="shared" si="41"/>
        <v>0</v>
      </c>
      <c r="G237" s="117"/>
      <c r="H237" s="117"/>
      <c r="I237" s="65">
        <f>(G237-H237)*'16-PlantAdditions'!$E$103</f>
        <v>0</v>
      </c>
      <c r="J237" s="65">
        <f t="shared" si="42"/>
        <v>0</v>
      </c>
      <c r="K237" s="65">
        <f t="shared" si="43"/>
        <v>0</v>
      </c>
    </row>
    <row r="238" spans="1:11" s="809" customFormat="1" x14ac:dyDescent="0.25">
      <c r="A238" s="121">
        <f t="shared" si="40"/>
        <v>181</v>
      </c>
      <c r="B238" s="772" t="s">
        <v>210</v>
      </c>
      <c r="C238" s="770"/>
      <c r="D238" s="117"/>
      <c r="E238" s="65">
        <f>D238*'16-PlantAdditions'!$E$103</f>
        <v>0</v>
      </c>
      <c r="F238" s="65">
        <f t="shared" ref="F238:F240" si="44">E238+D238</f>
        <v>0</v>
      </c>
      <c r="G238" s="117"/>
      <c r="H238" s="117"/>
      <c r="I238" s="65">
        <f>(G238-H238)*'16-PlantAdditions'!$E$103</f>
        <v>0</v>
      </c>
      <c r="J238" s="65">
        <f t="shared" ref="J238:J240" si="45">J237+F238-G238-I238</f>
        <v>0</v>
      </c>
      <c r="K238" s="65">
        <f t="shared" si="43"/>
        <v>0</v>
      </c>
    </row>
    <row r="239" spans="1:11" s="809" customFormat="1" x14ac:dyDescent="0.25">
      <c r="A239" s="121">
        <f t="shared" si="40"/>
        <v>182</v>
      </c>
      <c r="B239" s="772" t="s">
        <v>209</v>
      </c>
      <c r="C239" s="770"/>
      <c r="D239" s="117"/>
      <c r="E239" s="65">
        <f>D239*'16-PlantAdditions'!$E$103</f>
        <v>0</v>
      </c>
      <c r="F239" s="65">
        <f t="shared" si="44"/>
        <v>0</v>
      </c>
      <c r="G239" s="117"/>
      <c r="H239" s="117"/>
      <c r="I239" s="65">
        <f>(G239-H239)*'16-PlantAdditions'!$E$103</f>
        <v>0</v>
      </c>
      <c r="J239" s="65">
        <f t="shared" si="45"/>
        <v>0</v>
      </c>
      <c r="K239" s="65">
        <f t="shared" si="43"/>
        <v>0</v>
      </c>
    </row>
    <row r="240" spans="1:11" s="809" customFormat="1" x14ac:dyDescent="0.25">
      <c r="A240" s="121">
        <f t="shared" si="40"/>
        <v>183</v>
      </c>
      <c r="B240" s="772" t="s">
        <v>199</v>
      </c>
      <c r="C240" s="770"/>
      <c r="D240" s="117"/>
      <c r="E240" s="65">
        <f>D240*'16-PlantAdditions'!$E$103</f>
        <v>0</v>
      </c>
      <c r="F240" s="65">
        <f t="shared" si="44"/>
        <v>0</v>
      </c>
      <c r="G240" s="117"/>
      <c r="H240" s="117"/>
      <c r="I240" s="65">
        <f>(G240-H240)*'16-PlantAdditions'!$E$103</f>
        <v>0</v>
      </c>
      <c r="J240" s="65">
        <f t="shared" si="45"/>
        <v>0</v>
      </c>
      <c r="K240" s="122">
        <f t="shared" si="43"/>
        <v>0</v>
      </c>
    </row>
    <row r="241" spans="1:11" s="809" customFormat="1" x14ac:dyDescent="0.25">
      <c r="A241" s="121">
        <f t="shared" si="40"/>
        <v>184</v>
      </c>
      <c r="B241"/>
      <c r="C241" s="808" t="s">
        <v>1846</v>
      </c>
      <c r="D241"/>
      <c r="E241"/>
      <c r="F241"/>
      <c r="G241"/>
      <c r="H241"/>
      <c r="I241"/>
      <c r="J241"/>
      <c r="K241" s="80">
        <f>AVERAGE(K228:K240)</f>
        <v>0</v>
      </c>
    </row>
    <row r="242" spans="1:11" s="809" customFormat="1" x14ac:dyDescent="0.25">
      <c r="A242" s="121"/>
      <c r="B242"/>
      <c r="C242" s="808"/>
      <c r="D242"/>
      <c r="E242"/>
      <c r="F242"/>
      <c r="G242"/>
      <c r="H242"/>
      <c r="I242"/>
      <c r="J242"/>
      <c r="K242" s="80"/>
    </row>
    <row r="243" spans="1:11" s="809" customFormat="1" x14ac:dyDescent="0.25">
      <c r="B243" s="810" t="s">
        <v>2366</v>
      </c>
      <c r="D243" s="1297" t="s">
        <v>2367</v>
      </c>
      <c r="E243" s="1297"/>
    </row>
    <row r="244" spans="1:11" s="809" customFormat="1" x14ac:dyDescent="0.25">
      <c r="A244" s="804"/>
      <c r="B244" s="804"/>
      <c r="C244" s="804"/>
      <c r="D244" s="804" t="s">
        <v>394</v>
      </c>
      <c r="E244" s="804" t="s">
        <v>378</v>
      </c>
      <c r="F244" s="804" t="s">
        <v>379</v>
      </c>
      <c r="G244" s="804" t="s">
        <v>380</v>
      </c>
      <c r="H244" s="804" t="s">
        <v>381</v>
      </c>
      <c r="I244" s="804" t="s">
        <v>382</v>
      </c>
      <c r="J244" s="804" t="s">
        <v>383</v>
      </c>
      <c r="K244" s="804" t="s">
        <v>597</v>
      </c>
    </row>
    <row r="245" spans="1:11" s="809" customFormat="1" ht="26.4" x14ac:dyDescent="0.25">
      <c r="D245" s="811"/>
      <c r="E245" s="812" t="s">
        <v>2620</v>
      </c>
      <c r="F245" s="813" t="s">
        <v>2356</v>
      </c>
      <c r="G245" s="560"/>
      <c r="H245" s="811"/>
      <c r="I245" s="812" t="s">
        <v>2621</v>
      </c>
      <c r="J245" s="812" t="s">
        <v>2357</v>
      </c>
      <c r="K245" s="812" t="s">
        <v>2358</v>
      </c>
    </row>
    <row r="246" spans="1:11" s="809" customFormat="1" x14ac:dyDescent="0.25">
      <c r="D246" s="811"/>
      <c r="E246" s="811"/>
      <c r="F246" s="811"/>
      <c r="G246" s="689" t="s">
        <v>2368</v>
      </c>
      <c r="H246" s="811"/>
      <c r="I246" s="811"/>
    </row>
    <row r="247" spans="1:11" s="809" customFormat="1" x14ac:dyDescent="0.25">
      <c r="A247" s="806"/>
      <c r="B247" s="806"/>
      <c r="C247" s="806"/>
      <c r="D247" s="806" t="str">
        <f>D$52</f>
        <v>Forecast</v>
      </c>
      <c r="E247" s="806" t="str">
        <f t="shared" ref="E247:J247" si="46">E$52</f>
        <v>Corporate</v>
      </c>
      <c r="F247" s="806" t="str">
        <f t="shared" si="46"/>
        <v xml:space="preserve">Total </v>
      </c>
      <c r="G247" s="806" t="s">
        <v>215</v>
      </c>
      <c r="H247" s="806" t="str">
        <f t="shared" si="46"/>
        <v>Prior Period</v>
      </c>
      <c r="I247" s="806" t="str">
        <f t="shared" si="46"/>
        <v>Over Heads</v>
      </c>
      <c r="J247" s="806" t="str">
        <f t="shared" si="46"/>
        <v>Forecast</v>
      </c>
      <c r="K247" s="689" t="str">
        <f>K$52</f>
        <v>Forecast Period</v>
      </c>
    </row>
    <row r="248" spans="1:11" s="809" customFormat="1" x14ac:dyDescent="0.25">
      <c r="A248" s="1139" t="s">
        <v>360</v>
      </c>
      <c r="B248" s="768" t="s">
        <v>211</v>
      </c>
      <c r="C248" s="768" t="s">
        <v>212</v>
      </c>
      <c r="D248" s="804" t="str">
        <f>D$53</f>
        <v>Expenditures</v>
      </c>
      <c r="E248" s="804" t="str">
        <f t="shared" ref="E248:J248" si="47">E$53</f>
        <v>Overheads</v>
      </c>
      <c r="F248" s="804" t="str">
        <f t="shared" si="47"/>
        <v>CWIP Exp</v>
      </c>
      <c r="G248" s="804" t="s">
        <v>2349</v>
      </c>
      <c r="H248" s="804" t="str">
        <f t="shared" si="47"/>
        <v>CWIP Closed</v>
      </c>
      <c r="I248" s="804" t="str">
        <f t="shared" si="47"/>
        <v>Closed to PIS</v>
      </c>
      <c r="J248" s="804" t="str">
        <f t="shared" si="47"/>
        <v>Period CWIP</v>
      </c>
      <c r="K248" s="804" t="str">
        <f>K$53</f>
        <v>Incremental CWIP</v>
      </c>
    </row>
    <row r="249" spans="1:11" s="809" customFormat="1" x14ac:dyDescent="0.25">
      <c r="A249" s="121">
        <f>A241+1</f>
        <v>185</v>
      </c>
      <c r="B249" s="769" t="s">
        <v>199</v>
      </c>
      <c r="C249" s="770"/>
      <c r="D249" s="813" t="s">
        <v>86</v>
      </c>
      <c r="E249" s="813" t="s">
        <v>86</v>
      </c>
      <c r="F249" s="813" t="s">
        <v>86</v>
      </c>
      <c r="G249" s="813" t="s">
        <v>86</v>
      </c>
      <c r="H249" s="813" t="s">
        <v>86</v>
      </c>
      <c r="I249" s="813" t="s">
        <v>86</v>
      </c>
      <c r="J249" s="65">
        <f>D45</f>
        <v>0</v>
      </c>
      <c r="K249" s="813" t="s">
        <v>86</v>
      </c>
    </row>
    <row r="250" spans="1:11" s="809" customFormat="1" x14ac:dyDescent="0.25">
      <c r="A250" s="121">
        <f>A249+1</f>
        <v>186</v>
      </c>
      <c r="B250" s="769" t="s">
        <v>200</v>
      </c>
      <c r="C250" s="770"/>
      <c r="D250" s="117"/>
      <c r="E250" s="65">
        <f>D250*'16-PlantAdditions'!$E$103</f>
        <v>0</v>
      </c>
      <c r="F250" s="65">
        <f>E250+D250</f>
        <v>0</v>
      </c>
      <c r="G250" s="117"/>
      <c r="H250" s="117"/>
      <c r="I250" s="65">
        <f>(G250-H250)*'16-PlantAdditions'!$E$103</f>
        <v>0</v>
      </c>
      <c r="J250" s="65">
        <f>J249+F250-G250-I250</f>
        <v>0</v>
      </c>
      <c r="K250" s="65">
        <f>J250-$J$249</f>
        <v>0</v>
      </c>
    </row>
    <row r="251" spans="1:11" s="809" customFormat="1" x14ac:dyDescent="0.25">
      <c r="A251" s="121">
        <f t="shared" ref="A251:A274" si="48">A250+1</f>
        <v>187</v>
      </c>
      <c r="B251" s="772" t="s">
        <v>201</v>
      </c>
      <c r="C251" s="770"/>
      <c r="D251" s="117"/>
      <c r="E251" s="65">
        <f>D251*'16-PlantAdditions'!$E$103</f>
        <v>0</v>
      </c>
      <c r="F251" s="65">
        <f t="shared" ref="F251:F270" si="49">E251+D251</f>
        <v>0</v>
      </c>
      <c r="G251" s="117"/>
      <c r="H251" s="117"/>
      <c r="I251" s="65">
        <f>(G251-H251)*'16-PlantAdditions'!$E$103</f>
        <v>0</v>
      </c>
      <c r="J251" s="65">
        <f t="shared" ref="J251:J270" si="50">J250+F251-G251-I251</f>
        <v>0</v>
      </c>
      <c r="K251" s="65">
        <f t="shared" ref="K251:K273" si="51">J251-$J$249</f>
        <v>0</v>
      </c>
    </row>
    <row r="252" spans="1:11" s="809" customFormat="1" x14ac:dyDescent="0.25">
      <c r="A252" s="121">
        <f t="shared" si="48"/>
        <v>188</v>
      </c>
      <c r="B252" s="772" t="s">
        <v>214</v>
      </c>
      <c r="C252" s="770"/>
      <c r="D252" s="117"/>
      <c r="E252" s="65">
        <f>D252*'16-PlantAdditions'!$E$103</f>
        <v>0</v>
      </c>
      <c r="F252" s="65">
        <f t="shared" si="49"/>
        <v>0</v>
      </c>
      <c r="G252" s="117"/>
      <c r="H252" s="117"/>
      <c r="I252" s="65">
        <f>(G252-H252)*'16-PlantAdditions'!$E$103</f>
        <v>0</v>
      </c>
      <c r="J252" s="65">
        <f t="shared" si="50"/>
        <v>0</v>
      </c>
      <c r="K252" s="65">
        <f t="shared" si="51"/>
        <v>0</v>
      </c>
    </row>
    <row r="253" spans="1:11" s="809" customFormat="1" x14ac:dyDescent="0.25">
      <c r="A253" s="121">
        <f t="shared" si="48"/>
        <v>189</v>
      </c>
      <c r="B253" s="769" t="s">
        <v>202</v>
      </c>
      <c r="C253" s="770"/>
      <c r="D253" s="117"/>
      <c r="E253" s="65">
        <f>D253*'16-PlantAdditions'!$E$103</f>
        <v>0</v>
      </c>
      <c r="F253" s="65">
        <f t="shared" si="49"/>
        <v>0</v>
      </c>
      <c r="G253" s="117"/>
      <c r="H253" s="117"/>
      <c r="I253" s="65">
        <f>(G253-H253)*'16-PlantAdditions'!$E$103</f>
        <v>0</v>
      </c>
      <c r="J253" s="65">
        <f t="shared" si="50"/>
        <v>0</v>
      </c>
      <c r="K253" s="65">
        <f t="shared" si="51"/>
        <v>0</v>
      </c>
    </row>
    <row r="254" spans="1:11" s="809" customFormat="1" x14ac:dyDescent="0.25">
      <c r="A254" s="121">
        <f t="shared" si="48"/>
        <v>190</v>
      </c>
      <c r="B254" s="772" t="s">
        <v>203</v>
      </c>
      <c r="C254" s="770"/>
      <c r="D254" s="117"/>
      <c r="E254" s="65">
        <f>D254*'16-PlantAdditions'!$E$103</f>
        <v>0</v>
      </c>
      <c r="F254" s="65">
        <f t="shared" si="49"/>
        <v>0</v>
      </c>
      <c r="G254" s="117"/>
      <c r="H254" s="117"/>
      <c r="I254" s="65">
        <f>(G254-H254)*'16-PlantAdditions'!$E$103</f>
        <v>0</v>
      </c>
      <c r="J254" s="65">
        <f t="shared" si="50"/>
        <v>0</v>
      </c>
      <c r="K254" s="65">
        <f t="shared" si="51"/>
        <v>0</v>
      </c>
    </row>
    <row r="255" spans="1:11" s="809" customFormat="1" x14ac:dyDescent="0.25">
      <c r="A255" s="121">
        <f t="shared" si="48"/>
        <v>191</v>
      </c>
      <c r="B255" s="772" t="s">
        <v>1670</v>
      </c>
      <c r="C255" s="770"/>
      <c r="D255" s="117"/>
      <c r="E255" s="65">
        <f>D255*'16-PlantAdditions'!$E$103</f>
        <v>0</v>
      </c>
      <c r="F255" s="65">
        <f t="shared" si="49"/>
        <v>0</v>
      </c>
      <c r="G255" s="117"/>
      <c r="H255" s="117"/>
      <c r="I255" s="65">
        <f>(G255-H255)*'16-PlantAdditions'!$E$103</f>
        <v>0</v>
      </c>
      <c r="J255" s="65">
        <f t="shared" si="50"/>
        <v>0</v>
      </c>
      <c r="K255" s="65">
        <f t="shared" si="51"/>
        <v>0</v>
      </c>
    </row>
    <row r="256" spans="1:11" s="809" customFormat="1" x14ac:dyDescent="0.25">
      <c r="A256" s="121">
        <f t="shared" si="48"/>
        <v>192</v>
      </c>
      <c r="B256" s="769" t="s">
        <v>205</v>
      </c>
      <c r="C256" s="770"/>
      <c r="D256" s="117"/>
      <c r="E256" s="65">
        <f>D256*'16-PlantAdditions'!$E$103</f>
        <v>0</v>
      </c>
      <c r="F256" s="65">
        <f t="shared" si="49"/>
        <v>0</v>
      </c>
      <c r="G256" s="117"/>
      <c r="H256" s="117"/>
      <c r="I256" s="65">
        <f>(G256-H256)*'16-PlantAdditions'!$E$103</f>
        <v>0</v>
      </c>
      <c r="J256" s="65">
        <f t="shared" si="50"/>
        <v>0</v>
      </c>
      <c r="K256" s="65">
        <f t="shared" si="51"/>
        <v>0</v>
      </c>
    </row>
    <row r="257" spans="1:11" s="809" customFormat="1" x14ac:dyDescent="0.25">
      <c r="A257" s="121">
        <f t="shared" si="48"/>
        <v>193</v>
      </c>
      <c r="B257" s="772" t="s">
        <v>206</v>
      </c>
      <c r="C257" s="770"/>
      <c r="D257" s="117"/>
      <c r="E257" s="65">
        <f>D257*'16-PlantAdditions'!$E$103</f>
        <v>0</v>
      </c>
      <c r="F257" s="65">
        <f t="shared" si="49"/>
        <v>0</v>
      </c>
      <c r="G257" s="117"/>
      <c r="H257" s="117"/>
      <c r="I257" s="65">
        <f>(G257-H257)*'16-PlantAdditions'!$E$103</f>
        <v>0</v>
      </c>
      <c r="J257" s="65">
        <f t="shared" si="50"/>
        <v>0</v>
      </c>
      <c r="K257" s="65">
        <f t="shared" si="51"/>
        <v>0</v>
      </c>
    </row>
    <row r="258" spans="1:11" s="809" customFormat="1" x14ac:dyDescent="0.25">
      <c r="A258" s="121">
        <f t="shared" si="48"/>
        <v>194</v>
      </c>
      <c r="B258" s="772" t="s">
        <v>207</v>
      </c>
      <c r="C258" s="770"/>
      <c r="D258" s="117"/>
      <c r="E258" s="65">
        <f>D258*'16-PlantAdditions'!$E$103</f>
        <v>0</v>
      </c>
      <c r="F258" s="65">
        <f t="shared" si="49"/>
        <v>0</v>
      </c>
      <c r="G258" s="117"/>
      <c r="H258" s="117"/>
      <c r="I258" s="65">
        <f>(G258-H258)*'16-PlantAdditions'!$E$103</f>
        <v>0</v>
      </c>
      <c r="J258" s="65">
        <f t="shared" si="50"/>
        <v>0</v>
      </c>
      <c r="K258" s="65">
        <f t="shared" si="51"/>
        <v>0</v>
      </c>
    </row>
    <row r="259" spans="1:11" s="809" customFormat="1" x14ac:dyDescent="0.25">
      <c r="A259" s="121">
        <f t="shared" si="48"/>
        <v>195</v>
      </c>
      <c r="B259" s="769" t="s">
        <v>210</v>
      </c>
      <c r="C259" s="770"/>
      <c r="D259" s="117"/>
      <c r="E259" s="65">
        <f>D259*'16-PlantAdditions'!$E$103</f>
        <v>0</v>
      </c>
      <c r="F259" s="65">
        <f t="shared" si="49"/>
        <v>0</v>
      </c>
      <c r="G259" s="117"/>
      <c r="H259" s="117"/>
      <c r="I259" s="65">
        <f>(G259-H259)*'16-PlantAdditions'!$E$103</f>
        <v>0</v>
      </c>
      <c r="J259" s="65">
        <f t="shared" si="50"/>
        <v>0</v>
      </c>
      <c r="K259" s="65">
        <f t="shared" si="51"/>
        <v>0</v>
      </c>
    </row>
    <row r="260" spans="1:11" s="809" customFormat="1" x14ac:dyDescent="0.25">
      <c r="A260" s="121">
        <f t="shared" si="48"/>
        <v>196</v>
      </c>
      <c r="B260" s="769" t="s">
        <v>209</v>
      </c>
      <c r="C260" s="770"/>
      <c r="D260" s="117"/>
      <c r="E260" s="65">
        <f>D260*'16-PlantAdditions'!$E$103</f>
        <v>0</v>
      </c>
      <c r="F260" s="65">
        <f t="shared" si="49"/>
        <v>0</v>
      </c>
      <c r="G260" s="117"/>
      <c r="H260" s="117"/>
      <c r="I260" s="65">
        <f>(G260-H260)*'16-PlantAdditions'!$E$103</f>
        <v>0</v>
      </c>
      <c r="J260" s="65">
        <f t="shared" si="50"/>
        <v>0</v>
      </c>
      <c r="K260" s="65">
        <f t="shared" si="51"/>
        <v>0</v>
      </c>
    </row>
    <row r="261" spans="1:11" s="809" customFormat="1" x14ac:dyDescent="0.25">
      <c r="A261" s="121">
        <f t="shared" si="48"/>
        <v>197</v>
      </c>
      <c r="B261" s="769" t="s">
        <v>199</v>
      </c>
      <c r="C261" s="770"/>
      <c r="D261" s="117"/>
      <c r="E261" s="65">
        <f>D261*'16-PlantAdditions'!$E$103</f>
        <v>0</v>
      </c>
      <c r="F261" s="65">
        <f t="shared" si="49"/>
        <v>0</v>
      </c>
      <c r="G261" s="117"/>
      <c r="H261" s="117"/>
      <c r="I261" s="65">
        <f>(G261-H261)*'16-PlantAdditions'!$E$103</f>
        <v>0</v>
      </c>
      <c r="J261" s="65">
        <f t="shared" si="50"/>
        <v>0</v>
      </c>
      <c r="K261" s="65">
        <f t="shared" si="51"/>
        <v>0</v>
      </c>
    </row>
    <row r="262" spans="1:11" s="809" customFormat="1" x14ac:dyDescent="0.25">
      <c r="A262" s="121">
        <f t="shared" si="48"/>
        <v>198</v>
      </c>
      <c r="B262" s="769" t="s">
        <v>200</v>
      </c>
      <c r="C262" s="770"/>
      <c r="D262" s="117"/>
      <c r="E262" s="65">
        <f>D262*'16-PlantAdditions'!$E$103</f>
        <v>0</v>
      </c>
      <c r="F262" s="65">
        <f t="shared" si="49"/>
        <v>0</v>
      </c>
      <c r="G262" s="117"/>
      <c r="H262" s="117"/>
      <c r="I262" s="65">
        <f>(G262-H262)*'16-PlantAdditions'!$E$103</f>
        <v>0</v>
      </c>
      <c r="J262" s="65">
        <f t="shared" si="50"/>
        <v>0</v>
      </c>
      <c r="K262" s="65">
        <f t="shared" si="51"/>
        <v>0</v>
      </c>
    </row>
    <row r="263" spans="1:11" s="809" customFormat="1" x14ac:dyDescent="0.25">
      <c r="A263" s="121">
        <f t="shared" si="48"/>
        <v>199</v>
      </c>
      <c r="B263" s="772" t="s">
        <v>201</v>
      </c>
      <c r="C263" s="770"/>
      <c r="D263" s="117"/>
      <c r="E263" s="65">
        <f>D263*'16-PlantAdditions'!$E$103</f>
        <v>0</v>
      </c>
      <c r="F263" s="65">
        <f t="shared" si="49"/>
        <v>0</v>
      </c>
      <c r="G263" s="117"/>
      <c r="H263" s="117"/>
      <c r="I263" s="65">
        <f>(G263-H263)*'16-PlantAdditions'!$E$103</f>
        <v>0</v>
      </c>
      <c r="J263" s="65">
        <f t="shared" si="50"/>
        <v>0</v>
      </c>
      <c r="K263" s="65">
        <f t="shared" si="51"/>
        <v>0</v>
      </c>
    </row>
    <row r="264" spans="1:11" s="809" customFormat="1" x14ac:dyDescent="0.25">
      <c r="A264" s="121">
        <f t="shared" si="48"/>
        <v>200</v>
      </c>
      <c r="B264" s="772" t="s">
        <v>214</v>
      </c>
      <c r="C264" s="770"/>
      <c r="D264" s="117"/>
      <c r="E264" s="65">
        <f>D264*'16-PlantAdditions'!$E$103</f>
        <v>0</v>
      </c>
      <c r="F264" s="65">
        <f t="shared" si="49"/>
        <v>0</v>
      </c>
      <c r="G264" s="117"/>
      <c r="H264" s="117"/>
      <c r="I264" s="65">
        <f>(G264-H264)*'16-PlantAdditions'!$E$103</f>
        <v>0</v>
      </c>
      <c r="J264" s="65">
        <f t="shared" si="50"/>
        <v>0</v>
      </c>
      <c r="K264" s="65">
        <f t="shared" si="51"/>
        <v>0</v>
      </c>
    </row>
    <row r="265" spans="1:11" s="809" customFormat="1" x14ac:dyDescent="0.25">
      <c r="A265" s="121">
        <f t="shared" si="48"/>
        <v>201</v>
      </c>
      <c r="B265" s="769" t="s">
        <v>202</v>
      </c>
      <c r="C265" s="770"/>
      <c r="D265" s="117"/>
      <c r="E265" s="65">
        <f>D265*'16-PlantAdditions'!$E$103</f>
        <v>0</v>
      </c>
      <c r="F265" s="65">
        <f t="shared" si="49"/>
        <v>0</v>
      </c>
      <c r="G265" s="117"/>
      <c r="H265" s="117"/>
      <c r="I265" s="65">
        <f>(G265-H265)*'16-PlantAdditions'!$E$103</f>
        <v>0</v>
      </c>
      <c r="J265" s="65">
        <f t="shared" si="50"/>
        <v>0</v>
      </c>
      <c r="K265" s="65">
        <f t="shared" si="51"/>
        <v>0</v>
      </c>
    </row>
    <row r="266" spans="1:11" s="809" customFormat="1" x14ac:dyDescent="0.25">
      <c r="A266" s="121">
        <f t="shared" si="48"/>
        <v>202</v>
      </c>
      <c r="B266" s="772" t="s">
        <v>203</v>
      </c>
      <c r="C266" s="770"/>
      <c r="D266" s="117"/>
      <c r="E266" s="65">
        <f>D266*'16-PlantAdditions'!$E$103</f>
        <v>0</v>
      </c>
      <c r="F266" s="65">
        <f t="shared" si="49"/>
        <v>0</v>
      </c>
      <c r="G266" s="117"/>
      <c r="H266" s="117"/>
      <c r="I266" s="65">
        <f>(G266-H266)*'16-PlantAdditions'!$E$103</f>
        <v>0</v>
      </c>
      <c r="J266" s="65">
        <f t="shared" si="50"/>
        <v>0</v>
      </c>
      <c r="K266" s="65">
        <f t="shared" si="51"/>
        <v>0</v>
      </c>
    </row>
    <row r="267" spans="1:11" s="809" customFormat="1" x14ac:dyDescent="0.25">
      <c r="A267" s="121">
        <f t="shared" si="48"/>
        <v>203</v>
      </c>
      <c r="B267" s="772" t="s">
        <v>1670</v>
      </c>
      <c r="C267" s="770"/>
      <c r="D267" s="117"/>
      <c r="E267" s="65">
        <f>D267*'16-PlantAdditions'!$E$103</f>
        <v>0</v>
      </c>
      <c r="F267" s="65">
        <f t="shared" si="49"/>
        <v>0</v>
      </c>
      <c r="G267" s="117"/>
      <c r="H267" s="117"/>
      <c r="I267" s="65">
        <f>(G267-H267)*'16-PlantAdditions'!$E$103</f>
        <v>0</v>
      </c>
      <c r="J267" s="65">
        <f t="shared" si="50"/>
        <v>0</v>
      </c>
      <c r="K267" s="65">
        <f t="shared" si="51"/>
        <v>0</v>
      </c>
    </row>
    <row r="268" spans="1:11" s="809" customFormat="1" x14ac:dyDescent="0.25">
      <c r="A268" s="121">
        <f t="shared" si="48"/>
        <v>204</v>
      </c>
      <c r="B268" s="769" t="s">
        <v>205</v>
      </c>
      <c r="C268" s="770"/>
      <c r="D268" s="117"/>
      <c r="E268" s="65">
        <f>D268*'16-PlantAdditions'!$E$103</f>
        <v>0</v>
      </c>
      <c r="F268" s="65">
        <f t="shared" si="49"/>
        <v>0</v>
      </c>
      <c r="G268" s="117"/>
      <c r="H268" s="117"/>
      <c r="I268" s="65">
        <f>(G268-H268)*'16-PlantAdditions'!$E$103</f>
        <v>0</v>
      </c>
      <c r="J268" s="65">
        <f t="shared" si="50"/>
        <v>0</v>
      </c>
      <c r="K268" s="65">
        <f t="shared" si="51"/>
        <v>0</v>
      </c>
    </row>
    <row r="269" spans="1:11" s="809" customFormat="1" x14ac:dyDescent="0.25">
      <c r="A269" s="121">
        <f t="shared" si="48"/>
        <v>205</v>
      </c>
      <c r="B269" s="772" t="s">
        <v>206</v>
      </c>
      <c r="C269" s="770"/>
      <c r="D269" s="117"/>
      <c r="E269" s="65">
        <f>D269*'16-PlantAdditions'!$E$103</f>
        <v>0</v>
      </c>
      <c r="F269" s="65">
        <f t="shared" si="49"/>
        <v>0</v>
      </c>
      <c r="G269" s="117"/>
      <c r="H269" s="117"/>
      <c r="I269" s="65">
        <f>(G269-H269)*'16-PlantAdditions'!$E$103</f>
        <v>0</v>
      </c>
      <c r="J269" s="65">
        <f t="shared" si="50"/>
        <v>0</v>
      </c>
      <c r="K269" s="65">
        <f t="shared" si="51"/>
        <v>0</v>
      </c>
    </row>
    <row r="270" spans="1:11" s="809" customFormat="1" x14ac:dyDescent="0.25">
      <c r="A270" s="121">
        <f t="shared" si="48"/>
        <v>206</v>
      </c>
      <c r="B270" s="772" t="s">
        <v>207</v>
      </c>
      <c r="C270" s="770"/>
      <c r="D270" s="117"/>
      <c r="E270" s="65">
        <f>D270*'16-PlantAdditions'!$E$103</f>
        <v>0</v>
      </c>
      <c r="F270" s="65">
        <f t="shared" si="49"/>
        <v>0</v>
      </c>
      <c r="G270" s="117"/>
      <c r="H270" s="117"/>
      <c r="I270" s="65">
        <f>(G270-H270)*'16-PlantAdditions'!$E$103</f>
        <v>0</v>
      </c>
      <c r="J270" s="65">
        <f t="shared" si="50"/>
        <v>0</v>
      </c>
      <c r="K270" s="65">
        <f t="shared" si="51"/>
        <v>0</v>
      </c>
    </row>
    <row r="271" spans="1:11" s="809" customFormat="1" x14ac:dyDescent="0.25">
      <c r="A271" s="121">
        <f t="shared" si="48"/>
        <v>207</v>
      </c>
      <c r="B271" s="772" t="s">
        <v>210</v>
      </c>
      <c r="C271" s="770"/>
      <c r="D271" s="117"/>
      <c r="E271" s="65">
        <f>D271*'16-PlantAdditions'!$E$103</f>
        <v>0</v>
      </c>
      <c r="F271" s="65">
        <f t="shared" ref="F271:F273" si="52">E271+D271</f>
        <v>0</v>
      </c>
      <c r="G271" s="117"/>
      <c r="H271" s="117"/>
      <c r="I271" s="65">
        <f>(G271-H271)*'16-PlantAdditions'!$E$103</f>
        <v>0</v>
      </c>
      <c r="J271" s="65">
        <f t="shared" ref="J271:J273" si="53">J270+F271-G271-I271</f>
        <v>0</v>
      </c>
      <c r="K271" s="65">
        <f t="shared" si="51"/>
        <v>0</v>
      </c>
    </row>
    <row r="272" spans="1:11" s="809" customFormat="1" x14ac:dyDescent="0.25">
      <c r="A272" s="121">
        <f t="shared" si="48"/>
        <v>208</v>
      </c>
      <c r="B272" s="772" t="s">
        <v>209</v>
      </c>
      <c r="C272" s="770"/>
      <c r="D272" s="117"/>
      <c r="E272" s="65">
        <f>D272*'16-PlantAdditions'!$E$103</f>
        <v>0</v>
      </c>
      <c r="F272" s="65">
        <f t="shared" si="52"/>
        <v>0</v>
      </c>
      <c r="G272" s="117"/>
      <c r="H272" s="117"/>
      <c r="I272" s="65">
        <f>(G272-H272)*'16-PlantAdditions'!$E$103</f>
        <v>0</v>
      </c>
      <c r="J272" s="65">
        <f t="shared" si="53"/>
        <v>0</v>
      </c>
      <c r="K272" s="65">
        <f t="shared" si="51"/>
        <v>0</v>
      </c>
    </row>
    <row r="273" spans="1:13" s="809" customFormat="1" x14ac:dyDescent="0.25">
      <c r="A273" s="121">
        <f t="shared" si="48"/>
        <v>209</v>
      </c>
      <c r="B273" s="772" t="s">
        <v>199</v>
      </c>
      <c r="C273" s="770"/>
      <c r="D273" s="117"/>
      <c r="E273" s="65">
        <f>D273*'16-PlantAdditions'!$E$103</f>
        <v>0</v>
      </c>
      <c r="F273" s="65">
        <f t="shared" si="52"/>
        <v>0</v>
      </c>
      <c r="G273" s="117"/>
      <c r="H273" s="117"/>
      <c r="I273" s="65">
        <f>(G273-H273)*'16-PlantAdditions'!$E$103</f>
        <v>0</v>
      </c>
      <c r="J273" s="65">
        <f t="shared" si="53"/>
        <v>0</v>
      </c>
      <c r="K273" s="122">
        <f t="shared" si="51"/>
        <v>0</v>
      </c>
    </row>
    <row r="274" spans="1:13" s="809" customFormat="1" x14ac:dyDescent="0.25">
      <c r="A274" s="121">
        <f t="shared" si="48"/>
        <v>210</v>
      </c>
      <c r="B274"/>
      <c r="C274" s="808" t="s">
        <v>1846</v>
      </c>
      <c r="D274"/>
      <c r="E274"/>
      <c r="F274"/>
      <c r="G274"/>
      <c r="H274"/>
      <c r="I274"/>
      <c r="J274"/>
      <c r="K274" s="80">
        <f>AVERAGE(K261:K273)</f>
        <v>0</v>
      </c>
    </row>
    <row r="275" spans="1:13" s="809" customFormat="1" ht="12.75" customHeight="1" x14ac:dyDescent="0.25">
      <c r="A275" s="121"/>
      <c r="B275"/>
      <c r="C275" s="808"/>
      <c r="D275"/>
      <c r="E275"/>
      <c r="F275"/>
      <c r="G275"/>
      <c r="H275"/>
      <c r="I275"/>
      <c r="J275"/>
      <c r="K275" s="80"/>
    </row>
    <row r="276" spans="1:13" s="809" customFormat="1" x14ac:dyDescent="0.25">
      <c r="B276" s="810" t="s">
        <v>2369</v>
      </c>
      <c r="D276" s="1297" t="s">
        <v>2370</v>
      </c>
      <c r="E276" s="1297"/>
    </row>
    <row r="277" spans="1:13" s="809" customFormat="1" x14ac:dyDescent="0.25">
      <c r="D277" s="811"/>
      <c r="E277" s="812"/>
      <c r="F277" s="813"/>
      <c r="G277" s="806" t="str">
        <f>G51</f>
        <v>Unloaded</v>
      </c>
      <c r="H277" s="811"/>
      <c r="I277" s="812"/>
      <c r="J277" s="812"/>
      <c r="K277" s="812"/>
    </row>
    <row r="278" spans="1:13" s="809" customFormat="1" x14ac:dyDescent="0.25">
      <c r="A278" s="806"/>
      <c r="B278" s="806"/>
      <c r="C278" s="806"/>
      <c r="D278" s="806" t="str">
        <f>D$52</f>
        <v>Forecast</v>
      </c>
      <c r="E278" s="806" t="str">
        <f t="shared" ref="E278:J278" si="54">E$52</f>
        <v>Corporate</v>
      </c>
      <c r="F278" s="806" t="str">
        <f t="shared" si="54"/>
        <v xml:space="preserve">Total </v>
      </c>
      <c r="G278" s="806" t="str">
        <f>G52</f>
        <v>Total</v>
      </c>
      <c r="H278" s="806" t="str">
        <f t="shared" si="54"/>
        <v>Prior Period</v>
      </c>
      <c r="I278" s="806" t="str">
        <f t="shared" si="54"/>
        <v>Over Heads</v>
      </c>
      <c r="J278" s="806" t="str">
        <f t="shared" si="54"/>
        <v>Forecast</v>
      </c>
      <c r="K278" s="689" t="str">
        <f>K$52</f>
        <v>Forecast Period</v>
      </c>
    </row>
    <row r="279" spans="1:13" s="809" customFormat="1" x14ac:dyDescent="0.25">
      <c r="A279" s="1139" t="s">
        <v>360</v>
      </c>
      <c r="B279" s="768" t="s">
        <v>211</v>
      </c>
      <c r="C279" s="768" t="s">
        <v>212</v>
      </c>
      <c r="D279" s="804" t="str">
        <f>D$53</f>
        <v>Expenditures</v>
      </c>
      <c r="E279" s="804" t="str">
        <f t="shared" ref="E279:J279" si="55">E$53</f>
        <v>Overheads</v>
      </c>
      <c r="F279" s="804" t="str">
        <f t="shared" si="55"/>
        <v>CWIP Exp</v>
      </c>
      <c r="G279" s="804" t="str">
        <f>G53</f>
        <v>Plant Adds</v>
      </c>
      <c r="H279" s="804" t="str">
        <f t="shared" si="55"/>
        <v>CWIP Closed</v>
      </c>
      <c r="I279" s="804" t="str">
        <f t="shared" si="55"/>
        <v>Closed to PIS</v>
      </c>
      <c r="J279" s="804" t="str">
        <f t="shared" si="55"/>
        <v>Period CWIP</v>
      </c>
      <c r="K279" s="804" t="str">
        <f>K$53</f>
        <v>Incremental CWIP</v>
      </c>
    </row>
    <row r="280" spans="1:13" s="809" customFormat="1" x14ac:dyDescent="0.25">
      <c r="A280" s="121">
        <f>A274+1</f>
        <v>211</v>
      </c>
      <c r="B280" s="769" t="s">
        <v>199</v>
      </c>
      <c r="C280" s="770"/>
      <c r="D280" s="813" t="s">
        <v>86</v>
      </c>
      <c r="E280" s="813" t="s">
        <v>86</v>
      </c>
      <c r="F280" s="813" t="s">
        <v>86</v>
      </c>
      <c r="G280" s="813" t="s">
        <v>86</v>
      </c>
      <c r="H280" s="813" t="s">
        <v>86</v>
      </c>
      <c r="I280" s="813" t="s">
        <v>86</v>
      </c>
      <c r="J280" s="65">
        <f>E45</f>
        <v>0</v>
      </c>
      <c r="K280" s="813" t="s">
        <v>86</v>
      </c>
    </row>
    <row r="281" spans="1:13" s="809" customFormat="1" x14ac:dyDescent="0.25">
      <c r="A281" s="121">
        <f>A280+1</f>
        <v>212</v>
      </c>
      <c r="B281" s="769" t="s">
        <v>200</v>
      </c>
      <c r="C281" s="770"/>
      <c r="D281" s="117"/>
      <c r="E281" s="65">
        <f>D281*'16-PlantAdditions'!$E$103</f>
        <v>0</v>
      </c>
      <c r="F281" s="65">
        <f>E281+D281</f>
        <v>0</v>
      </c>
      <c r="G281" s="117"/>
      <c r="H281" s="117"/>
      <c r="I281" s="65">
        <f>(G281-H281)*'16-PlantAdditions'!$E$103</f>
        <v>0</v>
      </c>
      <c r="J281" s="65">
        <f>J280+F281-G281-I281</f>
        <v>0</v>
      </c>
      <c r="K281" s="65">
        <f>J281-$J$280</f>
        <v>0</v>
      </c>
    </row>
    <row r="282" spans="1:13" s="809" customFormat="1" x14ac:dyDescent="0.25">
      <c r="A282" s="121">
        <f t="shared" ref="A282:A305" si="56">A281+1</f>
        <v>213</v>
      </c>
      <c r="B282" s="772" t="s">
        <v>201</v>
      </c>
      <c r="C282" s="770"/>
      <c r="D282" s="117"/>
      <c r="E282" s="65">
        <f>D282*'16-PlantAdditions'!$E$103</f>
        <v>0</v>
      </c>
      <c r="F282" s="65">
        <f t="shared" ref="F282:F301" si="57">E282+D282</f>
        <v>0</v>
      </c>
      <c r="G282" s="117"/>
      <c r="H282" s="117"/>
      <c r="I282" s="65">
        <f>(G282-H282)*'16-PlantAdditions'!$E$103</f>
        <v>0</v>
      </c>
      <c r="J282" s="65">
        <f t="shared" ref="J282:J301" si="58">J281+F282-G282-I282</f>
        <v>0</v>
      </c>
      <c r="K282" s="65">
        <f t="shared" ref="K282:K304" si="59">J282-$J$280</f>
        <v>0</v>
      </c>
    </row>
    <row r="283" spans="1:13" s="809" customFormat="1" x14ac:dyDescent="0.25">
      <c r="A283" s="121">
        <f t="shared" si="56"/>
        <v>214</v>
      </c>
      <c r="B283" s="772" t="s">
        <v>214</v>
      </c>
      <c r="C283" s="770"/>
      <c r="D283" s="117"/>
      <c r="E283" s="65">
        <f>D283*'16-PlantAdditions'!$E$103</f>
        <v>0</v>
      </c>
      <c r="F283" s="65">
        <f t="shared" si="57"/>
        <v>0</v>
      </c>
      <c r="G283" s="117"/>
      <c r="H283" s="117"/>
      <c r="I283" s="65">
        <f>(G283-H283)*'16-PlantAdditions'!$E$103</f>
        <v>0</v>
      </c>
      <c r="J283" s="65">
        <f t="shared" si="58"/>
        <v>0</v>
      </c>
      <c r="K283" s="65">
        <f t="shared" si="59"/>
        <v>0</v>
      </c>
    </row>
    <row r="284" spans="1:13" s="809" customFormat="1" x14ac:dyDescent="0.25">
      <c r="A284" s="121">
        <f t="shared" si="56"/>
        <v>215</v>
      </c>
      <c r="B284" s="769" t="s">
        <v>202</v>
      </c>
      <c r="C284" s="770"/>
      <c r="D284" s="117"/>
      <c r="E284" s="65">
        <f>D284*'16-PlantAdditions'!$E$103</f>
        <v>0</v>
      </c>
      <c r="F284" s="65">
        <f t="shared" si="57"/>
        <v>0</v>
      </c>
      <c r="G284" s="117"/>
      <c r="H284" s="117"/>
      <c r="I284" s="65">
        <f>(G284-H284)*'16-PlantAdditions'!$E$103</f>
        <v>0</v>
      </c>
      <c r="J284" s="65">
        <f t="shared" si="58"/>
        <v>0</v>
      </c>
      <c r="K284" s="65">
        <f t="shared" si="59"/>
        <v>0</v>
      </c>
    </row>
    <row r="285" spans="1:13" s="809" customFormat="1" x14ac:dyDescent="0.25">
      <c r="A285" s="121">
        <f t="shared" si="56"/>
        <v>216</v>
      </c>
      <c r="B285" s="772" t="s">
        <v>203</v>
      </c>
      <c r="C285" s="770"/>
      <c r="D285" s="117"/>
      <c r="E285" s="65">
        <f>D285*'16-PlantAdditions'!$E$103</f>
        <v>0</v>
      </c>
      <c r="F285" s="65">
        <f t="shared" si="57"/>
        <v>0</v>
      </c>
      <c r="G285" s="117"/>
      <c r="H285" s="117"/>
      <c r="I285" s="65">
        <f>(G285-H285)*'16-PlantAdditions'!$E$103</f>
        <v>0</v>
      </c>
      <c r="J285" s="65">
        <f t="shared" si="58"/>
        <v>0</v>
      </c>
      <c r="K285" s="65">
        <f t="shared" si="59"/>
        <v>0</v>
      </c>
      <c r="L285" s="806"/>
      <c r="M285" s="806"/>
    </row>
    <row r="286" spans="1:13" s="809" customFormat="1" x14ac:dyDescent="0.25">
      <c r="A286" s="121">
        <f t="shared" si="56"/>
        <v>217</v>
      </c>
      <c r="B286" s="772" t="s">
        <v>1670</v>
      </c>
      <c r="C286" s="770"/>
      <c r="D286" s="117"/>
      <c r="E286" s="65">
        <f>D286*'16-PlantAdditions'!$E$103</f>
        <v>0</v>
      </c>
      <c r="F286" s="65">
        <f t="shared" si="57"/>
        <v>0</v>
      </c>
      <c r="G286" s="117"/>
      <c r="H286" s="117"/>
      <c r="I286" s="65">
        <f>(G286-H286)*'16-PlantAdditions'!$E$103</f>
        <v>0</v>
      </c>
      <c r="J286" s="65">
        <f t="shared" si="58"/>
        <v>0</v>
      </c>
      <c r="K286" s="65">
        <f t="shared" si="59"/>
        <v>0</v>
      </c>
      <c r="L286" s="804"/>
      <c r="M286" s="804"/>
    </row>
    <row r="287" spans="1:13" s="809" customFormat="1" x14ac:dyDescent="0.25">
      <c r="A287" s="121">
        <f t="shared" si="56"/>
        <v>218</v>
      </c>
      <c r="B287" s="769" t="s">
        <v>205</v>
      </c>
      <c r="C287" s="770"/>
      <c r="D287" s="117"/>
      <c r="E287" s="65">
        <f>D287*'16-PlantAdditions'!$E$103</f>
        <v>0</v>
      </c>
      <c r="F287" s="65">
        <f t="shared" si="57"/>
        <v>0</v>
      </c>
      <c r="G287" s="117"/>
      <c r="H287" s="117"/>
      <c r="I287" s="65">
        <f>(G287-H287)*'16-PlantAdditions'!$E$103</f>
        <v>0</v>
      </c>
      <c r="J287" s="65">
        <f t="shared" si="58"/>
        <v>0</v>
      </c>
      <c r="K287" s="65">
        <f t="shared" si="59"/>
        <v>0</v>
      </c>
    </row>
    <row r="288" spans="1:13" s="809" customFormat="1" x14ac:dyDescent="0.25">
      <c r="A288" s="121">
        <f t="shared" si="56"/>
        <v>219</v>
      </c>
      <c r="B288" s="772" t="s">
        <v>206</v>
      </c>
      <c r="C288" s="770"/>
      <c r="D288" s="117"/>
      <c r="E288" s="65">
        <f>D288*'16-PlantAdditions'!$E$103</f>
        <v>0</v>
      </c>
      <c r="F288" s="65">
        <f t="shared" si="57"/>
        <v>0</v>
      </c>
      <c r="G288" s="117"/>
      <c r="H288" s="117"/>
      <c r="I288" s="65">
        <f>(G288-H288)*'16-PlantAdditions'!$E$103</f>
        <v>0</v>
      </c>
      <c r="J288" s="65">
        <f t="shared" si="58"/>
        <v>0</v>
      </c>
      <c r="K288" s="65">
        <f t="shared" si="59"/>
        <v>0</v>
      </c>
    </row>
    <row r="289" spans="1:11" s="809" customFormat="1" x14ac:dyDescent="0.25">
      <c r="A289" s="121">
        <f t="shared" si="56"/>
        <v>220</v>
      </c>
      <c r="B289" s="772" t="s">
        <v>207</v>
      </c>
      <c r="C289" s="770"/>
      <c r="D289" s="117"/>
      <c r="E289" s="65">
        <f>D289*'16-PlantAdditions'!$E$103</f>
        <v>0</v>
      </c>
      <c r="F289" s="65">
        <f t="shared" si="57"/>
        <v>0</v>
      </c>
      <c r="G289" s="117"/>
      <c r="H289" s="117"/>
      <c r="I289" s="65">
        <f>(G289-H289)*'16-PlantAdditions'!$E$103</f>
        <v>0</v>
      </c>
      <c r="J289" s="65">
        <f t="shared" si="58"/>
        <v>0</v>
      </c>
      <c r="K289" s="65">
        <f t="shared" si="59"/>
        <v>0</v>
      </c>
    </row>
    <row r="290" spans="1:11" s="809" customFormat="1" x14ac:dyDescent="0.25">
      <c r="A290" s="121">
        <f t="shared" si="56"/>
        <v>221</v>
      </c>
      <c r="B290" s="769" t="s">
        <v>210</v>
      </c>
      <c r="C290" s="770"/>
      <c r="D290" s="117"/>
      <c r="E290" s="65">
        <f>D290*'16-PlantAdditions'!$E$103</f>
        <v>0</v>
      </c>
      <c r="F290" s="65">
        <f t="shared" si="57"/>
        <v>0</v>
      </c>
      <c r="G290" s="117"/>
      <c r="H290" s="117"/>
      <c r="I290" s="65">
        <f>(G290-H290)*'16-PlantAdditions'!$E$103</f>
        <v>0</v>
      </c>
      <c r="J290" s="65">
        <f t="shared" si="58"/>
        <v>0</v>
      </c>
      <c r="K290" s="65">
        <f t="shared" si="59"/>
        <v>0</v>
      </c>
    </row>
    <row r="291" spans="1:11" s="809" customFormat="1" x14ac:dyDescent="0.25">
      <c r="A291" s="121">
        <f t="shared" si="56"/>
        <v>222</v>
      </c>
      <c r="B291" s="769" t="s">
        <v>209</v>
      </c>
      <c r="C291" s="770"/>
      <c r="D291" s="117"/>
      <c r="E291" s="65">
        <f>D291*'16-PlantAdditions'!$E$103</f>
        <v>0</v>
      </c>
      <c r="F291" s="65">
        <f t="shared" si="57"/>
        <v>0</v>
      </c>
      <c r="G291" s="117"/>
      <c r="H291" s="117"/>
      <c r="I291" s="65">
        <f>(G291-H291)*'16-PlantAdditions'!$E$103</f>
        <v>0</v>
      </c>
      <c r="J291" s="65">
        <f t="shared" si="58"/>
        <v>0</v>
      </c>
      <c r="K291" s="65">
        <f t="shared" si="59"/>
        <v>0</v>
      </c>
    </row>
    <row r="292" spans="1:11" s="809" customFormat="1" x14ac:dyDescent="0.25">
      <c r="A292" s="121">
        <f t="shared" si="56"/>
        <v>223</v>
      </c>
      <c r="B292" s="769" t="s">
        <v>199</v>
      </c>
      <c r="C292" s="770"/>
      <c r="D292" s="117"/>
      <c r="E292" s="65">
        <f>D292*'16-PlantAdditions'!$E$103</f>
        <v>0</v>
      </c>
      <c r="F292" s="65">
        <f t="shared" si="57"/>
        <v>0</v>
      </c>
      <c r="G292" s="117"/>
      <c r="H292" s="117"/>
      <c r="I292" s="65">
        <f>(G292-H292)*'16-PlantAdditions'!$E$103</f>
        <v>0</v>
      </c>
      <c r="J292" s="65">
        <f t="shared" si="58"/>
        <v>0</v>
      </c>
      <c r="K292" s="65">
        <f t="shared" si="59"/>
        <v>0</v>
      </c>
    </row>
    <row r="293" spans="1:11" s="809" customFormat="1" x14ac:dyDescent="0.25">
      <c r="A293" s="121">
        <f t="shared" si="56"/>
        <v>224</v>
      </c>
      <c r="B293" s="769" t="s">
        <v>200</v>
      </c>
      <c r="C293" s="770"/>
      <c r="D293" s="117"/>
      <c r="E293" s="65">
        <f>D293*'16-PlantAdditions'!$E$103</f>
        <v>0</v>
      </c>
      <c r="F293" s="65">
        <f t="shared" si="57"/>
        <v>0</v>
      </c>
      <c r="G293" s="117"/>
      <c r="H293" s="117"/>
      <c r="I293" s="65">
        <f>(G293-H293)*'16-PlantAdditions'!$E$103</f>
        <v>0</v>
      </c>
      <c r="J293" s="65">
        <f t="shared" si="58"/>
        <v>0</v>
      </c>
      <c r="K293" s="65">
        <f t="shared" si="59"/>
        <v>0</v>
      </c>
    </row>
    <row r="294" spans="1:11" s="809" customFormat="1" x14ac:dyDescent="0.25">
      <c r="A294" s="121">
        <f t="shared" si="56"/>
        <v>225</v>
      </c>
      <c r="B294" s="772" t="s">
        <v>201</v>
      </c>
      <c r="C294" s="770"/>
      <c r="D294" s="117"/>
      <c r="E294" s="65">
        <f>D294*'16-PlantAdditions'!$E$103</f>
        <v>0</v>
      </c>
      <c r="F294" s="65">
        <f t="shared" si="57"/>
        <v>0</v>
      </c>
      <c r="G294" s="117"/>
      <c r="H294" s="117"/>
      <c r="I294" s="65">
        <f>(G294-H294)*'16-PlantAdditions'!$E$103</f>
        <v>0</v>
      </c>
      <c r="J294" s="65">
        <f t="shared" si="58"/>
        <v>0</v>
      </c>
      <c r="K294" s="65">
        <f t="shared" si="59"/>
        <v>0</v>
      </c>
    </row>
    <row r="295" spans="1:11" s="809" customFormat="1" x14ac:dyDescent="0.25">
      <c r="A295" s="121">
        <f t="shared" si="56"/>
        <v>226</v>
      </c>
      <c r="B295" s="772" t="s">
        <v>214</v>
      </c>
      <c r="C295" s="770"/>
      <c r="D295" s="117"/>
      <c r="E295" s="65">
        <f>D295*'16-PlantAdditions'!$E$103</f>
        <v>0</v>
      </c>
      <c r="F295" s="65">
        <f t="shared" si="57"/>
        <v>0</v>
      </c>
      <c r="G295" s="117"/>
      <c r="H295" s="117"/>
      <c r="I295" s="65">
        <f>(G295-H295)*'16-PlantAdditions'!$E$103</f>
        <v>0</v>
      </c>
      <c r="J295" s="65">
        <f t="shared" si="58"/>
        <v>0</v>
      </c>
      <c r="K295" s="65">
        <f t="shared" si="59"/>
        <v>0</v>
      </c>
    </row>
    <row r="296" spans="1:11" s="809" customFormat="1" x14ac:dyDescent="0.25">
      <c r="A296" s="121">
        <f t="shared" si="56"/>
        <v>227</v>
      </c>
      <c r="B296" s="769" t="s">
        <v>202</v>
      </c>
      <c r="C296" s="770"/>
      <c r="D296" s="117"/>
      <c r="E296" s="65">
        <f>D296*'16-PlantAdditions'!$E$103</f>
        <v>0</v>
      </c>
      <c r="F296" s="65">
        <f t="shared" si="57"/>
        <v>0</v>
      </c>
      <c r="G296" s="117"/>
      <c r="H296" s="117"/>
      <c r="I296" s="65">
        <f>(G296-H296)*'16-PlantAdditions'!$E$103</f>
        <v>0</v>
      </c>
      <c r="J296" s="65">
        <f t="shared" si="58"/>
        <v>0</v>
      </c>
      <c r="K296" s="65">
        <f t="shared" si="59"/>
        <v>0</v>
      </c>
    </row>
    <row r="297" spans="1:11" s="809" customFormat="1" x14ac:dyDescent="0.25">
      <c r="A297" s="121">
        <f t="shared" si="56"/>
        <v>228</v>
      </c>
      <c r="B297" s="772" t="s">
        <v>203</v>
      </c>
      <c r="C297" s="770"/>
      <c r="D297" s="117"/>
      <c r="E297" s="65">
        <f>D297*'16-PlantAdditions'!$E$103</f>
        <v>0</v>
      </c>
      <c r="F297" s="65">
        <f t="shared" si="57"/>
        <v>0</v>
      </c>
      <c r="G297" s="117"/>
      <c r="H297" s="117"/>
      <c r="I297" s="65">
        <f>(G297-H297)*'16-PlantAdditions'!$E$103</f>
        <v>0</v>
      </c>
      <c r="J297" s="65">
        <f t="shared" si="58"/>
        <v>0</v>
      </c>
      <c r="K297" s="65">
        <f t="shared" si="59"/>
        <v>0</v>
      </c>
    </row>
    <row r="298" spans="1:11" s="809" customFormat="1" x14ac:dyDescent="0.25">
      <c r="A298" s="121">
        <f t="shared" si="56"/>
        <v>229</v>
      </c>
      <c r="B298" s="772" t="s">
        <v>1670</v>
      </c>
      <c r="C298" s="770"/>
      <c r="D298" s="117"/>
      <c r="E298" s="65">
        <f>D298*'16-PlantAdditions'!$E$103</f>
        <v>0</v>
      </c>
      <c r="F298" s="65">
        <f t="shared" si="57"/>
        <v>0</v>
      </c>
      <c r="G298" s="117"/>
      <c r="H298" s="117"/>
      <c r="I298" s="65">
        <f>(G298-H298)*'16-PlantAdditions'!$E$103</f>
        <v>0</v>
      </c>
      <c r="J298" s="65">
        <f t="shared" si="58"/>
        <v>0</v>
      </c>
      <c r="K298" s="65">
        <f t="shared" si="59"/>
        <v>0</v>
      </c>
    </row>
    <row r="299" spans="1:11" s="809" customFormat="1" x14ac:dyDescent="0.25">
      <c r="A299" s="121">
        <f t="shared" si="56"/>
        <v>230</v>
      </c>
      <c r="B299" s="769" t="s">
        <v>205</v>
      </c>
      <c r="C299" s="770"/>
      <c r="D299" s="117"/>
      <c r="E299" s="65">
        <f>D299*'16-PlantAdditions'!$E$103</f>
        <v>0</v>
      </c>
      <c r="F299" s="65">
        <f t="shared" si="57"/>
        <v>0</v>
      </c>
      <c r="G299" s="117"/>
      <c r="H299" s="117"/>
      <c r="I299" s="65">
        <f>(G299-H299)*'16-PlantAdditions'!$E$103</f>
        <v>0</v>
      </c>
      <c r="J299" s="65">
        <f t="shared" si="58"/>
        <v>0</v>
      </c>
      <c r="K299" s="65">
        <f t="shared" si="59"/>
        <v>0</v>
      </c>
    </row>
    <row r="300" spans="1:11" s="809" customFormat="1" x14ac:dyDescent="0.25">
      <c r="A300" s="121">
        <f t="shared" si="56"/>
        <v>231</v>
      </c>
      <c r="B300" s="772" t="s">
        <v>206</v>
      </c>
      <c r="C300" s="770"/>
      <c r="D300" s="117"/>
      <c r="E300" s="65">
        <f>D300*'16-PlantAdditions'!$E$103</f>
        <v>0</v>
      </c>
      <c r="F300" s="65">
        <f t="shared" si="57"/>
        <v>0</v>
      </c>
      <c r="G300" s="117"/>
      <c r="H300" s="117"/>
      <c r="I300" s="65">
        <f>(G300-H300)*'16-PlantAdditions'!$E$103</f>
        <v>0</v>
      </c>
      <c r="J300" s="65">
        <f t="shared" si="58"/>
        <v>0</v>
      </c>
      <c r="K300" s="65">
        <f t="shared" si="59"/>
        <v>0</v>
      </c>
    </row>
    <row r="301" spans="1:11" s="809" customFormat="1" x14ac:dyDescent="0.25">
      <c r="A301" s="121">
        <f t="shared" si="56"/>
        <v>232</v>
      </c>
      <c r="B301" s="772" t="s">
        <v>207</v>
      </c>
      <c r="C301" s="770"/>
      <c r="D301" s="117"/>
      <c r="E301" s="65">
        <f>D301*'16-PlantAdditions'!$E$103</f>
        <v>0</v>
      </c>
      <c r="F301" s="65">
        <f t="shared" si="57"/>
        <v>0</v>
      </c>
      <c r="G301" s="117"/>
      <c r="H301" s="117"/>
      <c r="I301" s="65">
        <f>(G301-H301)*'16-PlantAdditions'!$E$103</f>
        <v>0</v>
      </c>
      <c r="J301" s="65">
        <f t="shared" si="58"/>
        <v>0</v>
      </c>
      <c r="K301" s="65">
        <f t="shared" si="59"/>
        <v>0</v>
      </c>
    </row>
    <row r="302" spans="1:11" s="809" customFormat="1" x14ac:dyDescent="0.25">
      <c r="A302" s="121">
        <f t="shared" si="56"/>
        <v>233</v>
      </c>
      <c r="B302" s="772" t="s">
        <v>210</v>
      </c>
      <c r="C302" s="770"/>
      <c r="D302" s="117"/>
      <c r="E302" s="65">
        <f>D302*'16-PlantAdditions'!$E$103</f>
        <v>0</v>
      </c>
      <c r="F302" s="65">
        <f t="shared" ref="F302:F304" si="60">E302+D302</f>
        <v>0</v>
      </c>
      <c r="G302" s="117"/>
      <c r="H302" s="117"/>
      <c r="I302" s="65">
        <f>(G302-H302)*'16-PlantAdditions'!$E$103</f>
        <v>0</v>
      </c>
      <c r="J302" s="65">
        <f t="shared" ref="J302:J304" si="61">J301+F302-G302-I302</f>
        <v>0</v>
      </c>
      <c r="K302" s="65">
        <f t="shared" si="59"/>
        <v>0</v>
      </c>
    </row>
    <row r="303" spans="1:11" s="809" customFormat="1" x14ac:dyDescent="0.25">
      <c r="A303" s="121">
        <f t="shared" si="56"/>
        <v>234</v>
      </c>
      <c r="B303" s="772" t="s">
        <v>209</v>
      </c>
      <c r="C303" s="770"/>
      <c r="D303" s="117"/>
      <c r="E303" s="65">
        <f>D303*'16-PlantAdditions'!$E$103</f>
        <v>0</v>
      </c>
      <c r="F303" s="65">
        <f t="shared" si="60"/>
        <v>0</v>
      </c>
      <c r="G303" s="117"/>
      <c r="H303" s="117"/>
      <c r="I303" s="65">
        <f>(G303-H303)*'16-PlantAdditions'!$E$103</f>
        <v>0</v>
      </c>
      <c r="J303" s="65">
        <f t="shared" si="61"/>
        <v>0</v>
      </c>
      <c r="K303" s="65">
        <f t="shared" si="59"/>
        <v>0</v>
      </c>
    </row>
    <row r="304" spans="1:11" s="809" customFormat="1" x14ac:dyDescent="0.25">
      <c r="A304" s="121">
        <f t="shared" si="56"/>
        <v>235</v>
      </c>
      <c r="B304" s="772" t="s">
        <v>199</v>
      </c>
      <c r="C304" s="770"/>
      <c r="D304" s="117"/>
      <c r="E304" s="65">
        <f>D304*'16-PlantAdditions'!$E$103</f>
        <v>0</v>
      </c>
      <c r="F304" s="65">
        <f t="shared" si="60"/>
        <v>0</v>
      </c>
      <c r="G304" s="117"/>
      <c r="H304" s="117"/>
      <c r="I304" s="65">
        <f>(G304-H304)*'16-PlantAdditions'!$E$103</f>
        <v>0</v>
      </c>
      <c r="J304" s="65">
        <f t="shared" si="61"/>
        <v>0</v>
      </c>
      <c r="K304" s="122">
        <f t="shared" si="59"/>
        <v>0</v>
      </c>
    </row>
    <row r="305" spans="1:12" s="809" customFormat="1" x14ac:dyDescent="0.25">
      <c r="A305" s="121">
        <f t="shared" si="56"/>
        <v>236</v>
      </c>
      <c r="B305"/>
      <c r="C305" s="808" t="s">
        <v>1846</v>
      </c>
      <c r="D305"/>
      <c r="E305"/>
      <c r="F305"/>
      <c r="G305"/>
      <c r="H305"/>
      <c r="I305"/>
      <c r="J305"/>
      <c r="K305" s="80">
        <f>AVERAGE(K292:K304)</f>
        <v>0</v>
      </c>
    </row>
    <row r="306" spans="1:12" s="809" customFormat="1" x14ac:dyDescent="0.25">
      <c r="A306" s="121"/>
      <c r="B306"/>
      <c r="C306" s="808"/>
      <c r="D306"/>
      <c r="E306"/>
      <c r="F306"/>
      <c r="G306"/>
      <c r="H306"/>
      <c r="I306"/>
      <c r="J306"/>
      <c r="K306" s="80"/>
    </row>
    <row r="307" spans="1:12" s="809" customFormat="1" x14ac:dyDescent="0.25">
      <c r="B307" s="810" t="s">
        <v>2371</v>
      </c>
      <c r="D307" s="1297" t="s">
        <v>2372</v>
      </c>
      <c r="E307" s="1297"/>
    </row>
    <row r="308" spans="1:12" s="809" customFormat="1" x14ac:dyDescent="0.25">
      <c r="A308" s="804"/>
      <c r="B308" s="804"/>
      <c r="C308" s="804"/>
      <c r="D308" s="804" t="s">
        <v>394</v>
      </c>
      <c r="E308" s="804" t="s">
        <v>378</v>
      </c>
      <c r="F308" s="804" t="s">
        <v>379</v>
      </c>
      <c r="G308" s="804" t="s">
        <v>380</v>
      </c>
      <c r="H308" s="804" t="s">
        <v>381</v>
      </c>
      <c r="I308" s="804" t="s">
        <v>382</v>
      </c>
      <c r="J308" s="804" t="s">
        <v>383</v>
      </c>
      <c r="K308" s="804" t="s">
        <v>597</v>
      </c>
    </row>
    <row r="309" spans="1:12" s="809" customFormat="1" ht="26.4" x14ac:dyDescent="0.25">
      <c r="D309" s="811"/>
      <c r="E309" s="812" t="s">
        <v>2620</v>
      </c>
      <c r="F309" s="813" t="s">
        <v>2356</v>
      </c>
      <c r="G309" s="560"/>
      <c r="H309" s="811"/>
      <c r="I309" s="812" t="s">
        <v>2621</v>
      </c>
      <c r="J309" s="812" t="s">
        <v>2357</v>
      </c>
      <c r="K309" s="812" t="s">
        <v>2358</v>
      </c>
    </row>
    <row r="310" spans="1:12" s="809" customFormat="1" x14ac:dyDescent="0.25">
      <c r="D310" s="811"/>
      <c r="E310" s="811"/>
      <c r="F310" s="811"/>
      <c r="G310" s="689" t="str">
        <f>G51</f>
        <v>Unloaded</v>
      </c>
      <c r="H310" s="811"/>
      <c r="I310" s="811"/>
    </row>
    <row r="311" spans="1:12" s="809" customFormat="1" x14ac:dyDescent="0.25">
      <c r="A311" s="806"/>
      <c r="B311" s="806"/>
      <c r="C311" s="806"/>
      <c r="D311" s="806" t="str">
        <f>D$52</f>
        <v>Forecast</v>
      </c>
      <c r="E311" s="806" t="str">
        <f t="shared" ref="E311:J311" si="62">E$52</f>
        <v>Corporate</v>
      </c>
      <c r="F311" s="806" t="str">
        <f t="shared" si="62"/>
        <v xml:space="preserve">Total </v>
      </c>
      <c r="G311" s="689" t="str">
        <f>G52</f>
        <v>Total</v>
      </c>
      <c r="H311" s="806" t="str">
        <f t="shared" si="62"/>
        <v>Prior Period</v>
      </c>
      <c r="I311" s="806" t="str">
        <f t="shared" si="62"/>
        <v>Over Heads</v>
      </c>
      <c r="J311" s="806" t="str">
        <f t="shared" si="62"/>
        <v>Forecast</v>
      </c>
      <c r="K311" s="689" t="str">
        <f>K$52</f>
        <v>Forecast Period</v>
      </c>
    </row>
    <row r="312" spans="1:12" s="809" customFormat="1" x14ac:dyDescent="0.25">
      <c r="A312" s="1139" t="s">
        <v>360</v>
      </c>
      <c r="B312" s="768" t="s">
        <v>211</v>
      </c>
      <c r="C312" s="768" t="s">
        <v>212</v>
      </c>
      <c r="D312" s="804" t="str">
        <f>D$53</f>
        <v>Expenditures</v>
      </c>
      <c r="E312" s="804" t="str">
        <f t="shared" ref="E312:J312" si="63">E$53</f>
        <v>Overheads</v>
      </c>
      <c r="F312" s="804" t="str">
        <f t="shared" si="63"/>
        <v>CWIP Exp</v>
      </c>
      <c r="G312" s="3" t="str">
        <f>G53</f>
        <v>Plant Adds</v>
      </c>
      <c r="H312" s="804" t="str">
        <f t="shared" si="63"/>
        <v>CWIP Closed</v>
      </c>
      <c r="I312" s="804" t="str">
        <f t="shared" si="63"/>
        <v>Closed to PIS</v>
      </c>
      <c r="J312" s="804" t="str">
        <f t="shared" si="63"/>
        <v>Period CWIP</v>
      </c>
      <c r="K312" s="804" t="str">
        <f>K$53</f>
        <v>Incremental CWIP</v>
      </c>
    </row>
    <row r="313" spans="1:12" s="809" customFormat="1" x14ac:dyDescent="0.25">
      <c r="A313" s="121">
        <f>A305+1</f>
        <v>237</v>
      </c>
      <c r="B313" s="769" t="s">
        <v>199</v>
      </c>
      <c r="C313" s="770"/>
      <c r="D313" s="813" t="s">
        <v>86</v>
      </c>
      <c r="E313" s="813" t="s">
        <v>86</v>
      </c>
      <c r="F313" s="813" t="s">
        <v>86</v>
      </c>
      <c r="G313" s="813" t="s">
        <v>86</v>
      </c>
      <c r="H313" s="813" t="s">
        <v>86</v>
      </c>
      <c r="I313" s="813" t="s">
        <v>86</v>
      </c>
      <c r="J313" s="65">
        <f>F45</f>
        <v>0</v>
      </c>
      <c r="K313" s="813" t="s">
        <v>86</v>
      </c>
    </row>
    <row r="314" spans="1:12" s="809" customFormat="1" x14ac:dyDescent="0.25">
      <c r="A314" s="121">
        <f>A313+1</f>
        <v>238</v>
      </c>
      <c r="B314" s="769" t="s">
        <v>200</v>
      </c>
      <c r="C314" s="770"/>
      <c r="D314" s="117"/>
      <c r="E314" s="65">
        <f>D314*'16-PlantAdditions'!$E$103</f>
        <v>0</v>
      </c>
      <c r="F314" s="65">
        <f>E314+D314</f>
        <v>0</v>
      </c>
      <c r="G314" s="117"/>
      <c r="H314" s="117"/>
      <c r="I314" s="65">
        <f>(G314-H314)*'16-PlantAdditions'!$E$103</f>
        <v>0</v>
      </c>
      <c r="J314" s="65">
        <f>J313+F314-G314-I314</f>
        <v>0</v>
      </c>
      <c r="K314" s="65">
        <f>J314-$J$313</f>
        <v>0</v>
      </c>
      <c r="L314" s="806"/>
    </row>
    <row r="315" spans="1:12" s="809" customFormat="1" x14ac:dyDescent="0.25">
      <c r="A315" s="121">
        <f t="shared" ref="A315:A338" si="64">A314+1</f>
        <v>239</v>
      </c>
      <c r="B315" s="772" t="s">
        <v>201</v>
      </c>
      <c r="C315" s="770"/>
      <c r="D315" s="117"/>
      <c r="E315" s="65">
        <f>D315*'16-PlantAdditions'!$E$103</f>
        <v>0</v>
      </c>
      <c r="F315" s="65">
        <f t="shared" ref="F315:F334" si="65">E315+D315</f>
        <v>0</v>
      </c>
      <c r="G315" s="117"/>
      <c r="H315" s="117"/>
      <c r="I315" s="65">
        <f>(G315-H315)*'16-PlantAdditions'!$E$103</f>
        <v>0</v>
      </c>
      <c r="J315" s="65">
        <f t="shared" ref="J315:J334" si="66">J314+F315-G315-I315</f>
        <v>0</v>
      </c>
      <c r="K315" s="65">
        <f t="shared" ref="K315:K337" si="67">J315-$J$313</f>
        <v>0</v>
      </c>
      <c r="L315" s="806"/>
    </row>
    <row r="316" spans="1:12" s="809" customFormat="1" x14ac:dyDescent="0.25">
      <c r="A316" s="121">
        <f t="shared" si="64"/>
        <v>240</v>
      </c>
      <c r="B316" s="772" t="s">
        <v>214</v>
      </c>
      <c r="C316" s="770"/>
      <c r="D316" s="117"/>
      <c r="E316" s="65">
        <f>D316*'16-PlantAdditions'!$E$103</f>
        <v>0</v>
      </c>
      <c r="F316" s="65">
        <f t="shared" si="65"/>
        <v>0</v>
      </c>
      <c r="G316" s="117"/>
      <c r="H316" s="117"/>
      <c r="I316" s="65">
        <f>(G316-H316)*'16-PlantAdditions'!$E$103</f>
        <v>0</v>
      </c>
      <c r="J316" s="65">
        <f t="shared" si="66"/>
        <v>0</v>
      </c>
      <c r="K316" s="65">
        <f t="shared" si="67"/>
        <v>0</v>
      </c>
      <c r="L316" s="806"/>
    </row>
    <row r="317" spans="1:12" s="809" customFormat="1" x14ac:dyDescent="0.25">
      <c r="A317" s="121">
        <f t="shared" si="64"/>
        <v>241</v>
      </c>
      <c r="B317" s="769" t="s">
        <v>202</v>
      </c>
      <c r="C317" s="770"/>
      <c r="D317" s="117"/>
      <c r="E317" s="65">
        <f>D317*'16-PlantAdditions'!$E$103</f>
        <v>0</v>
      </c>
      <c r="F317" s="65">
        <f t="shared" si="65"/>
        <v>0</v>
      </c>
      <c r="G317" s="117"/>
      <c r="H317" s="117"/>
      <c r="I317" s="65">
        <f>(G317-H317)*'16-PlantAdditions'!$E$103</f>
        <v>0</v>
      </c>
      <c r="J317" s="65">
        <f t="shared" si="66"/>
        <v>0</v>
      </c>
      <c r="K317" s="65">
        <f t="shared" si="67"/>
        <v>0</v>
      </c>
      <c r="L317" s="804"/>
    </row>
    <row r="318" spans="1:12" s="809" customFormat="1" x14ac:dyDescent="0.25">
      <c r="A318" s="121">
        <f t="shared" si="64"/>
        <v>242</v>
      </c>
      <c r="B318" s="772" t="s">
        <v>203</v>
      </c>
      <c r="C318" s="770"/>
      <c r="D318" s="117"/>
      <c r="E318" s="65">
        <f>D318*'16-PlantAdditions'!$E$103</f>
        <v>0</v>
      </c>
      <c r="F318" s="65">
        <f t="shared" si="65"/>
        <v>0</v>
      </c>
      <c r="G318" s="117"/>
      <c r="H318" s="117"/>
      <c r="I318" s="65">
        <f>(G318-H318)*'16-PlantAdditions'!$E$103</f>
        <v>0</v>
      </c>
      <c r="J318" s="65">
        <f t="shared" si="66"/>
        <v>0</v>
      </c>
      <c r="K318" s="65">
        <f t="shared" si="67"/>
        <v>0</v>
      </c>
    </row>
    <row r="319" spans="1:12" s="809" customFormat="1" x14ac:dyDescent="0.25">
      <c r="A319" s="121">
        <f t="shared" si="64"/>
        <v>243</v>
      </c>
      <c r="B319" s="772" t="s">
        <v>1670</v>
      </c>
      <c r="C319" s="770"/>
      <c r="D319" s="117"/>
      <c r="E319" s="65">
        <f>D319*'16-PlantAdditions'!$E$103</f>
        <v>0</v>
      </c>
      <c r="F319" s="65">
        <f t="shared" si="65"/>
        <v>0</v>
      </c>
      <c r="G319" s="117"/>
      <c r="H319" s="117"/>
      <c r="I319" s="65">
        <f>(G319-H319)*'16-PlantAdditions'!$E$103</f>
        <v>0</v>
      </c>
      <c r="J319" s="65">
        <f t="shared" si="66"/>
        <v>0</v>
      </c>
      <c r="K319" s="65">
        <f t="shared" si="67"/>
        <v>0</v>
      </c>
    </row>
    <row r="320" spans="1:12" s="809" customFormat="1" x14ac:dyDescent="0.25">
      <c r="A320" s="121">
        <f t="shared" si="64"/>
        <v>244</v>
      </c>
      <c r="B320" s="769" t="s">
        <v>205</v>
      </c>
      <c r="C320" s="770"/>
      <c r="D320" s="117"/>
      <c r="E320" s="65">
        <f>D320*'16-PlantAdditions'!$E$103</f>
        <v>0</v>
      </c>
      <c r="F320" s="65">
        <f t="shared" si="65"/>
        <v>0</v>
      </c>
      <c r="G320" s="117"/>
      <c r="H320" s="117"/>
      <c r="I320" s="65">
        <f>(G320-H320)*'16-PlantAdditions'!$E$103</f>
        <v>0</v>
      </c>
      <c r="J320" s="65">
        <f t="shared" si="66"/>
        <v>0</v>
      </c>
      <c r="K320" s="65">
        <f t="shared" si="67"/>
        <v>0</v>
      </c>
    </row>
    <row r="321" spans="1:11" s="809" customFormat="1" x14ac:dyDescent="0.25">
      <c r="A321" s="121">
        <f t="shared" si="64"/>
        <v>245</v>
      </c>
      <c r="B321" s="772" t="s">
        <v>206</v>
      </c>
      <c r="C321" s="770"/>
      <c r="D321" s="117"/>
      <c r="E321" s="65">
        <f>D321*'16-PlantAdditions'!$E$103</f>
        <v>0</v>
      </c>
      <c r="F321" s="65">
        <f t="shared" si="65"/>
        <v>0</v>
      </c>
      <c r="G321" s="117"/>
      <c r="H321" s="117"/>
      <c r="I321" s="65">
        <f>(G321-H321)*'16-PlantAdditions'!$E$103</f>
        <v>0</v>
      </c>
      <c r="J321" s="65">
        <f t="shared" si="66"/>
        <v>0</v>
      </c>
      <c r="K321" s="65">
        <f t="shared" si="67"/>
        <v>0</v>
      </c>
    </row>
    <row r="322" spans="1:11" s="809" customFormat="1" x14ac:dyDescent="0.25">
      <c r="A322" s="121">
        <f t="shared" si="64"/>
        <v>246</v>
      </c>
      <c r="B322" s="772" t="s">
        <v>207</v>
      </c>
      <c r="C322" s="770"/>
      <c r="D322" s="117"/>
      <c r="E322" s="65">
        <f>D322*'16-PlantAdditions'!$E$103</f>
        <v>0</v>
      </c>
      <c r="F322" s="65">
        <f t="shared" si="65"/>
        <v>0</v>
      </c>
      <c r="G322" s="117"/>
      <c r="H322" s="117"/>
      <c r="I322" s="65">
        <f>(G322-H322)*'16-PlantAdditions'!$E$103</f>
        <v>0</v>
      </c>
      <c r="J322" s="65">
        <f t="shared" si="66"/>
        <v>0</v>
      </c>
      <c r="K322" s="65">
        <f t="shared" si="67"/>
        <v>0</v>
      </c>
    </row>
    <row r="323" spans="1:11" s="809" customFormat="1" x14ac:dyDescent="0.25">
      <c r="A323" s="121">
        <f t="shared" si="64"/>
        <v>247</v>
      </c>
      <c r="B323" s="769" t="s">
        <v>210</v>
      </c>
      <c r="C323" s="770"/>
      <c r="D323" s="117"/>
      <c r="E323" s="65">
        <f>D323*'16-PlantAdditions'!$E$103</f>
        <v>0</v>
      </c>
      <c r="F323" s="65">
        <f t="shared" si="65"/>
        <v>0</v>
      </c>
      <c r="G323" s="117"/>
      <c r="H323" s="117"/>
      <c r="I323" s="65">
        <f>(G323-H323)*'16-PlantAdditions'!$E$103</f>
        <v>0</v>
      </c>
      <c r="J323" s="65">
        <f t="shared" si="66"/>
        <v>0</v>
      </c>
      <c r="K323" s="65">
        <f t="shared" si="67"/>
        <v>0</v>
      </c>
    </row>
    <row r="324" spans="1:11" s="809" customFormat="1" x14ac:dyDescent="0.25">
      <c r="A324" s="121">
        <f t="shared" si="64"/>
        <v>248</v>
      </c>
      <c r="B324" s="769" t="s">
        <v>209</v>
      </c>
      <c r="C324" s="770"/>
      <c r="D324" s="117"/>
      <c r="E324" s="65">
        <f>D324*'16-PlantAdditions'!$E$103</f>
        <v>0</v>
      </c>
      <c r="F324" s="65">
        <f t="shared" si="65"/>
        <v>0</v>
      </c>
      <c r="G324" s="117"/>
      <c r="H324" s="117"/>
      <c r="I324" s="65">
        <f>(G324-H324)*'16-PlantAdditions'!$E$103</f>
        <v>0</v>
      </c>
      <c r="J324" s="65">
        <f t="shared" si="66"/>
        <v>0</v>
      </c>
      <c r="K324" s="65">
        <f t="shared" si="67"/>
        <v>0</v>
      </c>
    </row>
    <row r="325" spans="1:11" s="809" customFormat="1" x14ac:dyDescent="0.25">
      <c r="A325" s="121">
        <f t="shared" si="64"/>
        <v>249</v>
      </c>
      <c r="B325" s="769" t="s">
        <v>199</v>
      </c>
      <c r="C325" s="770"/>
      <c r="D325" s="117"/>
      <c r="E325" s="65">
        <f>D325*'16-PlantAdditions'!$E$103</f>
        <v>0</v>
      </c>
      <c r="F325" s="65">
        <f t="shared" si="65"/>
        <v>0</v>
      </c>
      <c r="G325" s="117"/>
      <c r="H325" s="117"/>
      <c r="I325" s="65">
        <f>(G325-H325)*'16-PlantAdditions'!$E$103</f>
        <v>0</v>
      </c>
      <c r="J325" s="65">
        <f t="shared" si="66"/>
        <v>0</v>
      </c>
      <c r="K325" s="65">
        <f t="shared" si="67"/>
        <v>0</v>
      </c>
    </row>
    <row r="326" spans="1:11" s="809" customFormat="1" x14ac:dyDescent="0.25">
      <c r="A326" s="121">
        <f t="shared" si="64"/>
        <v>250</v>
      </c>
      <c r="B326" s="769" t="s">
        <v>200</v>
      </c>
      <c r="C326" s="770"/>
      <c r="D326" s="117"/>
      <c r="E326" s="65">
        <f>D326*'16-PlantAdditions'!$E$103</f>
        <v>0</v>
      </c>
      <c r="F326" s="65">
        <f t="shared" si="65"/>
        <v>0</v>
      </c>
      <c r="G326" s="117"/>
      <c r="H326" s="117"/>
      <c r="I326" s="65">
        <f>(G326-H326)*'16-PlantAdditions'!$E$103</f>
        <v>0</v>
      </c>
      <c r="J326" s="65">
        <f t="shared" si="66"/>
        <v>0</v>
      </c>
      <c r="K326" s="65">
        <f t="shared" si="67"/>
        <v>0</v>
      </c>
    </row>
    <row r="327" spans="1:11" s="809" customFormat="1" x14ac:dyDescent="0.25">
      <c r="A327" s="121">
        <f t="shared" si="64"/>
        <v>251</v>
      </c>
      <c r="B327" s="772" t="s">
        <v>201</v>
      </c>
      <c r="C327" s="770"/>
      <c r="D327" s="117"/>
      <c r="E327" s="65">
        <f>D327*'16-PlantAdditions'!$E$103</f>
        <v>0</v>
      </c>
      <c r="F327" s="65">
        <f t="shared" si="65"/>
        <v>0</v>
      </c>
      <c r="G327" s="117"/>
      <c r="H327" s="117"/>
      <c r="I327" s="65">
        <f>(G327-H327)*'16-PlantAdditions'!$E$103</f>
        <v>0</v>
      </c>
      <c r="J327" s="65">
        <f t="shared" si="66"/>
        <v>0</v>
      </c>
      <c r="K327" s="65">
        <f t="shared" si="67"/>
        <v>0</v>
      </c>
    </row>
    <row r="328" spans="1:11" s="809" customFormat="1" x14ac:dyDescent="0.25">
      <c r="A328" s="121">
        <f t="shared" si="64"/>
        <v>252</v>
      </c>
      <c r="B328" s="772" t="s">
        <v>214</v>
      </c>
      <c r="C328" s="770"/>
      <c r="D328" s="117"/>
      <c r="E328" s="65">
        <f>D328*'16-PlantAdditions'!$E$103</f>
        <v>0</v>
      </c>
      <c r="F328" s="65">
        <f t="shared" si="65"/>
        <v>0</v>
      </c>
      <c r="G328" s="117"/>
      <c r="H328" s="117"/>
      <c r="I328" s="65">
        <f>(G328-H328)*'16-PlantAdditions'!$E$103</f>
        <v>0</v>
      </c>
      <c r="J328" s="65">
        <f t="shared" si="66"/>
        <v>0</v>
      </c>
      <c r="K328" s="65">
        <f t="shared" si="67"/>
        <v>0</v>
      </c>
    </row>
    <row r="329" spans="1:11" s="809" customFormat="1" x14ac:dyDescent="0.25">
      <c r="A329" s="121">
        <f t="shared" si="64"/>
        <v>253</v>
      </c>
      <c r="B329" s="769" t="s">
        <v>202</v>
      </c>
      <c r="C329" s="770"/>
      <c r="D329" s="117"/>
      <c r="E329" s="65">
        <f>D329*'16-PlantAdditions'!$E$103</f>
        <v>0</v>
      </c>
      <c r="F329" s="65">
        <f t="shared" si="65"/>
        <v>0</v>
      </c>
      <c r="G329" s="117"/>
      <c r="H329" s="117"/>
      <c r="I329" s="65">
        <f>(G329-H329)*'16-PlantAdditions'!$E$103</f>
        <v>0</v>
      </c>
      <c r="J329" s="65">
        <f t="shared" si="66"/>
        <v>0</v>
      </c>
      <c r="K329" s="65">
        <f t="shared" si="67"/>
        <v>0</v>
      </c>
    </row>
    <row r="330" spans="1:11" s="809" customFormat="1" x14ac:dyDescent="0.25">
      <c r="A330" s="121">
        <f t="shared" si="64"/>
        <v>254</v>
      </c>
      <c r="B330" s="772" t="s">
        <v>203</v>
      </c>
      <c r="C330" s="770"/>
      <c r="D330" s="117"/>
      <c r="E330" s="65">
        <f>D330*'16-PlantAdditions'!$E$103</f>
        <v>0</v>
      </c>
      <c r="F330" s="65">
        <f t="shared" si="65"/>
        <v>0</v>
      </c>
      <c r="G330" s="117"/>
      <c r="H330" s="117"/>
      <c r="I330" s="65">
        <f>(G330-H330)*'16-PlantAdditions'!$E$103</f>
        <v>0</v>
      </c>
      <c r="J330" s="65">
        <f t="shared" si="66"/>
        <v>0</v>
      </c>
      <c r="K330" s="65">
        <f t="shared" si="67"/>
        <v>0</v>
      </c>
    </row>
    <row r="331" spans="1:11" s="809" customFormat="1" x14ac:dyDescent="0.25">
      <c r="A331" s="121">
        <f t="shared" si="64"/>
        <v>255</v>
      </c>
      <c r="B331" s="772" t="s">
        <v>1670</v>
      </c>
      <c r="C331" s="770"/>
      <c r="D331" s="117"/>
      <c r="E331" s="65">
        <f>D331*'16-PlantAdditions'!$E$103</f>
        <v>0</v>
      </c>
      <c r="F331" s="65">
        <f t="shared" si="65"/>
        <v>0</v>
      </c>
      <c r="G331" s="117"/>
      <c r="H331" s="117"/>
      <c r="I331" s="65">
        <f>(G331-H331)*'16-PlantAdditions'!$E$103</f>
        <v>0</v>
      </c>
      <c r="J331" s="65">
        <f t="shared" si="66"/>
        <v>0</v>
      </c>
      <c r="K331" s="65">
        <f t="shared" si="67"/>
        <v>0</v>
      </c>
    </row>
    <row r="332" spans="1:11" s="809" customFormat="1" x14ac:dyDescent="0.25">
      <c r="A332" s="121">
        <f t="shared" si="64"/>
        <v>256</v>
      </c>
      <c r="B332" s="769" t="s">
        <v>205</v>
      </c>
      <c r="C332" s="770"/>
      <c r="D332" s="117"/>
      <c r="E332" s="65">
        <f>D332*'16-PlantAdditions'!$E$103</f>
        <v>0</v>
      </c>
      <c r="F332" s="65">
        <f t="shared" si="65"/>
        <v>0</v>
      </c>
      <c r="G332" s="117"/>
      <c r="H332" s="117"/>
      <c r="I332" s="65">
        <f>(G332-H332)*'16-PlantAdditions'!$E$103</f>
        <v>0</v>
      </c>
      <c r="J332" s="65">
        <f t="shared" si="66"/>
        <v>0</v>
      </c>
      <c r="K332" s="65">
        <f t="shared" si="67"/>
        <v>0</v>
      </c>
    </row>
    <row r="333" spans="1:11" s="809" customFormat="1" x14ac:dyDescent="0.25">
      <c r="A333" s="121">
        <f t="shared" si="64"/>
        <v>257</v>
      </c>
      <c r="B333" s="772" t="s">
        <v>206</v>
      </c>
      <c r="C333" s="770"/>
      <c r="D333" s="117"/>
      <c r="E333" s="65">
        <f>D333*'16-PlantAdditions'!$E$103</f>
        <v>0</v>
      </c>
      <c r="F333" s="65">
        <f t="shared" si="65"/>
        <v>0</v>
      </c>
      <c r="G333" s="117"/>
      <c r="H333" s="117"/>
      <c r="I333" s="65">
        <f>(G333-H333)*'16-PlantAdditions'!$E$103</f>
        <v>0</v>
      </c>
      <c r="J333" s="65">
        <f t="shared" si="66"/>
        <v>0</v>
      </c>
      <c r="K333" s="65">
        <f t="shared" si="67"/>
        <v>0</v>
      </c>
    </row>
    <row r="334" spans="1:11" s="809" customFormat="1" x14ac:dyDescent="0.25">
      <c r="A334" s="121">
        <f t="shared" si="64"/>
        <v>258</v>
      </c>
      <c r="B334" s="772" t="s">
        <v>207</v>
      </c>
      <c r="C334" s="770"/>
      <c r="D334" s="117"/>
      <c r="E334" s="65">
        <f>D334*'16-PlantAdditions'!$E$103</f>
        <v>0</v>
      </c>
      <c r="F334" s="65">
        <f t="shared" si="65"/>
        <v>0</v>
      </c>
      <c r="G334" s="117"/>
      <c r="H334" s="117"/>
      <c r="I334" s="65">
        <f>(G334-H334)*'16-PlantAdditions'!$E$103</f>
        <v>0</v>
      </c>
      <c r="J334" s="65">
        <f t="shared" si="66"/>
        <v>0</v>
      </c>
      <c r="K334" s="65">
        <f t="shared" si="67"/>
        <v>0</v>
      </c>
    </row>
    <row r="335" spans="1:11" s="809" customFormat="1" x14ac:dyDescent="0.25">
      <c r="A335" s="121">
        <f t="shared" si="64"/>
        <v>259</v>
      </c>
      <c r="B335" s="772" t="s">
        <v>210</v>
      </c>
      <c r="C335" s="770"/>
      <c r="D335" s="117"/>
      <c r="E335" s="65">
        <f>D335*'16-PlantAdditions'!$E$103</f>
        <v>0</v>
      </c>
      <c r="F335" s="65">
        <f t="shared" ref="F335:F337" si="68">E335+D335</f>
        <v>0</v>
      </c>
      <c r="G335" s="117"/>
      <c r="H335" s="117"/>
      <c r="I335" s="65">
        <f>(G335-H335)*'16-PlantAdditions'!$E$103</f>
        <v>0</v>
      </c>
      <c r="J335" s="65">
        <f t="shared" ref="J335:J337" si="69">J334+F335-G335-I335</f>
        <v>0</v>
      </c>
      <c r="K335" s="65">
        <f t="shared" si="67"/>
        <v>0</v>
      </c>
    </row>
    <row r="336" spans="1:11" s="809" customFormat="1" x14ac:dyDescent="0.25">
      <c r="A336" s="121">
        <f t="shared" si="64"/>
        <v>260</v>
      </c>
      <c r="B336" s="772" t="s">
        <v>209</v>
      </c>
      <c r="C336" s="770"/>
      <c r="D336" s="117"/>
      <c r="E336" s="65">
        <f>D336*'16-PlantAdditions'!$E$103</f>
        <v>0</v>
      </c>
      <c r="F336" s="65">
        <f t="shared" si="68"/>
        <v>0</v>
      </c>
      <c r="G336" s="117"/>
      <c r="H336" s="117"/>
      <c r="I336" s="65">
        <f>(G336-H336)*'16-PlantAdditions'!$E$103</f>
        <v>0</v>
      </c>
      <c r="J336" s="65">
        <f t="shared" si="69"/>
        <v>0</v>
      </c>
      <c r="K336" s="65">
        <f t="shared" si="67"/>
        <v>0</v>
      </c>
    </row>
    <row r="337" spans="1:11" s="809" customFormat="1" x14ac:dyDescent="0.25">
      <c r="A337" s="121">
        <f t="shared" si="64"/>
        <v>261</v>
      </c>
      <c r="B337" s="772" t="s">
        <v>199</v>
      </c>
      <c r="C337" s="770"/>
      <c r="D337" s="117"/>
      <c r="E337" s="65">
        <f>D337*'16-PlantAdditions'!$E$103</f>
        <v>0</v>
      </c>
      <c r="F337" s="65">
        <f t="shared" si="68"/>
        <v>0</v>
      </c>
      <c r="G337" s="117"/>
      <c r="H337" s="117"/>
      <c r="I337" s="65">
        <f>(G337-H337)*'16-PlantAdditions'!$E$103</f>
        <v>0</v>
      </c>
      <c r="J337" s="65">
        <f t="shared" si="69"/>
        <v>0</v>
      </c>
      <c r="K337" s="122">
        <f t="shared" si="67"/>
        <v>0</v>
      </c>
    </row>
    <row r="338" spans="1:11" s="809" customFormat="1" x14ac:dyDescent="0.25">
      <c r="A338" s="121">
        <f t="shared" si="64"/>
        <v>262</v>
      </c>
      <c r="B338"/>
      <c r="C338" s="808" t="s">
        <v>1846</v>
      </c>
      <c r="D338"/>
      <c r="E338"/>
      <c r="F338"/>
      <c r="G338"/>
      <c r="H338"/>
      <c r="I338"/>
      <c r="J338"/>
      <c r="K338" s="80">
        <f>AVERAGE(K325:K337)</f>
        <v>0</v>
      </c>
    </row>
    <row r="339" spans="1:11" s="809" customFormat="1" x14ac:dyDescent="0.25">
      <c r="A339" s="121"/>
      <c r="B339"/>
      <c r="C339" s="808"/>
      <c r="D339"/>
      <c r="E339"/>
      <c r="F339"/>
      <c r="G339"/>
      <c r="H339"/>
      <c r="I339"/>
      <c r="J339"/>
      <c r="K339" s="80"/>
    </row>
    <row r="340" spans="1:11" s="809" customFormat="1" x14ac:dyDescent="0.25">
      <c r="B340" s="810" t="s">
        <v>2373</v>
      </c>
      <c r="D340" s="1297" t="s">
        <v>2374</v>
      </c>
      <c r="E340" s="1297"/>
    </row>
    <row r="341" spans="1:11" s="809" customFormat="1" x14ac:dyDescent="0.25">
      <c r="D341" s="811"/>
      <c r="E341" s="811"/>
      <c r="F341" s="811"/>
      <c r="G341" s="689" t="str">
        <f>G51</f>
        <v>Unloaded</v>
      </c>
      <c r="H341" s="811"/>
      <c r="I341" s="811"/>
    </row>
    <row r="342" spans="1:11" s="809" customFormat="1" x14ac:dyDescent="0.25">
      <c r="A342" s="806"/>
      <c r="B342" s="806"/>
      <c r="C342" s="806"/>
      <c r="D342" s="806" t="str">
        <f>D$52</f>
        <v>Forecast</v>
      </c>
      <c r="E342" s="806" t="str">
        <f t="shared" ref="E342:J342" si="70">E$52</f>
        <v>Corporate</v>
      </c>
      <c r="F342" s="806" t="str">
        <f t="shared" si="70"/>
        <v xml:space="preserve">Total </v>
      </c>
      <c r="G342" s="689" t="str">
        <f>G52</f>
        <v>Total</v>
      </c>
      <c r="H342" s="806" t="str">
        <f t="shared" si="70"/>
        <v>Prior Period</v>
      </c>
      <c r="I342" s="806" t="str">
        <f t="shared" si="70"/>
        <v>Over Heads</v>
      </c>
      <c r="J342" s="806" t="str">
        <f t="shared" si="70"/>
        <v>Forecast</v>
      </c>
      <c r="K342" s="689" t="str">
        <f>K$52</f>
        <v>Forecast Period</v>
      </c>
    </row>
    <row r="343" spans="1:11" s="809" customFormat="1" x14ac:dyDescent="0.25">
      <c r="A343" s="1139" t="s">
        <v>360</v>
      </c>
      <c r="B343" s="768" t="s">
        <v>211</v>
      </c>
      <c r="C343" s="768" t="s">
        <v>212</v>
      </c>
      <c r="D343" s="804" t="str">
        <f>D$53</f>
        <v>Expenditures</v>
      </c>
      <c r="E343" s="804" t="str">
        <f t="shared" ref="E343:J343" si="71">E$53</f>
        <v>Overheads</v>
      </c>
      <c r="F343" s="804" t="str">
        <f t="shared" si="71"/>
        <v>CWIP Exp</v>
      </c>
      <c r="G343" s="3" t="str">
        <f>G53</f>
        <v>Plant Adds</v>
      </c>
      <c r="H343" s="804" t="str">
        <f t="shared" si="71"/>
        <v>CWIP Closed</v>
      </c>
      <c r="I343" s="804" t="str">
        <f t="shared" si="71"/>
        <v>Closed to PIS</v>
      </c>
      <c r="J343" s="804" t="str">
        <f t="shared" si="71"/>
        <v>Period CWIP</v>
      </c>
      <c r="K343" s="804" t="str">
        <f>K$53</f>
        <v>Incremental CWIP</v>
      </c>
    </row>
    <row r="344" spans="1:11" s="809" customFormat="1" x14ac:dyDescent="0.25">
      <c r="A344" s="121">
        <f>A338+1</f>
        <v>263</v>
      </c>
      <c r="B344" s="769" t="s">
        <v>199</v>
      </c>
      <c r="C344" s="770"/>
      <c r="D344" s="813" t="s">
        <v>86</v>
      </c>
      <c r="E344" s="813" t="s">
        <v>86</v>
      </c>
      <c r="F344" s="813" t="s">
        <v>86</v>
      </c>
      <c r="G344" s="813" t="s">
        <v>86</v>
      </c>
      <c r="H344" s="813" t="s">
        <v>86</v>
      </c>
      <c r="I344" s="813" t="s">
        <v>86</v>
      </c>
      <c r="J344" s="65">
        <f>G45</f>
        <v>0</v>
      </c>
      <c r="K344" s="813" t="s">
        <v>86</v>
      </c>
    </row>
    <row r="345" spans="1:11" s="809" customFormat="1" x14ac:dyDescent="0.25">
      <c r="A345" s="121">
        <f>A344+1</f>
        <v>264</v>
      </c>
      <c r="B345" s="769" t="s">
        <v>200</v>
      </c>
      <c r="C345" s="770"/>
      <c r="D345" s="117"/>
      <c r="E345" s="65">
        <f>D345*'16-PlantAdditions'!$E$103</f>
        <v>0</v>
      </c>
      <c r="F345" s="65">
        <f>E345+D345</f>
        <v>0</v>
      </c>
      <c r="G345" s="117"/>
      <c r="H345" s="117"/>
      <c r="I345" s="65">
        <f>(G345-H345)*'16-PlantAdditions'!$E$103</f>
        <v>0</v>
      </c>
      <c r="J345" s="65">
        <f>J344+F345-G345-I345</f>
        <v>0</v>
      </c>
      <c r="K345" s="65">
        <f>J345-$J$344</f>
        <v>0</v>
      </c>
    </row>
    <row r="346" spans="1:11" s="809" customFormat="1" x14ac:dyDescent="0.25">
      <c r="A346" s="121">
        <f t="shared" ref="A346:A369" si="72">A345+1</f>
        <v>265</v>
      </c>
      <c r="B346" s="772" t="s">
        <v>201</v>
      </c>
      <c r="C346" s="770"/>
      <c r="D346" s="117"/>
      <c r="E346" s="65">
        <f>D346*'16-PlantAdditions'!$E$103</f>
        <v>0</v>
      </c>
      <c r="F346" s="65">
        <f t="shared" ref="F346:F365" si="73">E346+D346</f>
        <v>0</v>
      </c>
      <c r="G346" s="117"/>
      <c r="H346" s="117"/>
      <c r="I346" s="65">
        <f>(G346-H346)*'16-PlantAdditions'!$E$103</f>
        <v>0</v>
      </c>
      <c r="J346" s="65">
        <f t="shared" ref="J346:J365" si="74">J345+F346-G346-I346</f>
        <v>0</v>
      </c>
      <c r="K346" s="65">
        <f t="shared" ref="K346:K368" si="75">J346-$J$344</f>
        <v>0</v>
      </c>
    </row>
    <row r="347" spans="1:11" s="809" customFormat="1" x14ac:dyDescent="0.25">
      <c r="A347" s="121">
        <f t="shared" si="72"/>
        <v>266</v>
      </c>
      <c r="B347" s="772" t="s">
        <v>214</v>
      </c>
      <c r="C347" s="770"/>
      <c r="D347" s="117"/>
      <c r="E347" s="65">
        <f>D347*'16-PlantAdditions'!$E$103</f>
        <v>0</v>
      </c>
      <c r="F347" s="65">
        <f t="shared" si="73"/>
        <v>0</v>
      </c>
      <c r="G347" s="117"/>
      <c r="H347" s="117"/>
      <c r="I347" s="65">
        <f>(G347-H347)*'16-PlantAdditions'!$E$103</f>
        <v>0</v>
      </c>
      <c r="J347" s="65">
        <f t="shared" si="74"/>
        <v>0</v>
      </c>
      <c r="K347" s="65">
        <f t="shared" si="75"/>
        <v>0</v>
      </c>
    </row>
    <row r="348" spans="1:11" s="809" customFormat="1" x14ac:dyDescent="0.25">
      <c r="A348" s="121">
        <f t="shared" si="72"/>
        <v>267</v>
      </c>
      <c r="B348" s="769" t="s">
        <v>202</v>
      </c>
      <c r="C348" s="770"/>
      <c r="D348" s="117"/>
      <c r="E348" s="65">
        <f>D348*'16-PlantAdditions'!$E$103</f>
        <v>0</v>
      </c>
      <c r="F348" s="65">
        <f t="shared" si="73"/>
        <v>0</v>
      </c>
      <c r="G348" s="117"/>
      <c r="H348" s="117"/>
      <c r="I348" s="65">
        <f>(G348-H348)*'16-PlantAdditions'!$E$103</f>
        <v>0</v>
      </c>
      <c r="J348" s="65">
        <f t="shared" si="74"/>
        <v>0</v>
      </c>
      <c r="K348" s="65">
        <f t="shared" si="75"/>
        <v>0</v>
      </c>
    </row>
    <row r="349" spans="1:11" s="809" customFormat="1" x14ac:dyDescent="0.25">
      <c r="A349" s="121">
        <f t="shared" si="72"/>
        <v>268</v>
      </c>
      <c r="B349" s="772" t="s">
        <v>203</v>
      </c>
      <c r="C349" s="770"/>
      <c r="D349" s="117"/>
      <c r="E349" s="65">
        <f>D349*'16-PlantAdditions'!$E$103</f>
        <v>0</v>
      </c>
      <c r="F349" s="65">
        <f t="shared" si="73"/>
        <v>0</v>
      </c>
      <c r="G349" s="117"/>
      <c r="H349" s="117"/>
      <c r="I349" s="65">
        <f>(G349-H349)*'16-PlantAdditions'!$E$103</f>
        <v>0</v>
      </c>
      <c r="J349" s="65">
        <f t="shared" si="74"/>
        <v>0</v>
      </c>
      <c r="K349" s="65">
        <f t="shared" si="75"/>
        <v>0</v>
      </c>
    </row>
    <row r="350" spans="1:11" s="809" customFormat="1" x14ac:dyDescent="0.25">
      <c r="A350" s="121">
        <f t="shared" si="72"/>
        <v>269</v>
      </c>
      <c r="B350" s="772" t="s">
        <v>1670</v>
      </c>
      <c r="C350" s="770"/>
      <c r="D350" s="117"/>
      <c r="E350" s="65">
        <f>D350*'16-PlantAdditions'!$E$103</f>
        <v>0</v>
      </c>
      <c r="F350" s="65">
        <f t="shared" si="73"/>
        <v>0</v>
      </c>
      <c r="G350" s="117"/>
      <c r="H350" s="117"/>
      <c r="I350" s="65">
        <f>(G350-H350)*'16-PlantAdditions'!$E$103</f>
        <v>0</v>
      </c>
      <c r="J350" s="65">
        <f t="shared" si="74"/>
        <v>0</v>
      </c>
      <c r="K350" s="65">
        <f t="shared" si="75"/>
        <v>0</v>
      </c>
    </row>
    <row r="351" spans="1:11" s="809" customFormat="1" x14ac:dyDescent="0.25">
      <c r="A351" s="121">
        <f t="shared" si="72"/>
        <v>270</v>
      </c>
      <c r="B351" s="769" t="s">
        <v>205</v>
      </c>
      <c r="C351" s="770"/>
      <c r="D351" s="117"/>
      <c r="E351" s="65">
        <f>D351*'16-PlantAdditions'!$E$103</f>
        <v>0</v>
      </c>
      <c r="F351" s="65">
        <f t="shared" si="73"/>
        <v>0</v>
      </c>
      <c r="G351" s="117"/>
      <c r="H351" s="117"/>
      <c r="I351" s="65">
        <f>(G351-H351)*'16-PlantAdditions'!$E$103</f>
        <v>0</v>
      </c>
      <c r="J351" s="65">
        <f t="shared" si="74"/>
        <v>0</v>
      </c>
      <c r="K351" s="65">
        <f t="shared" si="75"/>
        <v>0</v>
      </c>
    </row>
    <row r="352" spans="1:11" s="809" customFormat="1" x14ac:dyDescent="0.25">
      <c r="A352" s="121">
        <f t="shared" si="72"/>
        <v>271</v>
      </c>
      <c r="B352" s="772" t="s">
        <v>206</v>
      </c>
      <c r="C352" s="770"/>
      <c r="D352" s="117"/>
      <c r="E352" s="65">
        <f>D352*'16-PlantAdditions'!$E$103</f>
        <v>0</v>
      </c>
      <c r="F352" s="65">
        <f t="shared" si="73"/>
        <v>0</v>
      </c>
      <c r="G352" s="117"/>
      <c r="H352" s="117"/>
      <c r="I352" s="65">
        <f>(G352-H352)*'16-PlantAdditions'!$E$103</f>
        <v>0</v>
      </c>
      <c r="J352" s="65">
        <f t="shared" si="74"/>
        <v>0</v>
      </c>
      <c r="K352" s="65">
        <f t="shared" si="75"/>
        <v>0</v>
      </c>
    </row>
    <row r="353" spans="1:11" s="809" customFormat="1" x14ac:dyDescent="0.25">
      <c r="A353" s="121">
        <f t="shared" si="72"/>
        <v>272</v>
      </c>
      <c r="B353" s="772" t="s">
        <v>207</v>
      </c>
      <c r="C353" s="770"/>
      <c r="D353" s="117"/>
      <c r="E353" s="65">
        <f>D353*'16-PlantAdditions'!$E$103</f>
        <v>0</v>
      </c>
      <c r="F353" s="65">
        <f t="shared" si="73"/>
        <v>0</v>
      </c>
      <c r="G353" s="117"/>
      <c r="H353" s="117"/>
      <c r="I353" s="65">
        <f>(G353-H353)*'16-PlantAdditions'!$E$103</f>
        <v>0</v>
      </c>
      <c r="J353" s="65">
        <f t="shared" si="74"/>
        <v>0</v>
      </c>
      <c r="K353" s="65">
        <f t="shared" si="75"/>
        <v>0</v>
      </c>
    </row>
    <row r="354" spans="1:11" s="809" customFormat="1" x14ac:dyDescent="0.25">
      <c r="A354" s="121">
        <f t="shared" si="72"/>
        <v>273</v>
      </c>
      <c r="B354" s="769" t="s">
        <v>210</v>
      </c>
      <c r="C354" s="770"/>
      <c r="D354" s="117"/>
      <c r="E354" s="65">
        <f>D354*'16-PlantAdditions'!$E$103</f>
        <v>0</v>
      </c>
      <c r="F354" s="65">
        <f t="shared" si="73"/>
        <v>0</v>
      </c>
      <c r="G354" s="117"/>
      <c r="H354" s="117"/>
      <c r="I354" s="65">
        <f>(G354-H354)*'16-PlantAdditions'!$E$103</f>
        <v>0</v>
      </c>
      <c r="J354" s="65">
        <f t="shared" si="74"/>
        <v>0</v>
      </c>
      <c r="K354" s="65">
        <f t="shared" si="75"/>
        <v>0</v>
      </c>
    </row>
    <row r="355" spans="1:11" s="809" customFormat="1" x14ac:dyDescent="0.25">
      <c r="A355" s="121">
        <f t="shared" si="72"/>
        <v>274</v>
      </c>
      <c r="B355" s="769" t="s">
        <v>209</v>
      </c>
      <c r="C355" s="770"/>
      <c r="D355" s="117"/>
      <c r="E355" s="65">
        <f>D355*'16-PlantAdditions'!$E$103</f>
        <v>0</v>
      </c>
      <c r="F355" s="65">
        <f t="shared" si="73"/>
        <v>0</v>
      </c>
      <c r="G355" s="117"/>
      <c r="H355" s="117"/>
      <c r="I355" s="65">
        <f>(G355-H355)*'16-PlantAdditions'!$E$103</f>
        <v>0</v>
      </c>
      <c r="J355" s="65">
        <f t="shared" si="74"/>
        <v>0</v>
      </c>
      <c r="K355" s="65">
        <f t="shared" si="75"/>
        <v>0</v>
      </c>
    </row>
    <row r="356" spans="1:11" s="809" customFormat="1" x14ac:dyDescent="0.25">
      <c r="A356" s="121">
        <f t="shared" si="72"/>
        <v>275</v>
      </c>
      <c r="B356" s="769" t="s">
        <v>199</v>
      </c>
      <c r="C356" s="770"/>
      <c r="D356" s="117"/>
      <c r="E356" s="65">
        <f>D356*'16-PlantAdditions'!$E$103</f>
        <v>0</v>
      </c>
      <c r="F356" s="65">
        <f t="shared" si="73"/>
        <v>0</v>
      </c>
      <c r="G356" s="117"/>
      <c r="H356" s="117"/>
      <c r="I356" s="65">
        <f>(G356-H356)*'16-PlantAdditions'!$E$103</f>
        <v>0</v>
      </c>
      <c r="J356" s="65">
        <f t="shared" si="74"/>
        <v>0</v>
      </c>
      <c r="K356" s="65">
        <f t="shared" si="75"/>
        <v>0</v>
      </c>
    </row>
    <row r="357" spans="1:11" s="809" customFormat="1" x14ac:dyDescent="0.25">
      <c r="A357" s="121">
        <f t="shared" si="72"/>
        <v>276</v>
      </c>
      <c r="B357" s="769" t="s">
        <v>200</v>
      </c>
      <c r="C357" s="770"/>
      <c r="D357" s="117"/>
      <c r="E357" s="65">
        <f>D357*'16-PlantAdditions'!$E$103</f>
        <v>0</v>
      </c>
      <c r="F357" s="65">
        <f t="shared" si="73"/>
        <v>0</v>
      </c>
      <c r="G357" s="117"/>
      <c r="H357" s="117"/>
      <c r="I357" s="65">
        <f>(G357-H357)*'16-PlantAdditions'!$E$103</f>
        <v>0</v>
      </c>
      <c r="J357" s="65">
        <f t="shared" si="74"/>
        <v>0</v>
      </c>
      <c r="K357" s="65">
        <f t="shared" si="75"/>
        <v>0</v>
      </c>
    </row>
    <row r="358" spans="1:11" s="809" customFormat="1" x14ac:dyDescent="0.25">
      <c r="A358" s="121">
        <f t="shared" si="72"/>
        <v>277</v>
      </c>
      <c r="B358" s="772" t="s">
        <v>201</v>
      </c>
      <c r="C358" s="770"/>
      <c r="D358" s="117"/>
      <c r="E358" s="65">
        <f>D358*'16-PlantAdditions'!$E$103</f>
        <v>0</v>
      </c>
      <c r="F358" s="65">
        <f t="shared" si="73"/>
        <v>0</v>
      </c>
      <c r="G358" s="117"/>
      <c r="H358" s="117"/>
      <c r="I358" s="65">
        <f>(G358-H358)*'16-PlantAdditions'!$E$103</f>
        <v>0</v>
      </c>
      <c r="J358" s="65">
        <f t="shared" si="74"/>
        <v>0</v>
      </c>
      <c r="K358" s="65">
        <f t="shared" si="75"/>
        <v>0</v>
      </c>
    </row>
    <row r="359" spans="1:11" s="809" customFormat="1" x14ac:dyDescent="0.25">
      <c r="A359" s="121">
        <f t="shared" si="72"/>
        <v>278</v>
      </c>
      <c r="B359" s="772" t="s">
        <v>214</v>
      </c>
      <c r="C359" s="770"/>
      <c r="D359" s="117"/>
      <c r="E359" s="65">
        <f>D359*'16-PlantAdditions'!$E$103</f>
        <v>0</v>
      </c>
      <c r="F359" s="65">
        <f t="shared" si="73"/>
        <v>0</v>
      </c>
      <c r="G359" s="117"/>
      <c r="H359" s="117"/>
      <c r="I359" s="65">
        <f>(G359-H359)*'16-PlantAdditions'!$E$103</f>
        <v>0</v>
      </c>
      <c r="J359" s="65">
        <f t="shared" si="74"/>
        <v>0</v>
      </c>
      <c r="K359" s="65">
        <f t="shared" si="75"/>
        <v>0</v>
      </c>
    </row>
    <row r="360" spans="1:11" s="809" customFormat="1" x14ac:dyDescent="0.25">
      <c r="A360" s="121">
        <f t="shared" si="72"/>
        <v>279</v>
      </c>
      <c r="B360" s="769" t="s">
        <v>202</v>
      </c>
      <c r="C360" s="770"/>
      <c r="D360" s="117"/>
      <c r="E360" s="65">
        <f>D360*'16-PlantAdditions'!$E$103</f>
        <v>0</v>
      </c>
      <c r="F360" s="65">
        <f t="shared" si="73"/>
        <v>0</v>
      </c>
      <c r="G360" s="117"/>
      <c r="H360" s="117"/>
      <c r="I360" s="65">
        <f>(G360-H360)*'16-PlantAdditions'!$E$103</f>
        <v>0</v>
      </c>
      <c r="J360" s="65">
        <f t="shared" si="74"/>
        <v>0</v>
      </c>
      <c r="K360" s="65">
        <f t="shared" si="75"/>
        <v>0</v>
      </c>
    </row>
    <row r="361" spans="1:11" s="809" customFormat="1" x14ac:dyDescent="0.25">
      <c r="A361" s="121">
        <f t="shared" si="72"/>
        <v>280</v>
      </c>
      <c r="B361" s="772" t="s">
        <v>203</v>
      </c>
      <c r="C361" s="770"/>
      <c r="D361" s="117"/>
      <c r="E361" s="65">
        <f>D361*'16-PlantAdditions'!$E$103</f>
        <v>0</v>
      </c>
      <c r="F361" s="65">
        <f t="shared" si="73"/>
        <v>0</v>
      </c>
      <c r="G361" s="117"/>
      <c r="H361" s="117"/>
      <c r="I361" s="65">
        <f>(G361-H361)*'16-PlantAdditions'!$E$103</f>
        <v>0</v>
      </c>
      <c r="J361" s="65">
        <f t="shared" si="74"/>
        <v>0</v>
      </c>
      <c r="K361" s="65">
        <f t="shared" si="75"/>
        <v>0</v>
      </c>
    </row>
    <row r="362" spans="1:11" s="809" customFormat="1" x14ac:dyDescent="0.25">
      <c r="A362" s="121">
        <f t="shared" si="72"/>
        <v>281</v>
      </c>
      <c r="B362" s="772" t="s">
        <v>1670</v>
      </c>
      <c r="C362" s="770"/>
      <c r="D362" s="117"/>
      <c r="E362" s="65">
        <f>D362*'16-PlantAdditions'!$E$103</f>
        <v>0</v>
      </c>
      <c r="F362" s="65">
        <f t="shared" si="73"/>
        <v>0</v>
      </c>
      <c r="G362" s="117"/>
      <c r="H362" s="117"/>
      <c r="I362" s="65">
        <f>(G362-H362)*'16-PlantAdditions'!$E$103</f>
        <v>0</v>
      </c>
      <c r="J362" s="65">
        <f t="shared" si="74"/>
        <v>0</v>
      </c>
      <c r="K362" s="65">
        <f t="shared" si="75"/>
        <v>0</v>
      </c>
    </row>
    <row r="363" spans="1:11" s="809" customFormat="1" x14ac:dyDescent="0.25">
      <c r="A363" s="121">
        <f t="shared" si="72"/>
        <v>282</v>
      </c>
      <c r="B363" s="769" t="s">
        <v>205</v>
      </c>
      <c r="C363" s="770"/>
      <c r="D363" s="117"/>
      <c r="E363" s="65">
        <f>D363*'16-PlantAdditions'!$E$103</f>
        <v>0</v>
      </c>
      <c r="F363" s="65">
        <f t="shared" si="73"/>
        <v>0</v>
      </c>
      <c r="G363" s="117"/>
      <c r="H363" s="117"/>
      <c r="I363" s="65">
        <f>(G363-H363)*'16-PlantAdditions'!$E$103</f>
        <v>0</v>
      </c>
      <c r="J363" s="65">
        <f t="shared" si="74"/>
        <v>0</v>
      </c>
      <c r="K363" s="65">
        <f t="shared" si="75"/>
        <v>0</v>
      </c>
    </row>
    <row r="364" spans="1:11" s="809" customFormat="1" x14ac:dyDescent="0.25">
      <c r="A364" s="121">
        <f t="shared" si="72"/>
        <v>283</v>
      </c>
      <c r="B364" s="772" t="s">
        <v>206</v>
      </c>
      <c r="C364" s="770"/>
      <c r="D364" s="117"/>
      <c r="E364" s="65">
        <f>D364*'16-PlantAdditions'!$E$103</f>
        <v>0</v>
      </c>
      <c r="F364" s="65">
        <f t="shared" si="73"/>
        <v>0</v>
      </c>
      <c r="G364" s="117"/>
      <c r="H364" s="117"/>
      <c r="I364" s="65">
        <f>(G364-H364)*'16-PlantAdditions'!$E$103</f>
        <v>0</v>
      </c>
      <c r="J364" s="65">
        <f t="shared" si="74"/>
        <v>0</v>
      </c>
      <c r="K364" s="65">
        <f t="shared" si="75"/>
        <v>0</v>
      </c>
    </row>
    <row r="365" spans="1:11" s="809" customFormat="1" x14ac:dyDescent="0.25">
      <c r="A365" s="121">
        <f t="shared" si="72"/>
        <v>284</v>
      </c>
      <c r="B365" s="772" t="s">
        <v>207</v>
      </c>
      <c r="C365" s="770"/>
      <c r="D365" s="117"/>
      <c r="E365" s="65">
        <f>D365*'16-PlantAdditions'!$E$103</f>
        <v>0</v>
      </c>
      <c r="F365" s="65">
        <f t="shared" si="73"/>
        <v>0</v>
      </c>
      <c r="G365" s="117"/>
      <c r="H365" s="117"/>
      <c r="I365" s="65">
        <f>(G365-H365)*'16-PlantAdditions'!$E$103</f>
        <v>0</v>
      </c>
      <c r="J365" s="65">
        <f t="shared" si="74"/>
        <v>0</v>
      </c>
      <c r="K365" s="65">
        <f t="shared" si="75"/>
        <v>0</v>
      </c>
    </row>
    <row r="366" spans="1:11" s="809" customFormat="1" x14ac:dyDescent="0.25">
      <c r="A366" s="121">
        <f t="shared" si="72"/>
        <v>285</v>
      </c>
      <c r="B366" s="772" t="s">
        <v>210</v>
      </c>
      <c r="C366" s="770"/>
      <c r="D366" s="117"/>
      <c r="E366" s="65">
        <f>D366*'16-PlantAdditions'!$E$103</f>
        <v>0</v>
      </c>
      <c r="F366" s="65">
        <f t="shared" ref="F366:F368" si="76">E366+D366</f>
        <v>0</v>
      </c>
      <c r="G366" s="117"/>
      <c r="H366" s="117"/>
      <c r="I366" s="65">
        <f>(G366-H366)*'16-PlantAdditions'!$E$103</f>
        <v>0</v>
      </c>
      <c r="J366" s="65">
        <f t="shared" ref="J366:J368" si="77">J365+F366-G366-I366</f>
        <v>0</v>
      </c>
      <c r="K366" s="65">
        <f t="shared" si="75"/>
        <v>0</v>
      </c>
    </row>
    <row r="367" spans="1:11" s="809" customFormat="1" x14ac:dyDescent="0.25">
      <c r="A367" s="121">
        <f t="shared" si="72"/>
        <v>286</v>
      </c>
      <c r="B367" s="772" t="s">
        <v>209</v>
      </c>
      <c r="C367" s="770"/>
      <c r="D367" s="117"/>
      <c r="E367" s="65">
        <f>D367*'16-PlantAdditions'!$E$103</f>
        <v>0</v>
      </c>
      <c r="F367" s="65">
        <f t="shared" si="76"/>
        <v>0</v>
      </c>
      <c r="G367" s="117"/>
      <c r="H367" s="117"/>
      <c r="I367" s="65">
        <f>(G367-H367)*'16-PlantAdditions'!$E$103</f>
        <v>0</v>
      </c>
      <c r="J367" s="65">
        <f t="shared" si="77"/>
        <v>0</v>
      </c>
      <c r="K367" s="65">
        <f t="shared" si="75"/>
        <v>0</v>
      </c>
    </row>
    <row r="368" spans="1:11" s="809" customFormat="1" x14ac:dyDescent="0.25">
      <c r="A368" s="121">
        <f t="shared" si="72"/>
        <v>287</v>
      </c>
      <c r="B368" s="772" t="s">
        <v>199</v>
      </c>
      <c r="C368" s="770"/>
      <c r="D368" s="117"/>
      <c r="E368" s="65">
        <f>D368*'16-PlantAdditions'!$E$103</f>
        <v>0</v>
      </c>
      <c r="F368" s="65">
        <f t="shared" si="76"/>
        <v>0</v>
      </c>
      <c r="G368" s="117"/>
      <c r="H368" s="117"/>
      <c r="I368" s="65">
        <f>(G368-H368)*'16-PlantAdditions'!$E$103</f>
        <v>0</v>
      </c>
      <c r="J368" s="65">
        <f t="shared" si="77"/>
        <v>0</v>
      </c>
      <c r="K368" s="1074">
        <f t="shared" si="75"/>
        <v>0</v>
      </c>
    </row>
    <row r="369" spans="1:11" s="809" customFormat="1" x14ac:dyDescent="0.25">
      <c r="A369" s="121">
        <f t="shared" si="72"/>
        <v>288</v>
      </c>
      <c r="B369"/>
      <c r="C369" s="808" t="s">
        <v>1846</v>
      </c>
      <c r="D369"/>
      <c r="E369"/>
      <c r="F369"/>
      <c r="G369"/>
      <c r="H369"/>
      <c r="I369"/>
      <c r="J369"/>
      <c r="K369" s="80">
        <f>AVERAGE(K356:K368)</f>
        <v>0</v>
      </c>
    </row>
    <row r="370" spans="1:11" s="809" customFormat="1" x14ac:dyDescent="0.25">
      <c r="A370" s="121"/>
      <c r="B370"/>
      <c r="C370" s="808"/>
      <c r="D370"/>
      <c r="E370"/>
      <c r="F370"/>
      <c r="G370"/>
      <c r="H370"/>
      <c r="I370"/>
      <c r="J370"/>
      <c r="K370" s="80"/>
    </row>
    <row r="371" spans="1:11" s="809" customFormat="1" x14ac:dyDescent="0.25">
      <c r="B371" s="810" t="s">
        <v>2375</v>
      </c>
      <c r="D371" s="815" t="s">
        <v>2376</v>
      </c>
      <c r="E371" s="815"/>
      <c r="F371" s="816"/>
    </row>
    <row r="372" spans="1:11" s="809" customFormat="1" x14ac:dyDescent="0.25">
      <c r="A372" s="804"/>
      <c r="B372" s="804"/>
      <c r="C372" s="804"/>
      <c r="D372" s="804" t="s">
        <v>394</v>
      </c>
      <c r="E372" s="804" t="s">
        <v>378</v>
      </c>
      <c r="F372" s="804" t="s">
        <v>379</v>
      </c>
      <c r="G372" s="804" t="s">
        <v>380</v>
      </c>
      <c r="H372" s="804" t="s">
        <v>381</v>
      </c>
      <c r="I372" s="804" t="s">
        <v>382</v>
      </c>
      <c r="J372" s="804" t="s">
        <v>383</v>
      </c>
      <c r="K372" s="804" t="s">
        <v>597</v>
      </c>
    </row>
    <row r="373" spans="1:11" s="809" customFormat="1" ht="26.4" x14ac:dyDescent="0.25">
      <c r="D373" s="811"/>
      <c r="E373" s="812" t="s">
        <v>2620</v>
      </c>
      <c r="F373" s="813" t="s">
        <v>2356</v>
      </c>
      <c r="G373" s="560"/>
      <c r="H373" s="811"/>
      <c r="I373" s="812" t="s">
        <v>2621</v>
      </c>
      <c r="J373" s="812" t="s">
        <v>2357</v>
      </c>
      <c r="K373" s="812" t="s">
        <v>2358</v>
      </c>
    </row>
    <row r="374" spans="1:11" s="809" customFormat="1" x14ac:dyDescent="0.25">
      <c r="D374" s="811"/>
      <c r="E374" s="812"/>
      <c r="F374" s="813"/>
      <c r="G374" s="4" t="str">
        <f>G51</f>
        <v>Unloaded</v>
      </c>
      <c r="H374" s="811"/>
      <c r="I374" s="812"/>
      <c r="J374" s="812"/>
      <c r="K374" s="812"/>
    </row>
    <row r="375" spans="1:11" s="809" customFormat="1" x14ac:dyDescent="0.25">
      <c r="A375" s="806"/>
      <c r="B375" s="806"/>
      <c r="C375" s="806"/>
      <c r="D375" s="806" t="str">
        <f>D$52</f>
        <v>Forecast</v>
      </c>
      <c r="E375" s="806" t="str">
        <f t="shared" ref="E375:J375" si="78">E$52</f>
        <v>Corporate</v>
      </c>
      <c r="F375" s="806" t="str">
        <f t="shared" si="78"/>
        <v xml:space="preserve">Total </v>
      </c>
      <c r="G375" s="4" t="str">
        <f>G52</f>
        <v>Total</v>
      </c>
      <c r="H375" s="806" t="str">
        <f t="shared" si="78"/>
        <v>Prior Period</v>
      </c>
      <c r="I375" s="806" t="str">
        <f t="shared" si="78"/>
        <v>Over Heads</v>
      </c>
      <c r="J375" s="806" t="str">
        <f t="shared" si="78"/>
        <v>Forecast</v>
      </c>
      <c r="K375" s="806" t="str">
        <f>K$52</f>
        <v>Forecast Period</v>
      </c>
    </row>
    <row r="376" spans="1:11" s="809" customFormat="1" x14ac:dyDescent="0.25">
      <c r="A376" s="1139" t="s">
        <v>360</v>
      </c>
      <c r="B376" s="768" t="s">
        <v>211</v>
      </c>
      <c r="C376" s="768" t="s">
        <v>212</v>
      </c>
      <c r="D376" s="804" t="str">
        <f>D$53</f>
        <v>Expenditures</v>
      </c>
      <c r="E376" s="804" t="str">
        <f t="shared" ref="E376:J376" si="79">E$53</f>
        <v>Overheads</v>
      </c>
      <c r="F376" s="804" t="str">
        <f t="shared" si="79"/>
        <v>CWIP Exp</v>
      </c>
      <c r="G376" s="92" t="str">
        <f>G53</f>
        <v>Plant Adds</v>
      </c>
      <c r="H376" s="804" t="str">
        <f t="shared" si="79"/>
        <v>CWIP Closed</v>
      </c>
      <c r="I376" s="804" t="str">
        <f t="shared" si="79"/>
        <v>Closed to PIS</v>
      </c>
      <c r="J376" s="804" t="str">
        <f t="shared" si="79"/>
        <v>Period CWIP</v>
      </c>
      <c r="K376" s="804" t="str">
        <f>K$53</f>
        <v>Incremental CWIP</v>
      </c>
    </row>
    <row r="377" spans="1:11" s="809" customFormat="1" x14ac:dyDescent="0.25">
      <c r="A377" s="121">
        <f>A369+1</f>
        <v>289</v>
      </c>
      <c r="B377" s="769" t="s">
        <v>199</v>
      </c>
      <c r="C377" s="770"/>
      <c r="D377" s="813" t="s">
        <v>86</v>
      </c>
      <c r="E377" s="813" t="s">
        <v>86</v>
      </c>
      <c r="F377" s="813" t="s">
        <v>86</v>
      </c>
      <c r="G377" s="813" t="s">
        <v>86</v>
      </c>
      <c r="H377" s="813" t="s">
        <v>86</v>
      </c>
      <c r="I377" s="813" t="s">
        <v>86</v>
      </c>
      <c r="J377" s="65">
        <v>0</v>
      </c>
      <c r="K377" s="813" t="s">
        <v>86</v>
      </c>
    </row>
    <row r="378" spans="1:11" s="809" customFormat="1" x14ac:dyDescent="0.25">
      <c r="A378" s="121">
        <f>A377+1</f>
        <v>290</v>
      </c>
      <c r="B378" s="769" t="s">
        <v>200</v>
      </c>
      <c r="C378" s="770"/>
      <c r="D378" s="117"/>
      <c r="E378" s="65">
        <f>D378*'16-PlantAdditions'!$E$103</f>
        <v>0</v>
      </c>
      <c r="F378" s="65">
        <f>E378+D378</f>
        <v>0</v>
      </c>
      <c r="G378" s="117"/>
      <c r="H378" s="117"/>
      <c r="I378" s="65">
        <f>(G378-H378)*'16-PlantAdditions'!$E$103</f>
        <v>0</v>
      </c>
      <c r="J378" s="65">
        <f>J377+F378-G378-I378</f>
        <v>0</v>
      </c>
      <c r="K378" s="65">
        <f>J378-$J$377</f>
        <v>0</v>
      </c>
    </row>
    <row r="379" spans="1:11" s="809" customFormat="1" x14ac:dyDescent="0.25">
      <c r="A379" s="121">
        <f t="shared" ref="A379:A402" si="80">A378+1</f>
        <v>291</v>
      </c>
      <c r="B379" s="772" t="s">
        <v>201</v>
      </c>
      <c r="C379" s="770"/>
      <c r="D379" s="117"/>
      <c r="E379" s="65">
        <f>D379*'16-PlantAdditions'!$E$103</f>
        <v>0</v>
      </c>
      <c r="F379" s="65">
        <f t="shared" ref="F379:F398" si="81">E379+D379</f>
        <v>0</v>
      </c>
      <c r="G379" s="117"/>
      <c r="H379" s="117"/>
      <c r="I379" s="65">
        <f>(G379-H379)*'16-PlantAdditions'!$E$103</f>
        <v>0</v>
      </c>
      <c r="J379" s="65">
        <f t="shared" ref="J379:J398" si="82">J378+F379-G379-I379</f>
        <v>0</v>
      </c>
      <c r="K379" s="65">
        <f t="shared" ref="K379:K401" si="83">J379-$J$377</f>
        <v>0</v>
      </c>
    </row>
    <row r="380" spans="1:11" s="809" customFormat="1" x14ac:dyDescent="0.25">
      <c r="A380" s="121">
        <f t="shared" si="80"/>
        <v>292</v>
      </c>
      <c r="B380" s="772" t="s">
        <v>214</v>
      </c>
      <c r="C380" s="770"/>
      <c r="D380" s="117"/>
      <c r="E380" s="65">
        <f>D380*'16-PlantAdditions'!$E$103</f>
        <v>0</v>
      </c>
      <c r="F380" s="65">
        <f t="shared" si="81"/>
        <v>0</v>
      </c>
      <c r="G380" s="117"/>
      <c r="H380" s="117"/>
      <c r="I380" s="65">
        <f>(G380-H380)*'16-PlantAdditions'!$E$103</f>
        <v>0</v>
      </c>
      <c r="J380" s="65">
        <f t="shared" si="82"/>
        <v>0</v>
      </c>
      <c r="K380" s="65">
        <f t="shared" si="83"/>
        <v>0</v>
      </c>
    </row>
    <row r="381" spans="1:11" s="809" customFormat="1" x14ac:dyDescent="0.25">
      <c r="A381" s="121">
        <f t="shared" si="80"/>
        <v>293</v>
      </c>
      <c r="B381" s="769" t="s">
        <v>202</v>
      </c>
      <c r="C381" s="770"/>
      <c r="D381" s="117"/>
      <c r="E381" s="65">
        <f>D381*'16-PlantAdditions'!$E$103</f>
        <v>0</v>
      </c>
      <c r="F381" s="65">
        <f t="shared" si="81"/>
        <v>0</v>
      </c>
      <c r="G381" s="117"/>
      <c r="H381" s="117"/>
      <c r="I381" s="65">
        <f>(G381-H381)*'16-PlantAdditions'!$E$103</f>
        <v>0</v>
      </c>
      <c r="J381" s="65">
        <f t="shared" si="82"/>
        <v>0</v>
      </c>
      <c r="K381" s="65">
        <f t="shared" si="83"/>
        <v>0</v>
      </c>
    </row>
    <row r="382" spans="1:11" s="809" customFormat="1" x14ac:dyDescent="0.25">
      <c r="A382" s="121">
        <f t="shared" si="80"/>
        <v>294</v>
      </c>
      <c r="B382" s="772" t="s">
        <v>203</v>
      </c>
      <c r="C382" s="770"/>
      <c r="D382" s="117"/>
      <c r="E382" s="65">
        <f>D382*'16-PlantAdditions'!$E$103</f>
        <v>0</v>
      </c>
      <c r="F382" s="65">
        <f t="shared" si="81"/>
        <v>0</v>
      </c>
      <c r="G382" s="117"/>
      <c r="H382" s="117"/>
      <c r="I382" s="65">
        <f>(G382-H382)*'16-PlantAdditions'!$E$103</f>
        <v>0</v>
      </c>
      <c r="J382" s="65">
        <f t="shared" si="82"/>
        <v>0</v>
      </c>
      <c r="K382" s="65">
        <f t="shared" si="83"/>
        <v>0</v>
      </c>
    </row>
    <row r="383" spans="1:11" s="809" customFormat="1" x14ac:dyDescent="0.25">
      <c r="A383" s="121">
        <f t="shared" si="80"/>
        <v>295</v>
      </c>
      <c r="B383" s="772" t="s">
        <v>1670</v>
      </c>
      <c r="C383" s="770"/>
      <c r="D383" s="117"/>
      <c r="E383" s="65">
        <f>D383*'16-PlantAdditions'!$E$103</f>
        <v>0</v>
      </c>
      <c r="F383" s="65">
        <f t="shared" si="81"/>
        <v>0</v>
      </c>
      <c r="G383" s="117"/>
      <c r="H383" s="117"/>
      <c r="I383" s="65">
        <f>(G383-H383)*'16-PlantAdditions'!$E$103</f>
        <v>0</v>
      </c>
      <c r="J383" s="65">
        <f t="shared" si="82"/>
        <v>0</v>
      </c>
      <c r="K383" s="65">
        <f t="shared" si="83"/>
        <v>0</v>
      </c>
    </row>
    <row r="384" spans="1:11" s="809" customFormat="1" x14ac:dyDescent="0.25">
      <c r="A384" s="121">
        <f t="shared" si="80"/>
        <v>296</v>
      </c>
      <c r="B384" s="769" t="s">
        <v>205</v>
      </c>
      <c r="C384" s="770"/>
      <c r="D384" s="117"/>
      <c r="E384" s="65">
        <f>D384*'16-PlantAdditions'!$E$103</f>
        <v>0</v>
      </c>
      <c r="F384" s="65">
        <f t="shared" si="81"/>
        <v>0</v>
      </c>
      <c r="G384" s="117"/>
      <c r="H384" s="117"/>
      <c r="I384" s="65">
        <f>(G384-H384)*'16-PlantAdditions'!$E$103</f>
        <v>0</v>
      </c>
      <c r="J384" s="65">
        <f t="shared" si="82"/>
        <v>0</v>
      </c>
      <c r="K384" s="65">
        <f t="shared" si="83"/>
        <v>0</v>
      </c>
    </row>
    <row r="385" spans="1:11" s="809" customFormat="1" x14ac:dyDescent="0.25">
      <c r="A385" s="121">
        <f t="shared" si="80"/>
        <v>297</v>
      </c>
      <c r="B385" s="772" t="s">
        <v>206</v>
      </c>
      <c r="C385" s="770"/>
      <c r="D385" s="117"/>
      <c r="E385" s="65">
        <f>D385*'16-PlantAdditions'!$E$103</f>
        <v>0</v>
      </c>
      <c r="F385" s="65">
        <f t="shared" si="81"/>
        <v>0</v>
      </c>
      <c r="G385" s="117"/>
      <c r="H385" s="117"/>
      <c r="I385" s="65">
        <f>(G385-H385)*'16-PlantAdditions'!$E$103</f>
        <v>0</v>
      </c>
      <c r="J385" s="65">
        <f t="shared" si="82"/>
        <v>0</v>
      </c>
      <c r="K385" s="65">
        <f t="shared" si="83"/>
        <v>0</v>
      </c>
    </row>
    <row r="386" spans="1:11" s="809" customFormat="1" x14ac:dyDescent="0.25">
      <c r="A386" s="121">
        <f t="shared" si="80"/>
        <v>298</v>
      </c>
      <c r="B386" s="772" t="s">
        <v>207</v>
      </c>
      <c r="C386" s="770"/>
      <c r="D386" s="117"/>
      <c r="E386" s="65">
        <f>D386*'16-PlantAdditions'!$E$103</f>
        <v>0</v>
      </c>
      <c r="F386" s="65">
        <f t="shared" si="81"/>
        <v>0</v>
      </c>
      <c r="G386" s="117"/>
      <c r="H386" s="117"/>
      <c r="I386" s="65">
        <f>(G386-H386)*'16-PlantAdditions'!$E$103</f>
        <v>0</v>
      </c>
      <c r="J386" s="65">
        <f t="shared" si="82"/>
        <v>0</v>
      </c>
      <c r="K386" s="65">
        <f t="shared" si="83"/>
        <v>0</v>
      </c>
    </row>
    <row r="387" spans="1:11" s="809" customFormat="1" x14ac:dyDescent="0.25">
      <c r="A387" s="121">
        <f t="shared" si="80"/>
        <v>299</v>
      </c>
      <c r="B387" s="769" t="s">
        <v>210</v>
      </c>
      <c r="C387" s="770"/>
      <c r="D387" s="117"/>
      <c r="E387" s="65">
        <f>D387*'16-PlantAdditions'!$E$103</f>
        <v>0</v>
      </c>
      <c r="F387" s="65">
        <f t="shared" si="81"/>
        <v>0</v>
      </c>
      <c r="G387" s="117"/>
      <c r="H387" s="117"/>
      <c r="I387" s="65">
        <f>(G387-H387)*'16-PlantAdditions'!$E$103</f>
        <v>0</v>
      </c>
      <c r="J387" s="65">
        <f t="shared" si="82"/>
        <v>0</v>
      </c>
      <c r="K387" s="65">
        <f t="shared" si="83"/>
        <v>0</v>
      </c>
    </row>
    <row r="388" spans="1:11" s="809" customFormat="1" x14ac:dyDescent="0.25">
      <c r="A388" s="121">
        <f t="shared" si="80"/>
        <v>300</v>
      </c>
      <c r="B388" s="769" t="s">
        <v>209</v>
      </c>
      <c r="C388" s="770"/>
      <c r="D388" s="117"/>
      <c r="E388" s="65">
        <f>D388*'16-PlantAdditions'!$E$103</f>
        <v>0</v>
      </c>
      <c r="F388" s="65">
        <f t="shared" si="81"/>
        <v>0</v>
      </c>
      <c r="G388" s="117"/>
      <c r="H388" s="117"/>
      <c r="I388" s="65">
        <f>(G388-H388)*'16-PlantAdditions'!$E$103</f>
        <v>0</v>
      </c>
      <c r="J388" s="65">
        <f t="shared" si="82"/>
        <v>0</v>
      </c>
      <c r="K388" s="65">
        <f t="shared" si="83"/>
        <v>0</v>
      </c>
    </row>
    <row r="389" spans="1:11" s="809" customFormat="1" x14ac:dyDescent="0.25">
      <c r="A389" s="121">
        <f t="shared" si="80"/>
        <v>301</v>
      </c>
      <c r="B389" s="769" t="s">
        <v>199</v>
      </c>
      <c r="C389" s="770"/>
      <c r="D389" s="117"/>
      <c r="E389" s="65">
        <f>D389*'16-PlantAdditions'!$E$103</f>
        <v>0</v>
      </c>
      <c r="F389" s="65">
        <f t="shared" si="81"/>
        <v>0</v>
      </c>
      <c r="G389" s="117"/>
      <c r="H389" s="117"/>
      <c r="I389" s="65">
        <f>(G389-H389)*'16-PlantAdditions'!$E$103</f>
        <v>0</v>
      </c>
      <c r="J389" s="65">
        <f t="shared" si="82"/>
        <v>0</v>
      </c>
      <c r="K389" s="65">
        <f t="shared" si="83"/>
        <v>0</v>
      </c>
    </row>
    <row r="390" spans="1:11" s="809" customFormat="1" x14ac:dyDescent="0.25">
      <c r="A390" s="121">
        <f t="shared" si="80"/>
        <v>302</v>
      </c>
      <c r="B390" s="769" t="s">
        <v>200</v>
      </c>
      <c r="C390" s="770"/>
      <c r="D390" s="117"/>
      <c r="E390" s="65">
        <f>D390*'16-PlantAdditions'!$E$103</f>
        <v>0</v>
      </c>
      <c r="F390" s="65">
        <f t="shared" si="81"/>
        <v>0</v>
      </c>
      <c r="G390" s="117"/>
      <c r="H390" s="117"/>
      <c r="I390" s="65">
        <f>(G390-H390)*'16-PlantAdditions'!$E$103</f>
        <v>0</v>
      </c>
      <c r="J390" s="65">
        <f t="shared" si="82"/>
        <v>0</v>
      </c>
      <c r="K390" s="65">
        <f t="shared" si="83"/>
        <v>0</v>
      </c>
    </row>
    <row r="391" spans="1:11" s="809" customFormat="1" x14ac:dyDescent="0.25">
      <c r="A391" s="121">
        <f t="shared" si="80"/>
        <v>303</v>
      </c>
      <c r="B391" s="772" t="s">
        <v>201</v>
      </c>
      <c r="C391" s="770"/>
      <c r="D391" s="117"/>
      <c r="E391" s="65">
        <f>D391*'16-PlantAdditions'!$E$103</f>
        <v>0</v>
      </c>
      <c r="F391" s="65">
        <f t="shared" si="81"/>
        <v>0</v>
      </c>
      <c r="G391" s="117"/>
      <c r="H391" s="117"/>
      <c r="I391" s="65">
        <f>(G391-H391)*'16-PlantAdditions'!$E$103</f>
        <v>0</v>
      </c>
      <c r="J391" s="65">
        <f t="shared" si="82"/>
        <v>0</v>
      </c>
      <c r="K391" s="65">
        <f t="shared" si="83"/>
        <v>0</v>
      </c>
    </row>
    <row r="392" spans="1:11" s="809" customFormat="1" x14ac:dyDescent="0.25">
      <c r="A392" s="121">
        <f t="shared" si="80"/>
        <v>304</v>
      </c>
      <c r="B392" s="772" t="s">
        <v>214</v>
      </c>
      <c r="C392" s="770"/>
      <c r="D392" s="117"/>
      <c r="E392" s="65">
        <f>D392*'16-PlantAdditions'!$E$103</f>
        <v>0</v>
      </c>
      <c r="F392" s="65">
        <f t="shared" si="81"/>
        <v>0</v>
      </c>
      <c r="G392" s="117"/>
      <c r="H392" s="117"/>
      <c r="I392" s="65">
        <f>(G392-H392)*'16-PlantAdditions'!$E$103</f>
        <v>0</v>
      </c>
      <c r="J392" s="65">
        <f t="shared" si="82"/>
        <v>0</v>
      </c>
      <c r="K392" s="65">
        <f t="shared" si="83"/>
        <v>0</v>
      </c>
    </row>
    <row r="393" spans="1:11" s="809" customFormat="1" x14ac:dyDescent="0.25">
      <c r="A393" s="121">
        <f t="shared" si="80"/>
        <v>305</v>
      </c>
      <c r="B393" s="769" t="s">
        <v>202</v>
      </c>
      <c r="C393" s="770"/>
      <c r="D393" s="117"/>
      <c r="E393" s="65">
        <f>D393*'16-PlantAdditions'!$E$103</f>
        <v>0</v>
      </c>
      <c r="F393" s="65">
        <f t="shared" si="81"/>
        <v>0</v>
      </c>
      <c r="G393" s="117"/>
      <c r="H393" s="117"/>
      <c r="I393" s="65">
        <f>(G393-H393)*'16-PlantAdditions'!$E$103</f>
        <v>0</v>
      </c>
      <c r="J393" s="65">
        <f t="shared" si="82"/>
        <v>0</v>
      </c>
      <c r="K393" s="65">
        <f t="shared" si="83"/>
        <v>0</v>
      </c>
    </row>
    <row r="394" spans="1:11" s="809" customFormat="1" x14ac:dyDescent="0.25">
      <c r="A394" s="121">
        <f t="shared" si="80"/>
        <v>306</v>
      </c>
      <c r="B394" s="772" t="s">
        <v>203</v>
      </c>
      <c r="C394" s="770"/>
      <c r="D394" s="117"/>
      <c r="E394" s="65">
        <f>D394*'16-PlantAdditions'!$E$103</f>
        <v>0</v>
      </c>
      <c r="F394" s="65">
        <f t="shared" si="81"/>
        <v>0</v>
      </c>
      <c r="G394" s="117"/>
      <c r="H394" s="117"/>
      <c r="I394" s="65">
        <f>(G394-H394)*'16-PlantAdditions'!$E$103</f>
        <v>0</v>
      </c>
      <c r="J394" s="65">
        <f t="shared" si="82"/>
        <v>0</v>
      </c>
      <c r="K394" s="65">
        <f t="shared" si="83"/>
        <v>0</v>
      </c>
    </row>
    <row r="395" spans="1:11" s="809" customFormat="1" x14ac:dyDescent="0.25">
      <c r="A395" s="121">
        <f t="shared" si="80"/>
        <v>307</v>
      </c>
      <c r="B395" s="772" t="s">
        <v>1670</v>
      </c>
      <c r="C395" s="770"/>
      <c r="D395" s="117"/>
      <c r="E395" s="65">
        <f>D395*'16-PlantAdditions'!$E$103</f>
        <v>0</v>
      </c>
      <c r="F395" s="65">
        <f t="shared" si="81"/>
        <v>0</v>
      </c>
      <c r="G395" s="117"/>
      <c r="H395" s="117"/>
      <c r="I395" s="65">
        <f>(G395-H395)*'16-PlantAdditions'!$E$103</f>
        <v>0</v>
      </c>
      <c r="J395" s="65">
        <f t="shared" si="82"/>
        <v>0</v>
      </c>
      <c r="K395" s="65">
        <f t="shared" si="83"/>
        <v>0</v>
      </c>
    </row>
    <row r="396" spans="1:11" s="809" customFormat="1" x14ac:dyDescent="0.25">
      <c r="A396" s="121">
        <f t="shared" si="80"/>
        <v>308</v>
      </c>
      <c r="B396" s="769" t="s">
        <v>205</v>
      </c>
      <c r="C396" s="770"/>
      <c r="D396" s="117"/>
      <c r="E396" s="65">
        <f>D396*'16-PlantAdditions'!$E$103</f>
        <v>0</v>
      </c>
      <c r="F396" s="65">
        <f t="shared" si="81"/>
        <v>0</v>
      </c>
      <c r="G396" s="117"/>
      <c r="H396" s="117"/>
      <c r="I396" s="65">
        <f>(G396-H396)*'16-PlantAdditions'!$E$103</f>
        <v>0</v>
      </c>
      <c r="J396" s="65">
        <f t="shared" si="82"/>
        <v>0</v>
      </c>
      <c r="K396" s="65">
        <f t="shared" si="83"/>
        <v>0</v>
      </c>
    </row>
    <row r="397" spans="1:11" s="809" customFormat="1" x14ac:dyDescent="0.25">
      <c r="A397" s="121">
        <f t="shared" si="80"/>
        <v>309</v>
      </c>
      <c r="B397" s="772" t="s">
        <v>206</v>
      </c>
      <c r="C397" s="770"/>
      <c r="D397" s="117"/>
      <c r="E397" s="65">
        <f>D397*'16-PlantAdditions'!$E$103</f>
        <v>0</v>
      </c>
      <c r="F397" s="65">
        <f t="shared" si="81"/>
        <v>0</v>
      </c>
      <c r="G397" s="117"/>
      <c r="H397" s="117"/>
      <c r="I397" s="65">
        <f>(G397-H397)*'16-PlantAdditions'!$E$103</f>
        <v>0</v>
      </c>
      <c r="J397" s="65">
        <f t="shared" si="82"/>
        <v>0</v>
      </c>
      <c r="K397" s="65">
        <f t="shared" si="83"/>
        <v>0</v>
      </c>
    </row>
    <row r="398" spans="1:11" s="809" customFormat="1" x14ac:dyDescent="0.25">
      <c r="A398" s="121">
        <f t="shared" si="80"/>
        <v>310</v>
      </c>
      <c r="B398" s="772" t="s">
        <v>207</v>
      </c>
      <c r="C398" s="770"/>
      <c r="D398" s="117"/>
      <c r="E398" s="65">
        <f>D398*'16-PlantAdditions'!$E$103</f>
        <v>0</v>
      </c>
      <c r="F398" s="65">
        <f t="shared" si="81"/>
        <v>0</v>
      </c>
      <c r="G398" s="117"/>
      <c r="H398" s="117"/>
      <c r="I398" s="65">
        <f>(G398-H398)*'16-PlantAdditions'!$E$103</f>
        <v>0</v>
      </c>
      <c r="J398" s="65">
        <f t="shared" si="82"/>
        <v>0</v>
      </c>
      <c r="K398" s="65">
        <f t="shared" si="83"/>
        <v>0</v>
      </c>
    </row>
    <row r="399" spans="1:11" s="809" customFormat="1" x14ac:dyDescent="0.25">
      <c r="A399" s="121">
        <f t="shared" si="80"/>
        <v>311</v>
      </c>
      <c r="B399" s="772" t="s">
        <v>210</v>
      </c>
      <c r="C399" s="770"/>
      <c r="D399" s="117"/>
      <c r="E399" s="65">
        <f>D399*'16-PlantAdditions'!$E$103</f>
        <v>0</v>
      </c>
      <c r="F399" s="65">
        <f t="shared" ref="F399:F401" si="84">E399+D399</f>
        <v>0</v>
      </c>
      <c r="G399" s="117"/>
      <c r="H399" s="117"/>
      <c r="I399" s="65">
        <f>(G399-H399)*'16-PlantAdditions'!$E$103</f>
        <v>0</v>
      </c>
      <c r="J399" s="65">
        <f t="shared" ref="J399:J401" si="85">J398+F399-G399-I399</f>
        <v>0</v>
      </c>
      <c r="K399" s="65">
        <f t="shared" si="83"/>
        <v>0</v>
      </c>
    </row>
    <row r="400" spans="1:11" s="809" customFormat="1" x14ac:dyDescent="0.25">
      <c r="A400" s="121">
        <f t="shared" si="80"/>
        <v>312</v>
      </c>
      <c r="B400" s="772" t="s">
        <v>209</v>
      </c>
      <c r="C400" s="770"/>
      <c r="D400" s="117"/>
      <c r="E400" s="65">
        <f>D400*'16-PlantAdditions'!$E$103</f>
        <v>0</v>
      </c>
      <c r="F400" s="65">
        <f t="shared" si="84"/>
        <v>0</v>
      </c>
      <c r="G400" s="117"/>
      <c r="H400" s="117"/>
      <c r="I400" s="65">
        <f>(G400-H400)*'16-PlantAdditions'!$E$103</f>
        <v>0</v>
      </c>
      <c r="J400" s="65">
        <f t="shared" si="85"/>
        <v>0</v>
      </c>
      <c r="K400" s="65">
        <f t="shared" si="83"/>
        <v>0</v>
      </c>
    </row>
    <row r="401" spans="1:11" s="809" customFormat="1" x14ac:dyDescent="0.25">
      <c r="A401" s="121">
        <f t="shared" si="80"/>
        <v>313</v>
      </c>
      <c r="B401" s="772" t="s">
        <v>199</v>
      </c>
      <c r="C401" s="770"/>
      <c r="D401" s="117"/>
      <c r="E401" s="65">
        <f>D401*'16-PlantAdditions'!$E$103</f>
        <v>0</v>
      </c>
      <c r="F401" s="65">
        <f t="shared" si="84"/>
        <v>0</v>
      </c>
      <c r="G401" s="117"/>
      <c r="H401" s="117"/>
      <c r="I401" s="65">
        <f>(G401-H401)*'16-PlantAdditions'!$E$103</f>
        <v>0</v>
      </c>
      <c r="J401" s="65">
        <f t="shared" si="85"/>
        <v>0</v>
      </c>
      <c r="K401" s="122">
        <f t="shared" si="83"/>
        <v>0</v>
      </c>
    </row>
    <row r="402" spans="1:11" s="809" customFormat="1" x14ac:dyDescent="0.25">
      <c r="A402" s="121">
        <f t="shared" si="80"/>
        <v>314</v>
      </c>
      <c r="B402"/>
      <c r="C402" s="808" t="s">
        <v>1846</v>
      </c>
      <c r="H402" s="813"/>
      <c r="I402" s="813"/>
      <c r="K402" s="80">
        <f>AVERAGE(K389:K401)</f>
        <v>0</v>
      </c>
    </row>
    <row r="403" spans="1:11" s="809" customFormat="1" x14ac:dyDescent="0.25">
      <c r="A403" s="121"/>
      <c r="B403"/>
      <c r="C403" s="808"/>
      <c r="H403" s="813"/>
      <c r="I403" s="813"/>
      <c r="K403" s="80"/>
    </row>
    <row r="404" spans="1:11" s="809" customFormat="1" x14ac:dyDescent="0.25">
      <c r="A404" s="121"/>
      <c r="B404"/>
      <c r="C404" s="808"/>
      <c r="H404" s="813"/>
      <c r="I404" s="813"/>
      <c r="K404" s="80"/>
    </row>
    <row r="405" spans="1:11" s="809" customFormat="1" x14ac:dyDescent="0.25">
      <c r="A405" s="806"/>
      <c r="B405" s="777" t="s">
        <v>256</v>
      </c>
      <c r="C405"/>
      <c r="D405"/>
      <c r="E405"/>
      <c r="F405"/>
      <c r="G405"/>
      <c r="H405"/>
      <c r="I405"/>
    </row>
    <row r="406" spans="1:11" s="809" customFormat="1" x14ac:dyDescent="0.25">
      <c r="A406" s="806"/>
      <c r="B406" s="772" t="s">
        <v>2617</v>
      </c>
    </row>
    <row r="407" spans="1:11" s="809" customFormat="1" x14ac:dyDescent="0.25">
      <c r="A407" s="806"/>
      <c r="B407" s="772" t="s">
        <v>2618</v>
      </c>
      <c r="C407"/>
      <c r="D407"/>
      <c r="E407"/>
      <c r="F407"/>
      <c r="G407"/>
      <c r="H407"/>
      <c r="I407"/>
    </row>
    <row r="408" spans="1:11" s="809" customFormat="1" x14ac:dyDescent="0.25">
      <c r="A408" s="806"/>
      <c r="C408"/>
      <c r="D408"/>
      <c r="E408"/>
      <c r="F408"/>
      <c r="G408"/>
      <c r="H408"/>
      <c r="I408"/>
    </row>
    <row r="409" spans="1:11" s="809" customFormat="1" x14ac:dyDescent="0.25">
      <c r="A409" s="806"/>
      <c r="B409" s="1" t="s">
        <v>420</v>
      </c>
      <c r="C409"/>
      <c r="D409"/>
      <c r="E409"/>
      <c r="F409"/>
      <c r="G409"/>
      <c r="H409"/>
      <c r="I409"/>
    </row>
    <row r="410" spans="1:11" s="809" customFormat="1" x14ac:dyDescent="0.25">
      <c r="A410" s="806"/>
      <c r="B410" s="551" t="s">
        <v>1090</v>
      </c>
      <c r="C410"/>
      <c r="D410"/>
      <c r="E410"/>
      <c r="F410"/>
      <c r="G410"/>
      <c r="H410"/>
      <c r="I410"/>
    </row>
    <row r="411" spans="1:11" s="809" customFormat="1" x14ac:dyDescent="0.25">
      <c r="A411" s="806"/>
      <c r="B411" s="551" t="s">
        <v>2619</v>
      </c>
      <c r="C411"/>
      <c r="D411"/>
      <c r="E411"/>
      <c r="F411"/>
      <c r="G411"/>
      <c r="H411"/>
      <c r="I411"/>
    </row>
    <row r="412" spans="1:11" s="809" customFormat="1" x14ac:dyDescent="0.25">
      <c r="A412" s="806"/>
      <c r="B412" s="553" t="s">
        <v>2377</v>
      </c>
      <c r="C412" s="14"/>
      <c r="D412" s="14"/>
      <c r="E412" s="14"/>
      <c r="F412" s="14"/>
      <c r="G412" s="14"/>
      <c r="H412" s="14"/>
      <c r="I412" s="14"/>
    </row>
    <row r="413" spans="1:11" s="809" customFormat="1" x14ac:dyDescent="0.25">
      <c r="A413" s="806"/>
      <c r="B413" s="550"/>
      <c r="C413" s="14"/>
      <c r="D413" s="14"/>
      <c r="E413" s="14"/>
      <c r="F413" s="14"/>
      <c r="G413" s="14"/>
      <c r="H413" s="14"/>
      <c r="I413" s="14"/>
    </row>
    <row r="414" spans="1:11" s="809" customFormat="1" x14ac:dyDescent="0.25">
      <c r="A414" s="806"/>
      <c r="B414" s="772"/>
      <c r="C414" s="817"/>
      <c r="H414" s="813"/>
      <c r="I414" s="813"/>
    </row>
    <row r="415" spans="1:11" s="809" customFormat="1" x14ac:dyDescent="0.25">
      <c r="A415" s="806"/>
      <c r="B415" s="772"/>
      <c r="C415" s="817"/>
      <c r="H415" s="813"/>
      <c r="I415" s="813"/>
    </row>
    <row r="416" spans="1:11" s="809" customFormat="1" x14ac:dyDescent="0.25">
      <c r="A416" s="806"/>
      <c r="B416" s="772"/>
      <c r="C416" s="817"/>
      <c r="H416" s="813"/>
      <c r="I416" s="813"/>
    </row>
    <row r="417" spans="1:11" s="809" customFormat="1" x14ac:dyDescent="0.25">
      <c r="A417" s="806"/>
      <c r="B417" s="772"/>
      <c r="C417" s="817"/>
      <c r="H417" s="813"/>
      <c r="I417" s="813"/>
    </row>
    <row r="418" spans="1:11" s="809" customFormat="1" x14ac:dyDescent="0.25">
      <c r="A418" s="806"/>
      <c r="B418" s="772"/>
      <c r="C418" s="817"/>
      <c r="D418" s="818"/>
      <c r="E418" s="818"/>
      <c r="F418" s="818"/>
      <c r="G418" s="818"/>
      <c r="H418" s="813"/>
      <c r="I418" s="813"/>
    </row>
    <row r="419" spans="1:11" s="809" customFormat="1" x14ac:dyDescent="0.25">
      <c r="A419" s="806"/>
      <c r="C419" s="819"/>
      <c r="D419" s="820"/>
      <c r="E419" s="820"/>
      <c r="F419" s="820"/>
      <c r="G419" s="820"/>
      <c r="H419" s="813"/>
      <c r="I419" s="813"/>
    </row>
    <row r="420" spans="1:11" s="809" customFormat="1" x14ac:dyDescent="0.25"/>
    <row r="421" spans="1:11" s="809" customFormat="1" x14ac:dyDescent="0.25">
      <c r="B421" s="777"/>
    </row>
    <row r="422" spans="1:11" s="809" customFormat="1" x14ac:dyDescent="0.25">
      <c r="B422" s="772"/>
    </row>
    <row r="423" spans="1:11" x14ac:dyDescent="0.25">
      <c r="A423" s="809"/>
      <c r="B423" s="809"/>
      <c r="C423" s="809"/>
      <c r="D423" s="809"/>
      <c r="E423" s="809"/>
      <c r="F423" s="809"/>
      <c r="G423" s="809"/>
      <c r="H423" s="809"/>
      <c r="I423" s="809"/>
      <c r="J423" s="809"/>
      <c r="K423" s="809"/>
    </row>
    <row r="424" spans="1:11" x14ac:dyDescent="0.25">
      <c r="A424" s="809"/>
      <c r="B424" s="821"/>
      <c r="C424" s="809"/>
      <c r="D424" s="809"/>
      <c r="E424" s="809"/>
      <c r="F424" s="809"/>
      <c r="G424" s="809"/>
      <c r="H424" s="809"/>
      <c r="I424" s="809"/>
      <c r="J424" s="809"/>
      <c r="K424" s="809"/>
    </row>
    <row r="425" spans="1:11" x14ac:dyDescent="0.25">
      <c r="A425" s="809"/>
      <c r="B425" s="822"/>
      <c r="C425" s="809"/>
      <c r="D425" s="809"/>
      <c r="E425" s="809"/>
      <c r="F425" s="809"/>
      <c r="G425" s="809"/>
      <c r="H425" s="809"/>
      <c r="I425" s="809"/>
      <c r="J425" s="809"/>
      <c r="K425" s="809"/>
    </row>
    <row r="426" spans="1:11" x14ac:dyDescent="0.25">
      <c r="A426" s="809"/>
      <c r="B426" s="822"/>
      <c r="C426" s="809"/>
      <c r="D426" s="809"/>
      <c r="E426" s="809"/>
      <c r="F426" s="809"/>
      <c r="G426" s="809"/>
      <c r="H426" s="809"/>
      <c r="I426" s="809"/>
      <c r="J426" s="809"/>
      <c r="K426" s="809"/>
    </row>
    <row r="427" spans="1:11" x14ac:dyDescent="0.25">
      <c r="A427" s="809"/>
      <c r="B427" s="822"/>
      <c r="C427" s="809"/>
      <c r="D427" s="809"/>
      <c r="E427" s="809"/>
      <c r="F427" s="809"/>
      <c r="G427" s="809"/>
      <c r="H427" s="809"/>
      <c r="I427" s="809"/>
      <c r="J427" s="809"/>
      <c r="K427" s="809"/>
    </row>
    <row r="428" spans="1:11" x14ac:dyDescent="0.25">
      <c r="A428" s="809"/>
      <c r="B428" s="823"/>
      <c r="C428" s="809"/>
      <c r="D428" s="809"/>
      <c r="E428" s="809"/>
      <c r="F428" s="809"/>
      <c r="G428" s="809"/>
      <c r="H428" s="809"/>
      <c r="I428" s="809"/>
      <c r="J428" s="809"/>
      <c r="K428" s="809"/>
    </row>
  </sheetData>
  <mergeCells count="9">
    <mergeCell ref="D276:E276"/>
    <mergeCell ref="D307:E307"/>
    <mergeCell ref="D340:E340"/>
    <mergeCell ref="D82:E82"/>
    <mergeCell ref="D115:E115"/>
    <mergeCell ref="D148:E148"/>
    <mergeCell ref="D179:E179"/>
    <mergeCell ref="D212:E212"/>
    <mergeCell ref="D243:E243"/>
  </mergeCells>
  <pageMargins left="0.7" right="0.7" top="0.75" bottom="0.75" header="0.3" footer="0.3"/>
  <pageSetup scale="60" orientation="landscape" cellComments="asDisplayed" r:id="rId1"/>
  <headerFooter>
    <oddHeader>&amp;CSchedule 10
CWIP
&amp;"Arial,Bold"Attachment 5</oddHeader>
    <oddFooter>&amp;R&amp;A</oddFooter>
  </headerFooter>
  <rowBreaks count="6" manualBreakCount="6">
    <brk id="47" max="16383" man="1"/>
    <brk id="113" max="10" man="1"/>
    <brk id="177" max="10" man="1"/>
    <brk id="241" max="10" man="1"/>
    <brk id="305" max="10" man="1"/>
    <brk id="369" max="10"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zoomScale="90" zoomScaleNormal="90" workbookViewId="0">
      <selection activeCell="B53" sqref="B53"/>
    </sheetView>
  </sheetViews>
  <sheetFormatPr defaultRowHeight="13.2" x14ac:dyDescent="0.25"/>
  <cols>
    <col min="1" max="1" width="4.6640625" customWidth="1"/>
    <col min="2" max="2" width="22.6640625" customWidth="1"/>
    <col min="3" max="3" width="8.6640625" customWidth="1"/>
    <col min="4" max="5" width="25.6640625" customWidth="1"/>
    <col min="6" max="6" width="22.6640625" customWidth="1"/>
  </cols>
  <sheetData>
    <row r="1" spans="1:6" x14ac:dyDescent="0.25">
      <c r="A1" s="38" t="s">
        <v>1342</v>
      </c>
      <c r="B1" s="131"/>
      <c r="C1" s="39"/>
      <c r="D1" s="39"/>
      <c r="E1" s="39"/>
      <c r="F1" s="39"/>
    </row>
    <row r="2" spans="1:6" x14ac:dyDescent="0.25">
      <c r="A2" s="133"/>
      <c r="B2" s="14"/>
      <c r="C2" s="134"/>
      <c r="D2" s="134"/>
      <c r="F2" s="44" t="s">
        <v>17</v>
      </c>
    </row>
    <row r="3" spans="1:6" x14ac:dyDescent="0.25">
      <c r="A3" s="133"/>
      <c r="B3" s="15" t="s">
        <v>550</v>
      </c>
      <c r="C3" s="134"/>
      <c r="D3" s="134"/>
      <c r="E3" s="134"/>
    </row>
    <row r="4" spans="1:6" x14ac:dyDescent="0.25">
      <c r="A4" s="133"/>
      <c r="B4" s="15" t="s">
        <v>429</v>
      </c>
      <c r="C4" s="134"/>
      <c r="D4" s="134"/>
      <c r="E4" s="134"/>
    </row>
    <row r="5" spans="1:6" x14ac:dyDescent="0.25">
      <c r="A5" s="133"/>
      <c r="B5" s="15" t="s">
        <v>434</v>
      </c>
      <c r="C5" s="134"/>
      <c r="D5" s="134"/>
      <c r="E5" s="134"/>
    </row>
    <row r="6" spans="1:6" x14ac:dyDescent="0.25">
      <c r="A6" s="133"/>
    </row>
    <row r="7" spans="1:6" x14ac:dyDescent="0.25">
      <c r="A7" s="53" t="s">
        <v>360</v>
      </c>
      <c r="B7" s="14"/>
      <c r="C7" s="134"/>
      <c r="D7" s="3" t="s">
        <v>432</v>
      </c>
      <c r="E7" s="132" t="s">
        <v>431</v>
      </c>
      <c r="F7" s="135" t="s">
        <v>198</v>
      </c>
    </row>
    <row r="8" spans="1:6" x14ac:dyDescent="0.25">
      <c r="A8" s="2">
        <v>1</v>
      </c>
      <c r="B8" s="15" t="s">
        <v>443</v>
      </c>
      <c r="D8" s="6"/>
      <c r="E8" s="6"/>
      <c r="F8" s="13" t="s">
        <v>1357</v>
      </c>
    </row>
    <row r="9" spans="1:6" x14ac:dyDescent="0.25">
      <c r="A9" s="2"/>
      <c r="B9" s="15"/>
      <c r="D9" s="14"/>
      <c r="E9" s="12"/>
    </row>
    <row r="10" spans="1:6" x14ac:dyDescent="0.25">
      <c r="A10" s="2"/>
      <c r="B10" s="15" t="s">
        <v>437</v>
      </c>
      <c r="D10" s="14"/>
      <c r="E10" s="12"/>
    </row>
    <row r="11" spans="1:6" x14ac:dyDescent="0.25">
      <c r="A11" s="2"/>
      <c r="B11" s="15"/>
      <c r="D11" s="14"/>
      <c r="E11" s="12"/>
    </row>
    <row r="12" spans="1:6" x14ac:dyDescent="0.25">
      <c r="A12" s="2"/>
      <c r="B12" s="92" t="s">
        <v>394</v>
      </c>
      <c r="C12" s="92" t="s">
        <v>378</v>
      </c>
      <c r="D12" s="92" t="s">
        <v>379</v>
      </c>
      <c r="E12" s="92" t="s">
        <v>380</v>
      </c>
      <c r="F12" s="92" t="s">
        <v>381</v>
      </c>
    </row>
    <row r="13" spans="1:6" x14ac:dyDescent="0.25">
      <c r="A13" s="2"/>
      <c r="B13" s="15"/>
      <c r="C13" s="2" t="s">
        <v>440</v>
      </c>
      <c r="D13" s="14"/>
      <c r="E13" s="12"/>
    </row>
    <row r="14" spans="1:6" x14ac:dyDescent="0.25">
      <c r="A14" s="2"/>
      <c r="B14" s="53" t="s">
        <v>111</v>
      </c>
      <c r="C14" s="3" t="s">
        <v>439</v>
      </c>
      <c r="D14" s="3" t="s">
        <v>432</v>
      </c>
      <c r="E14" s="132" t="s">
        <v>431</v>
      </c>
      <c r="F14" s="132" t="s">
        <v>198</v>
      </c>
    </row>
    <row r="15" spans="1:6" x14ac:dyDescent="0.25">
      <c r="A15" s="2" t="s">
        <v>569</v>
      </c>
      <c r="B15" s="561"/>
      <c r="C15" s="105"/>
      <c r="D15" s="6"/>
      <c r="E15" s="6"/>
      <c r="F15" s="105"/>
    </row>
    <row r="16" spans="1:6" x14ac:dyDescent="0.25">
      <c r="A16" s="2" t="s">
        <v>570</v>
      </c>
      <c r="B16" s="126"/>
      <c r="C16" s="105"/>
      <c r="D16" s="6"/>
      <c r="E16" s="6"/>
      <c r="F16" s="105"/>
    </row>
    <row r="17" spans="1:6" x14ac:dyDescent="0.25">
      <c r="A17" s="2" t="s">
        <v>571</v>
      </c>
      <c r="B17" s="126"/>
      <c r="C17" s="105"/>
      <c r="D17" s="6"/>
      <c r="E17" s="6"/>
      <c r="F17" s="105"/>
    </row>
    <row r="18" spans="1:6" x14ac:dyDescent="0.25">
      <c r="A18" s="2" t="s">
        <v>572</v>
      </c>
      <c r="B18" s="126"/>
      <c r="C18" s="105"/>
      <c r="D18" s="6"/>
      <c r="E18" s="6"/>
      <c r="F18" s="105"/>
    </row>
    <row r="19" spans="1:6" x14ac:dyDescent="0.25">
      <c r="A19" s="2" t="s">
        <v>573</v>
      </c>
      <c r="B19" s="126"/>
      <c r="C19" s="105"/>
      <c r="D19" s="6"/>
      <c r="E19" s="6"/>
      <c r="F19" s="105"/>
    </row>
    <row r="20" spans="1:6" x14ac:dyDescent="0.25">
      <c r="A20" s="2" t="s">
        <v>574</v>
      </c>
      <c r="B20" s="126"/>
      <c r="C20" s="105"/>
      <c r="D20" s="6"/>
      <c r="E20" s="6"/>
      <c r="F20" s="105"/>
    </row>
    <row r="21" spans="1:6" x14ac:dyDescent="0.25">
      <c r="A21" s="2" t="s">
        <v>575</v>
      </c>
      <c r="B21" s="126"/>
      <c r="C21" s="105"/>
      <c r="D21" s="6"/>
      <c r="E21" s="6"/>
      <c r="F21" s="105"/>
    </row>
    <row r="22" spans="1:6" x14ac:dyDescent="0.25">
      <c r="A22" s="2" t="s">
        <v>576</v>
      </c>
      <c r="B22" s="126"/>
      <c r="C22" s="105"/>
      <c r="D22" s="6"/>
      <c r="E22" s="6"/>
      <c r="F22" s="105"/>
    </row>
    <row r="23" spans="1:6" x14ac:dyDescent="0.25">
      <c r="A23" s="207"/>
      <c r="B23" s="456" t="s">
        <v>565</v>
      </c>
      <c r="C23" s="105"/>
      <c r="D23" s="457"/>
      <c r="E23" s="457"/>
      <c r="F23" s="105"/>
    </row>
    <row r="24" spans="1:6" x14ac:dyDescent="0.25">
      <c r="A24" s="2">
        <v>3</v>
      </c>
      <c r="C24" s="12" t="s">
        <v>4</v>
      </c>
      <c r="D24" s="7">
        <f>SUM(D15:D22)</f>
        <v>0</v>
      </c>
      <c r="E24" s="7">
        <f>SUM(E15:E22)</f>
        <v>0</v>
      </c>
      <c r="F24" s="13" t="s">
        <v>578</v>
      </c>
    </row>
    <row r="25" spans="1:6" x14ac:dyDescent="0.25">
      <c r="C25" s="12"/>
    </row>
    <row r="26" spans="1:6" x14ac:dyDescent="0.25">
      <c r="C26" s="12"/>
      <c r="D26" s="3" t="s">
        <v>432</v>
      </c>
      <c r="E26" s="132" t="s">
        <v>431</v>
      </c>
      <c r="F26" s="135" t="s">
        <v>198</v>
      </c>
    </row>
    <row r="27" spans="1:6" x14ac:dyDescent="0.25">
      <c r="A27" s="2">
        <v>4</v>
      </c>
      <c r="B27" s="12" t="s">
        <v>433</v>
      </c>
      <c r="C27" s="12"/>
      <c r="D27" s="6"/>
      <c r="E27" s="6"/>
      <c r="F27" s="47" t="s">
        <v>430</v>
      </c>
    </row>
    <row r="28" spans="1:6" x14ac:dyDescent="0.25">
      <c r="A28" s="2">
        <v>5</v>
      </c>
      <c r="B28" s="12" t="s">
        <v>333</v>
      </c>
      <c r="D28" s="136" t="e">
        <f>'27-Allocators'!G15</f>
        <v>#DIV/0!</v>
      </c>
      <c r="E28" s="136" t="e">
        <f>'27-Allocators'!G15</f>
        <v>#DIV/0!</v>
      </c>
      <c r="F28" s="47" t="str">
        <f>"27-Allocators, L "&amp;'27-Allocators'!A15&amp;""</f>
        <v>27-Allocators, L 9</v>
      </c>
    </row>
    <row r="29" spans="1:6" x14ac:dyDescent="0.25">
      <c r="A29" s="2">
        <v>6</v>
      </c>
      <c r="B29" s="12" t="s">
        <v>441</v>
      </c>
      <c r="C29" s="12"/>
      <c r="D29" s="65" t="e">
        <f>D27*D28</f>
        <v>#DIV/0!</v>
      </c>
      <c r="E29" s="65" t="e">
        <f>E27*E28</f>
        <v>#DIV/0!</v>
      </c>
      <c r="F29" s="13" t="str">
        <f>"L "&amp;A27&amp;" * L "&amp;A28&amp;""</f>
        <v>L 4 * L 5</v>
      </c>
    </row>
    <row r="30" spans="1:6" x14ac:dyDescent="0.25">
      <c r="C30" s="12"/>
    </row>
    <row r="31" spans="1:6" x14ac:dyDescent="0.25">
      <c r="B31" s="12" t="s">
        <v>438</v>
      </c>
    </row>
    <row r="32" spans="1:6" x14ac:dyDescent="0.25">
      <c r="C32" s="32"/>
      <c r="D32" s="33"/>
      <c r="E32" s="35"/>
    </row>
    <row r="33" spans="1:6" x14ac:dyDescent="0.25">
      <c r="D33" s="3" t="s">
        <v>432</v>
      </c>
      <c r="E33" s="132" t="s">
        <v>431</v>
      </c>
      <c r="F33" s="135" t="s">
        <v>198</v>
      </c>
    </row>
    <row r="34" spans="1:6" x14ac:dyDescent="0.25">
      <c r="A34" s="2">
        <v>7</v>
      </c>
      <c r="C34" s="12"/>
      <c r="D34" s="6"/>
      <c r="E34" s="6"/>
      <c r="F34" s="13" t="s">
        <v>395</v>
      </c>
    </row>
    <row r="37" spans="1:6" x14ac:dyDescent="0.25">
      <c r="B37" s="12" t="s">
        <v>442</v>
      </c>
      <c r="D37" s="3" t="s">
        <v>432</v>
      </c>
      <c r="E37" s="132" t="s">
        <v>431</v>
      </c>
      <c r="F37" s="135" t="s">
        <v>198</v>
      </c>
    </row>
    <row r="38" spans="1:6" x14ac:dyDescent="0.25">
      <c r="A38" s="2">
        <v>8</v>
      </c>
      <c r="D38" s="111" t="e">
        <f>D24+D29</f>
        <v>#DIV/0!</v>
      </c>
      <c r="E38" s="111" t="e">
        <f>E24+E29</f>
        <v>#DIV/0!</v>
      </c>
      <c r="F38" s="13" t="str">
        <f>"L "&amp;A24&amp;" + L "&amp;A29&amp;""</f>
        <v>L 3 + L 6</v>
      </c>
    </row>
    <row r="39" spans="1:6" x14ac:dyDescent="0.25">
      <c r="A39" s="2"/>
      <c r="D39" s="111"/>
      <c r="E39" s="111"/>
      <c r="F39" s="13"/>
    </row>
    <row r="40" spans="1:6" x14ac:dyDescent="0.25">
      <c r="B40" t="s">
        <v>444</v>
      </c>
    </row>
    <row r="41" spans="1:6" x14ac:dyDescent="0.25">
      <c r="A41" s="2">
        <v>9</v>
      </c>
      <c r="B41" s="12" t="s">
        <v>442</v>
      </c>
      <c r="D41" s="48" t="e">
        <f>(D38+E38)/2</f>
        <v>#DIV/0!</v>
      </c>
      <c r="E41" s="111"/>
      <c r="F41" s="13" t="str">
        <f>"Sum of Line "&amp;A38&amp;" / 2"</f>
        <v>Sum of Line 8 / 2</v>
      </c>
    </row>
    <row r="42" spans="1:6" x14ac:dyDescent="0.25">
      <c r="B42" s="12"/>
    </row>
    <row r="43" spans="1:6" x14ac:dyDescent="0.25">
      <c r="B43" s="1" t="s">
        <v>552</v>
      </c>
      <c r="C43" s="12"/>
    </row>
    <row r="44" spans="1:6" x14ac:dyDescent="0.25">
      <c r="C44" s="12"/>
    </row>
    <row r="45" spans="1:6" x14ac:dyDescent="0.25">
      <c r="A45" s="2"/>
      <c r="F45" s="135" t="s">
        <v>198</v>
      </c>
    </row>
    <row r="46" spans="1:6" x14ac:dyDescent="0.25">
      <c r="A46" s="2">
        <v>10</v>
      </c>
      <c r="B46" s="12" t="s">
        <v>551</v>
      </c>
      <c r="E46" s="888"/>
      <c r="F46" s="13" t="s">
        <v>33</v>
      </c>
    </row>
    <row r="49" spans="2:2" x14ac:dyDescent="0.25">
      <c r="B49" s="1" t="s">
        <v>420</v>
      </c>
    </row>
    <row r="50" spans="2:2" x14ac:dyDescent="0.25">
      <c r="B50" s="12" t="s">
        <v>435</v>
      </c>
    </row>
    <row r="51" spans="2:2" x14ac:dyDescent="0.25">
      <c r="B51" s="12" t="s">
        <v>1348</v>
      </c>
    </row>
    <row r="52" spans="2:2" x14ac:dyDescent="0.25">
      <c r="B52" s="12" t="s">
        <v>1349</v>
      </c>
    </row>
    <row r="53" spans="2:2" x14ac:dyDescent="0.25">
      <c r="B53" s="12" t="s">
        <v>577</v>
      </c>
    </row>
    <row r="54" spans="2:2" x14ac:dyDescent="0.25">
      <c r="B54" s="12" t="str">
        <f>"2) For any Electric Plant Held for Future Use classified as General note amount on Line "&amp;A27&amp;"."</f>
        <v>2) For any Electric Plant Held for Future Use classified as General note amount on Line 4.</v>
      </c>
    </row>
    <row r="55" spans="2:2" x14ac:dyDescent="0.25">
      <c r="B55" s="12" t="s">
        <v>1350</v>
      </c>
    </row>
    <row r="56" spans="2:2" x14ac:dyDescent="0.25">
      <c r="B56" s="12" t="s">
        <v>436</v>
      </c>
    </row>
    <row r="57" spans="2:2" x14ac:dyDescent="0.25">
      <c r="B57" s="551" t="s">
        <v>1899</v>
      </c>
    </row>
    <row r="58" spans="2:2" x14ac:dyDescent="0.25">
      <c r="B58" s="12" t="s">
        <v>1347</v>
      </c>
    </row>
    <row r="59" spans="2:2" x14ac:dyDescent="0.25">
      <c r="B59" s="12"/>
    </row>
    <row r="60" spans="2:2" x14ac:dyDescent="0.25">
      <c r="B60" s="1" t="s">
        <v>256</v>
      </c>
    </row>
    <row r="61" spans="2:2" x14ac:dyDescent="0.25">
      <c r="B61" s="12" t="s">
        <v>1358</v>
      </c>
    </row>
  </sheetData>
  <pageMargins left="0.7" right="0.7" top="0.75" bottom="0.75" header="0.3" footer="0.3"/>
  <pageSetup scale="80" orientation="portrait" cellComments="asDisplayed" r:id="rId1"/>
  <headerFooter>
    <oddHeader>&amp;CSchedule 11
Plant Held for Future Use
&amp;"Arial,Bold"Attachment 5</oddHeader>
    <oddFooter>&amp;R11-PHFU</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9"/>
  <sheetViews>
    <sheetView zoomScale="85" zoomScaleNormal="85" workbookViewId="0"/>
  </sheetViews>
  <sheetFormatPr defaultRowHeight="13.2" x14ac:dyDescent="0.25"/>
  <cols>
    <col min="1" max="1" width="4.6640625" customWidth="1"/>
    <col min="2" max="2" width="5.6640625" customWidth="1"/>
    <col min="3" max="10" width="12.6640625" customWidth="1"/>
    <col min="12" max="12" width="9.109375" style="14"/>
  </cols>
  <sheetData>
    <row r="1" spans="1:10" x14ac:dyDescent="0.25">
      <c r="A1" s="1" t="s">
        <v>321</v>
      </c>
    </row>
    <row r="2" spans="1:10" x14ac:dyDescent="0.25">
      <c r="I2" s="620" t="s">
        <v>272</v>
      </c>
      <c r="J2" s="620"/>
    </row>
    <row r="3" spans="1:10" x14ac:dyDescent="0.25">
      <c r="B3" t="s">
        <v>346</v>
      </c>
    </row>
    <row r="5" spans="1:10" x14ac:dyDescent="0.25">
      <c r="B5" t="s">
        <v>341</v>
      </c>
    </row>
    <row r="6" spans="1:10" x14ac:dyDescent="0.25">
      <c r="B6" t="s">
        <v>347</v>
      </c>
    </row>
    <row r="7" spans="1:10" x14ac:dyDescent="0.25">
      <c r="F7" s="82" t="s">
        <v>250</v>
      </c>
      <c r="H7" s="82" t="s">
        <v>2192</v>
      </c>
    </row>
    <row r="8" spans="1:10" x14ac:dyDescent="0.25">
      <c r="B8" s="14" t="s">
        <v>2191</v>
      </c>
      <c r="C8" s="14"/>
      <c r="D8" s="14"/>
      <c r="E8" s="14"/>
      <c r="F8" s="105"/>
      <c r="G8" s="105"/>
      <c r="H8" s="105"/>
      <c r="I8" s="105"/>
    </row>
    <row r="9" spans="1:10" x14ac:dyDescent="0.25">
      <c r="B9" s="14"/>
      <c r="C9" s="14"/>
      <c r="D9" s="14"/>
      <c r="E9" s="14"/>
      <c r="F9" s="105"/>
      <c r="G9" s="105"/>
      <c r="H9" s="105"/>
      <c r="I9" s="105"/>
    </row>
    <row r="10" spans="1:10" x14ac:dyDescent="0.25">
      <c r="B10" s="14"/>
      <c r="C10" s="14"/>
      <c r="D10" s="14"/>
      <c r="E10" s="14"/>
      <c r="F10" s="1185" t="s">
        <v>565</v>
      </c>
      <c r="G10" s="14"/>
      <c r="H10" s="1185" t="s">
        <v>565</v>
      </c>
      <c r="I10" s="14"/>
    </row>
    <row r="12" spans="1:10" x14ac:dyDescent="0.25">
      <c r="B12" s="551" t="s">
        <v>418</v>
      </c>
    </row>
    <row r="13" spans="1:10" x14ac:dyDescent="0.25">
      <c r="B13" s="551"/>
    </row>
    <row r="14" spans="1:10" x14ac:dyDescent="0.25">
      <c r="B14" s="551" t="s">
        <v>416</v>
      </c>
    </row>
    <row r="15" spans="1:10" x14ac:dyDescent="0.25">
      <c r="B15" s="551" t="s">
        <v>417</v>
      </c>
    </row>
    <row r="16" spans="1:10" x14ac:dyDescent="0.25">
      <c r="B16" s="551"/>
      <c r="G16" s="689" t="s">
        <v>419</v>
      </c>
    </row>
    <row r="17" spans="1:10" x14ac:dyDescent="0.25">
      <c r="A17" s="53" t="s">
        <v>360</v>
      </c>
      <c r="G17" s="3" t="s">
        <v>73</v>
      </c>
      <c r="I17" s="53" t="s">
        <v>262</v>
      </c>
    </row>
    <row r="18" spans="1:10" x14ac:dyDescent="0.25">
      <c r="A18" s="689">
        <v>1</v>
      </c>
      <c r="F18" s="37" t="s">
        <v>342</v>
      </c>
      <c r="G18" s="65">
        <v>0</v>
      </c>
      <c r="I18" s="551" t="s">
        <v>428</v>
      </c>
    </row>
    <row r="19" spans="1:10" x14ac:dyDescent="0.25">
      <c r="A19" s="689">
        <v>2</v>
      </c>
      <c r="F19" s="549" t="s">
        <v>422</v>
      </c>
      <c r="G19" s="65">
        <v>0</v>
      </c>
      <c r="I19" s="551" t="s">
        <v>428</v>
      </c>
    </row>
    <row r="20" spans="1:10" x14ac:dyDescent="0.25">
      <c r="A20" s="689">
        <v>3</v>
      </c>
      <c r="F20" s="37" t="s">
        <v>344</v>
      </c>
      <c r="G20" s="65">
        <v>0</v>
      </c>
      <c r="I20" s="551" t="s">
        <v>428</v>
      </c>
    </row>
    <row r="21" spans="1:10" x14ac:dyDescent="0.25">
      <c r="A21" s="689">
        <v>4</v>
      </c>
      <c r="F21" s="37" t="s">
        <v>345</v>
      </c>
      <c r="G21" s="65">
        <f>(G19+G20)/2</f>
        <v>0</v>
      </c>
      <c r="I21" s="551" t="str">
        <f>"Average of Lines "&amp;A19&amp;" and "&amp;A20&amp;"."</f>
        <v>Average of Lines 2 and 3.</v>
      </c>
    </row>
    <row r="22" spans="1:10" x14ac:dyDescent="0.25">
      <c r="I22" s="551"/>
    </row>
    <row r="24" spans="1:10" x14ac:dyDescent="0.25">
      <c r="A24" s="689">
        <v>5</v>
      </c>
      <c r="C24" s="1" t="s">
        <v>563</v>
      </c>
      <c r="D24" s="561" t="s">
        <v>564</v>
      </c>
      <c r="G24" s="167" t="s">
        <v>566</v>
      </c>
      <c r="H24" s="561" t="s">
        <v>564</v>
      </c>
      <c r="I24" s="691"/>
      <c r="J24" s="553"/>
    </row>
    <row r="25" spans="1:10" x14ac:dyDescent="0.25">
      <c r="A25" s="689"/>
      <c r="C25" s="1"/>
      <c r="D25" s="553"/>
      <c r="E25" s="14"/>
      <c r="G25" s="691"/>
      <c r="H25" s="553"/>
      <c r="I25" s="691"/>
      <c r="J25" s="553"/>
    </row>
    <row r="26" spans="1:10" x14ac:dyDescent="0.25">
      <c r="D26" s="121" t="s">
        <v>1945</v>
      </c>
      <c r="E26" s="121" t="s">
        <v>413</v>
      </c>
      <c r="F26" s="14"/>
      <c r="G26" s="14"/>
      <c r="H26" s="121" t="s">
        <v>1945</v>
      </c>
      <c r="I26" s="689" t="s">
        <v>413</v>
      </c>
      <c r="J26" s="121"/>
    </row>
    <row r="27" spans="1:10" x14ac:dyDescent="0.25">
      <c r="C27" s="689" t="s">
        <v>330</v>
      </c>
      <c r="D27" s="121" t="s">
        <v>413</v>
      </c>
      <c r="E27" s="121" t="s">
        <v>414</v>
      </c>
      <c r="F27" s="14"/>
      <c r="G27" s="121" t="s">
        <v>330</v>
      </c>
      <c r="H27" s="121" t="s">
        <v>413</v>
      </c>
      <c r="I27" s="689" t="s">
        <v>414</v>
      </c>
      <c r="J27" s="121"/>
    </row>
    <row r="28" spans="1:10" x14ac:dyDescent="0.25">
      <c r="C28" s="689" t="s">
        <v>413</v>
      </c>
      <c r="D28" s="121" t="s">
        <v>414</v>
      </c>
      <c r="E28" s="121" t="s">
        <v>415</v>
      </c>
      <c r="F28" s="14"/>
      <c r="G28" s="121" t="s">
        <v>413</v>
      </c>
      <c r="H28" s="121" t="s">
        <v>414</v>
      </c>
      <c r="I28" s="689" t="s">
        <v>415</v>
      </c>
      <c r="J28" s="121"/>
    </row>
    <row r="29" spans="1:10" x14ac:dyDescent="0.25">
      <c r="A29" s="689"/>
      <c r="B29" s="3" t="s">
        <v>212</v>
      </c>
      <c r="C29" s="3" t="s">
        <v>414</v>
      </c>
      <c r="D29" s="135" t="s">
        <v>1946</v>
      </c>
      <c r="E29" s="135" t="s">
        <v>354</v>
      </c>
      <c r="F29" s="14"/>
      <c r="G29" s="135" t="s">
        <v>414</v>
      </c>
      <c r="H29" s="135" t="s">
        <v>1946</v>
      </c>
      <c r="I29" s="3" t="s">
        <v>354</v>
      </c>
      <c r="J29" s="135"/>
    </row>
    <row r="30" spans="1:10" x14ac:dyDescent="0.25">
      <c r="A30" s="689">
        <v>6</v>
      </c>
      <c r="B30">
        <v>2011</v>
      </c>
      <c r="C30" s="889"/>
      <c r="D30" s="889"/>
      <c r="E30" s="105"/>
      <c r="G30" s="105"/>
      <c r="H30" s="105"/>
      <c r="I30" s="105"/>
      <c r="J30" s="14"/>
    </row>
    <row r="31" spans="1:10" x14ac:dyDescent="0.25">
      <c r="A31" s="689">
        <v>7</v>
      </c>
      <c r="B31">
        <v>2012</v>
      </c>
      <c r="C31" s="105"/>
      <c r="D31" s="105"/>
      <c r="E31" s="889"/>
      <c r="G31" s="105"/>
      <c r="H31" s="105"/>
      <c r="I31" s="105"/>
      <c r="J31" s="14"/>
    </row>
    <row r="32" spans="1:10" x14ac:dyDescent="0.25">
      <c r="A32" s="689">
        <v>8</v>
      </c>
      <c r="B32">
        <v>2013</v>
      </c>
      <c r="C32" s="105"/>
      <c r="D32" s="105"/>
      <c r="E32" s="105"/>
      <c r="G32" s="105"/>
      <c r="H32" s="105"/>
      <c r="I32" s="105"/>
      <c r="J32" s="14"/>
    </row>
    <row r="33" spans="1:10" x14ac:dyDescent="0.25">
      <c r="A33" s="689">
        <v>9</v>
      </c>
      <c r="B33">
        <v>2014</v>
      </c>
      <c r="C33" s="105"/>
      <c r="D33" s="105"/>
      <c r="E33" s="105"/>
      <c r="G33" s="105"/>
      <c r="H33" s="105"/>
      <c r="I33" s="105"/>
      <c r="J33" s="14"/>
    </row>
    <row r="34" spans="1:10" x14ac:dyDescent="0.25">
      <c r="A34" s="689">
        <v>10</v>
      </c>
      <c r="B34">
        <v>2015</v>
      </c>
      <c r="C34" s="105"/>
      <c r="D34" s="105"/>
      <c r="E34" s="105"/>
      <c r="G34" s="105"/>
      <c r="H34" s="105"/>
      <c r="I34" s="105"/>
      <c r="J34" s="14"/>
    </row>
    <row r="35" spans="1:10" x14ac:dyDescent="0.25">
      <c r="A35" s="689">
        <v>11</v>
      </c>
      <c r="B35">
        <v>2016</v>
      </c>
      <c r="C35" s="105"/>
      <c r="D35" s="105"/>
      <c r="E35" s="105"/>
      <c r="G35" s="105"/>
      <c r="H35" s="105"/>
      <c r="I35" s="105"/>
      <c r="J35" s="14"/>
    </row>
    <row r="36" spans="1:10" x14ac:dyDescent="0.25">
      <c r="A36" s="689">
        <v>12</v>
      </c>
      <c r="B36">
        <v>2017</v>
      </c>
      <c r="C36" s="105"/>
      <c r="D36" s="105"/>
      <c r="E36" s="105"/>
      <c r="G36" s="105"/>
      <c r="H36" s="105"/>
      <c r="I36" s="105"/>
      <c r="J36" s="14"/>
    </row>
    <row r="37" spans="1:10" x14ac:dyDescent="0.25">
      <c r="A37" s="689">
        <v>13</v>
      </c>
      <c r="B37">
        <v>2018</v>
      </c>
      <c r="C37" s="105"/>
      <c r="D37" s="105"/>
      <c r="E37" s="105"/>
      <c r="G37" s="105"/>
      <c r="H37" s="105"/>
      <c r="I37" s="105"/>
      <c r="J37" s="14"/>
    </row>
    <row r="38" spans="1:10" x14ac:dyDescent="0.25">
      <c r="A38" s="689">
        <v>14</v>
      </c>
      <c r="B38">
        <v>2019</v>
      </c>
      <c r="C38" s="105"/>
      <c r="D38" s="105"/>
      <c r="E38" s="105"/>
      <c r="G38" s="105"/>
      <c r="H38" s="105"/>
      <c r="I38" s="105"/>
      <c r="J38" s="14"/>
    </row>
    <row r="39" spans="1:10" x14ac:dyDescent="0.25">
      <c r="A39" s="689">
        <v>15</v>
      </c>
      <c r="B39">
        <v>2020</v>
      </c>
      <c r="C39" s="105"/>
      <c r="D39" s="105"/>
      <c r="E39" s="105"/>
      <c r="G39" s="105"/>
      <c r="H39" s="105"/>
      <c r="I39" s="105"/>
      <c r="J39" s="14"/>
    </row>
    <row r="40" spans="1:10" x14ac:dyDescent="0.25">
      <c r="A40" s="689">
        <v>16</v>
      </c>
      <c r="B40">
        <v>2021</v>
      </c>
      <c r="C40" s="105"/>
      <c r="D40" s="105"/>
      <c r="E40" s="105"/>
      <c r="G40" s="105"/>
      <c r="H40" s="105"/>
      <c r="I40" s="105"/>
      <c r="J40" s="14"/>
    </row>
    <row r="41" spans="1:10" x14ac:dyDescent="0.25">
      <c r="A41" s="689">
        <v>17</v>
      </c>
      <c r="B41">
        <v>2022</v>
      </c>
      <c r="C41" s="105"/>
      <c r="D41" s="105"/>
      <c r="E41" s="105"/>
      <c r="G41" s="105"/>
      <c r="H41" s="105"/>
      <c r="I41" s="105"/>
      <c r="J41" s="14"/>
    </row>
    <row r="42" spans="1:10" x14ac:dyDescent="0.25">
      <c r="A42" s="689">
        <v>18</v>
      </c>
      <c r="B42">
        <v>2023</v>
      </c>
      <c r="C42" s="105"/>
      <c r="D42" s="105"/>
      <c r="E42" s="105"/>
      <c r="G42" s="105"/>
      <c r="H42" s="105"/>
      <c r="I42" s="105"/>
      <c r="J42" s="14"/>
    </row>
    <row r="43" spans="1:10" x14ac:dyDescent="0.25">
      <c r="A43" s="689">
        <v>19</v>
      </c>
      <c r="B43">
        <v>2024</v>
      </c>
      <c r="C43" s="105"/>
      <c r="D43" s="105"/>
      <c r="E43" s="105"/>
      <c r="G43" s="105"/>
      <c r="H43" s="105"/>
      <c r="I43" s="105"/>
      <c r="J43" s="14"/>
    </row>
    <row r="44" spans="1:10" x14ac:dyDescent="0.25">
      <c r="A44" s="689">
        <v>20</v>
      </c>
      <c r="B44">
        <v>2025</v>
      </c>
      <c r="C44" s="105"/>
      <c r="D44" s="105"/>
      <c r="E44" s="105"/>
      <c r="G44" s="105"/>
      <c r="H44" s="105"/>
      <c r="I44" s="105"/>
      <c r="J44" s="14"/>
    </row>
    <row r="45" spans="1:10" x14ac:dyDescent="0.25">
      <c r="A45" s="689">
        <v>21</v>
      </c>
      <c r="B45">
        <v>2026</v>
      </c>
      <c r="C45" s="105"/>
      <c r="D45" s="105"/>
      <c r="E45" s="105"/>
      <c r="G45" s="105"/>
      <c r="H45" s="105"/>
      <c r="I45" s="105"/>
      <c r="J45" s="14"/>
    </row>
    <row r="46" spans="1:10" x14ac:dyDescent="0.25">
      <c r="A46" s="689">
        <v>22</v>
      </c>
      <c r="B46">
        <v>2027</v>
      </c>
      <c r="C46" s="105"/>
      <c r="D46" s="105"/>
      <c r="E46" s="105"/>
      <c r="G46" s="105"/>
      <c r="H46" s="105"/>
      <c r="I46" s="105"/>
      <c r="J46" s="14"/>
    </row>
    <row r="47" spans="1:10" x14ac:dyDescent="0.25">
      <c r="A47" s="689">
        <v>23</v>
      </c>
      <c r="B47">
        <v>2028</v>
      </c>
      <c r="C47" s="105"/>
      <c r="D47" s="105"/>
      <c r="E47" s="105"/>
      <c r="G47" s="105"/>
      <c r="H47" s="105"/>
      <c r="I47" s="105"/>
      <c r="J47" s="14"/>
    </row>
    <row r="48" spans="1:10" x14ac:dyDescent="0.25">
      <c r="A48" s="689">
        <v>24</v>
      </c>
      <c r="B48">
        <v>2029</v>
      </c>
      <c r="C48" s="105"/>
      <c r="D48" s="105"/>
      <c r="E48" s="105"/>
      <c r="G48" s="105"/>
      <c r="H48" s="105"/>
      <c r="I48" s="105"/>
      <c r="J48" s="14"/>
    </row>
    <row r="49" spans="1:10" x14ac:dyDescent="0.25">
      <c r="A49" s="689">
        <v>25</v>
      </c>
      <c r="B49">
        <v>2030</v>
      </c>
      <c r="C49" s="105"/>
      <c r="D49" s="105"/>
      <c r="E49" s="105"/>
      <c r="G49" s="105"/>
      <c r="H49" s="105"/>
      <c r="I49" s="105"/>
      <c r="J49" s="14"/>
    </row>
    <row r="50" spans="1:10" x14ac:dyDescent="0.25">
      <c r="A50" s="689">
        <v>26</v>
      </c>
      <c r="B50">
        <v>2031</v>
      </c>
      <c r="C50" s="105"/>
      <c r="D50" s="105"/>
      <c r="E50" s="105"/>
      <c r="G50" s="105"/>
      <c r="H50" s="105"/>
      <c r="I50" s="105"/>
      <c r="J50" s="14"/>
    </row>
    <row r="51" spans="1:10" x14ac:dyDescent="0.25">
      <c r="A51" s="689">
        <v>27</v>
      </c>
      <c r="B51">
        <v>2032</v>
      </c>
      <c r="C51" s="105"/>
      <c r="D51" s="105"/>
      <c r="E51" s="105"/>
      <c r="G51" s="105"/>
      <c r="H51" s="105"/>
      <c r="I51" s="105"/>
      <c r="J51" s="14"/>
    </row>
    <row r="52" spans="1:10" x14ac:dyDescent="0.25">
      <c r="A52" s="689">
        <v>28</v>
      </c>
      <c r="B52">
        <v>2033</v>
      </c>
      <c r="C52" s="105"/>
      <c r="D52" s="105"/>
      <c r="E52" s="105"/>
      <c r="G52" s="105"/>
      <c r="H52" s="105"/>
      <c r="I52" s="105"/>
      <c r="J52" s="14"/>
    </row>
    <row r="53" spans="1:10" x14ac:dyDescent="0.25">
      <c r="A53" s="689">
        <v>29</v>
      </c>
      <c r="B53">
        <v>2034</v>
      </c>
      <c r="C53" s="105"/>
      <c r="D53" s="105"/>
      <c r="E53" s="105"/>
      <c r="G53" s="105"/>
      <c r="H53" s="105"/>
      <c r="I53" s="105"/>
      <c r="J53" s="14"/>
    </row>
    <row r="54" spans="1:10" x14ac:dyDescent="0.25">
      <c r="A54" s="689">
        <v>30</v>
      </c>
      <c r="B54">
        <v>2035</v>
      </c>
      <c r="C54" s="105"/>
      <c r="D54" s="105"/>
      <c r="E54" s="105"/>
      <c r="G54" s="105"/>
      <c r="H54" s="105"/>
      <c r="I54" s="105"/>
      <c r="J54" s="14"/>
    </row>
    <row r="55" spans="1:10" x14ac:dyDescent="0.25">
      <c r="A55" s="689">
        <v>31</v>
      </c>
      <c r="B55" s="692" t="s">
        <v>565</v>
      </c>
    </row>
    <row r="56" spans="1:10" x14ac:dyDescent="0.25">
      <c r="A56" s="689"/>
      <c r="B56" s="692"/>
    </row>
    <row r="57" spans="1:10" x14ac:dyDescent="0.25">
      <c r="A57" s="689"/>
      <c r="B57" s="45" t="s">
        <v>256</v>
      </c>
      <c r="C57" s="14"/>
      <c r="D57" s="14"/>
      <c r="E57" s="14"/>
      <c r="F57" s="14"/>
      <c r="G57" s="14"/>
      <c r="H57" s="14"/>
      <c r="I57" s="14"/>
      <c r="J57" s="14"/>
    </row>
    <row r="58" spans="1:10" x14ac:dyDescent="0.25">
      <c r="A58" s="689"/>
      <c r="B58" s="553" t="s">
        <v>1947</v>
      </c>
      <c r="C58" s="14"/>
      <c r="D58" s="14"/>
      <c r="E58" s="14"/>
      <c r="F58" s="14"/>
      <c r="G58" s="14"/>
      <c r="H58" s="14"/>
      <c r="I58" s="14"/>
      <c r="J58" s="14"/>
    </row>
    <row r="59" spans="1:10" x14ac:dyDescent="0.25">
      <c r="A59" s="689"/>
      <c r="B59" s="14"/>
      <c r="C59" s="14"/>
      <c r="D59" s="14"/>
      <c r="E59" s="14"/>
      <c r="F59" s="14"/>
      <c r="G59" s="14"/>
      <c r="H59" s="14"/>
      <c r="I59" s="14"/>
      <c r="J59" s="14"/>
    </row>
    <row r="60" spans="1:10" x14ac:dyDescent="0.25">
      <c r="A60" s="689"/>
      <c r="B60" s="45" t="s">
        <v>420</v>
      </c>
      <c r="C60" s="14"/>
      <c r="D60" s="14"/>
      <c r="E60" s="14"/>
      <c r="F60" s="14"/>
      <c r="G60" s="14"/>
      <c r="H60" s="14"/>
      <c r="I60" s="14"/>
      <c r="J60" s="14"/>
    </row>
    <row r="61" spans="1:10" x14ac:dyDescent="0.25">
      <c r="A61" s="689"/>
      <c r="B61" s="553" t="s">
        <v>421</v>
      </c>
      <c r="C61" s="14"/>
      <c r="D61" s="14"/>
      <c r="E61" s="14"/>
      <c r="F61" s="14"/>
      <c r="G61" s="14"/>
      <c r="H61" s="14"/>
      <c r="I61" s="14"/>
      <c r="J61" s="14"/>
    </row>
    <row r="62" spans="1:10" x14ac:dyDescent="0.25">
      <c r="A62" s="689"/>
      <c r="B62" s="550" t="s">
        <v>1948</v>
      </c>
      <c r="C62" s="14"/>
      <c r="D62" s="14"/>
      <c r="E62" s="14"/>
      <c r="F62" s="14"/>
      <c r="G62" s="14"/>
      <c r="H62" s="14"/>
      <c r="I62" s="14"/>
      <c r="J62" s="14"/>
    </row>
    <row r="63" spans="1:10" x14ac:dyDescent="0.25">
      <c r="A63" s="689"/>
      <c r="B63" s="550" t="s">
        <v>1949</v>
      </c>
      <c r="C63" s="14"/>
      <c r="D63" s="14"/>
      <c r="E63" s="14"/>
      <c r="F63" s="14"/>
      <c r="G63" s="14"/>
      <c r="H63" s="14"/>
      <c r="I63" s="14"/>
      <c r="J63" s="14"/>
    </row>
    <row r="64" spans="1:10" x14ac:dyDescent="0.25">
      <c r="A64" s="689"/>
      <c r="B64" s="550" t="s">
        <v>426</v>
      </c>
      <c r="C64" s="14"/>
      <c r="D64" s="14"/>
      <c r="E64" s="14"/>
      <c r="F64" s="14"/>
      <c r="G64" s="14"/>
      <c r="H64" s="14"/>
      <c r="I64" s="14"/>
      <c r="J64" s="14"/>
    </row>
    <row r="65" spans="1:10" x14ac:dyDescent="0.25">
      <c r="A65" s="689"/>
      <c r="B65" s="550" t="s">
        <v>427</v>
      </c>
      <c r="C65" s="14"/>
      <c r="D65" s="14"/>
      <c r="E65" s="14"/>
      <c r="F65" s="14"/>
      <c r="G65" s="14"/>
      <c r="H65" s="14"/>
      <c r="I65" s="14"/>
      <c r="J65" s="14"/>
    </row>
    <row r="66" spans="1:10" x14ac:dyDescent="0.25">
      <c r="B66" s="550" t="s">
        <v>424</v>
      </c>
      <c r="C66" s="14"/>
      <c r="D66" s="14"/>
      <c r="E66" s="14"/>
      <c r="F66" s="14"/>
      <c r="G66" s="14"/>
      <c r="H66" s="14"/>
      <c r="I66" s="14"/>
      <c r="J66" s="14"/>
    </row>
    <row r="67" spans="1:10" x14ac:dyDescent="0.25">
      <c r="B67" s="1160" t="s">
        <v>567</v>
      </c>
      <c r="C67" s="14"/>
      <c r="D67" s="14"/>
      <c r="E67" s="14"/>
      <c r="F67" s="14"/>
      <c r="G67" s="14"/>
      <c r="H67" s="14"/>
      <c r="I67" s="14"/>
      <c r="J67" s="14"/>
    </row>
    <row r="68" spans="1:10" x14ac:dyDescent="0.25">
      <c r="B68" s="553" t="s">
        <v>425</v>
      </c>
      <c r="C68" s="14"/>
      <c r="D68" s="14"/>
      <c r="E68" s="14"/>
      <c r="F68" s="14"/>
      <c r="G68" s="14"/>
      <c r="H68" s="14"/>
      <c r="I68" s="14"/>
      <c r="J68" s="14"/>
    </row>
    <row r="69" spans="1:10" x14ac:dyDescent="0.25">
      <c r="B69" s="553" t="s">
        <v>568</v>
      </c>
      <c r="C69" s="14"/>
      <c r="D69" s="14"/>
      <c r="E69" s="14"/>
      <c r="F69" s="14"/>
      <c r="G69" s="14"/>
      <c r="H69" s="14"/>
      <c r="I69" s="14"/>
      <c r="J69" s="14"/>
    </row>
  </sheetData>
  <pageMargins left="0.7" right="0.7" top="0.75" bottom="0.75" header="0.3" footer="0.3"/>
  <pageSetup scale="80" orientation="portrait" cellComments="asDisplayed" r:id="rId1"/>
  <headerFooter>
    <oddHeader>&amp;CSchedule 12
Abandoned Plant
&amp;"Arial,Bold"Attachment 5</oddHeader>
    <oddFooter>&amp;R&amp;A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3"/>
  <sheetViews>
    <sheetView topLeftCell="A43" zoomScale="90" zoomScaleNormal="90" workbookViewId="0">
      <selection activeCell="E67" sqref="E67"/>
    </sheetView>
  </sheetViews>
  <sheetFormatPr defaultRowHeight="13.2" x14ac:dyDescent="0.25"/>
  <cols>
    <col min="1" max="1" width="4.6640625" customWidth="1"/>
    <col min="2" max="2" width="3.6640625" customWidth="1"/>
    <col min="3" max="3" width="14.6640625" customWidth="1"/>
    <col min="4" max="4" width="8.6640625" customWidth="1"/>
    <col min="5" max="5" width="15.33203125" customWidth="1"/>
    <col min="6" max="6" width="24.6640625" customWidth="1"/>
    <col min="7" max="7" width="35.6640625" customWidth="1"/>
    <col min="11" max="11" width="11.109375" bestFit="1" customWidth="1"/>
  </cols>
  <sheetData>
    <row r="1" spans="1:7" x14ac:dyDescent="0.25">
      <c r="A1" s="1" t="s">
        <v>6</v>
      </c>
    </row>
    <row r="2" spans="1:7" x14ac:dyDescent="0.25">
      <c r="F2" s="44" t="s">
        <v>17</v>
      </c>
    </row>
    <row r="3" spans="1:7" x14ac:dyDescent="0.25">
      <c r="B3" s="1" t="s">
        <v>177</v>
      </c>
    </row>
    <row r="4" spans="1:7" x14ac:dyDescent="0.25">
      <c r="C4" s="12" t="s">
        <v>613</v>
      </c>
      <c r="E4" s="18"/>
      <c r="F4" s="28"/>
      <c r="G4" s="27"/>
    </row>
    <row r="5" spans="1:7" x14ac:dyDescent="0.25">
      <c r="C5" s="12" t="s">
        <v>614</v>
      </c>
      <c r="E5" s="18"/>
      <c r="F5" s="28"/>
      <c r="G5" s="27"/>
    </row>
    <row r="6" spans="1:7" x14ac:dyDescent="0.25">
      <c r="E6" s="18"/>
      <c r="F6" s="81"/>
      <c r="G6" s="27"/>
    </row>
    <row r="7" spans="1:7" x14ac:dyDescent="0.25">
      <c r="C7" s="21"/>
      <c r="D7" s="17"/>
      <c r="E7" s="26" t="s">
        <v>213</v>
      </c>
      <c r="F7" s="26" t="s">
        <v>1929</v>
      </c>
      <c r="G7" s="26"/>
    </row>
    <row r="8" spans="1:7" x14ac:dyDescent="0.25">
      <c r="A8" s="55" t="s">
        <v>350</v>
      </c>
      <c r="C8" s="25" t="s">
        <v>211</v>
      </c>
      <c r="D8" s="25" t="s">
        <v>212</v>
      </c>
      <c r="E8" s="25" t="s">
        <v>198</v>
      </c>
      <c r="F8" s="31" t="s">
        <v>1928</v>
      </c>
      <c r="G8" s="29" t="s">
        <v>187</v>
      </c>
    </row>
    <row r="9" spans="1:7" x14ac:dyDescent="0.25">
      <c r="A9" s="2">
        <v>1</v>
      </c>
      <c r="C9" s="19" t="s">
        <v>199</v>
      </c>
      <c r="D9" s="160"/>
      <c r="E9" s="30" t="s">
        <v>612</v>
      </c>
      <c r="F9" s="68"/>
      <c r="G9" s="30" t="s">
        <v>95</v>
      </c>
    </row>
    <row r="10" spans="1:7" x14ac:dyDescent="0.25">
      <c r="A10" s="121">
        <f>A9+1</f>
        <v>2</v>
      </c>
      <c r="B10" s="14"/>
      <c r="C10" s="1101" t="s">
        <v>200</v>
      </c>
      <c r="D10" s="160"/>
      <c r="E10" s="601" t="s">
        <v>33</v>
      </c>
      <c r="F10" s="117"/>
      <c r="G10" s="30"/>
    </row>
    <row r="11" spans="1:7" x14ac:dyDescent="0.25">
      <c r="A11" s="121">
        <f t="shared" ref="A11:A21" si="0">A10+1</f>
        <v>3</v>
      </c>
      <c r="B11" s="14"/>
      <c r="C11" s="1101" t="s">
        <v>201</v>
      </c>
      <c r="D11" s="160"/>
      <c r="E11" s="601" t="s">
        <v>33</v>
      </c>
      <c r="F11" s="117"/>
      <c r="G11" s="30"/>
    </row>
    <row r="12" spans="1:7" x14ac:dyDescent="0.25">
      <c r="A12" s="121">
        <f t="shared" si="0"/>
        <v>4</v>
      </c>
      <c r="B12" s="14"/>
      <c r="C12" s="1101" t="s">
        <v>214</v>
      </c>
      <c r="D12" s="160"/>
      <c r="E12" s="601" t="s">
        <v>33</v>
      </c>
      <c r="F12" s="117"/>
      <c r="G12" s="30"/>
    </row>
    <row r="13" spans="1:7" x14ac:dyDescent="0.25">
      <c r="A13" s="121">
        <f t="shared" si="0"/>
        <v>5</v>
      </c>
      <c r="B13" s="14"/>
      <c r="C13" s="1101" t="s">
        <v>202</v>
      </c>
      <c r="D13" s="160"/>
      <c r="E13" s="601" t="s">
        <v>33</v>
      </c>
      <c r="F13" s="117"/>
      <c r="G13" s="30"/>
    </row>
    <row r="14" spans="1:7" x14ac:dyDescent="0.25">
      <c r="A14" s="121">
        <f t="shared" si="0"/>
        <v>6</v>
      </c>
      <c r="B14" s="14"/>
      <c r="C14" s="1101" t="s">
        <v>203</v>
      </c>
      <c r="D14" s="160"/>
      <c r="E14" s="601" t="s">
        <v>33</v>
      </c>
      <c r="F14" s="117"/>
      <c r="G14" s="30"/>
    </row>
    <row r="15" spans="1:7" x14ac:dyDescent="0.25">
      <c r="A15" s="121">
        <f t="shared" si="0"/>
        <v>7</v>
      </c>
      <c r="B15" s="14"/>
      <c r="C15" s="1101" t="s">
        <v>1670</v>
      </c>
      <c r="D15" s="160"/>
      <c r="E15" s="601" t="s">
        <v>33</v>
      </c>
      <c r="F15" s="117"/>
      <c r="G15" s="30"/>
    </row>
    <row r="16" spans="1:7" x14ac:dyDescent="0.25">
      <c r="A16" s="121">
        <f t="shared" si="0"/>
        <v>8</v>
      </c>
      <c r="B16" s="14"/>
      <c r="C16" s="1101" t="s">
        <v>205</v>
      </c>
      <c r="D16" s="160"/>
      <c r="E16" s="601" t="s">
        <v>33</v>
      </c>
      <c r="F16" s="117"/>
      <c r="G16" s="30"/>
    </row>
    <row r="17" spans="1:7" x14ac:dyDescent="0.25">
      <c r="A17" s="121">
        <f t="shared" si="0"/>
        <v>9</v>
      </c>
      <c r="B17" s="14"/>
      <c r="C17" s="1101" t="s">
        <v>206</v>
      </c>
      <c r="D17" s="160"/>
      <c r="E17" s="601" t="s">
        <v>33</v>
      </c>
      <c r="F17" s="117"/>
      <c r="G17" s="30"/>
    </row>
    <row r="18" spans="1:7" x14ac:dyDescent="0.25">
      <c r="A18" s="121">
        <f t="shared" si="0"/>
        <v>10</v>
      </c>
      <c r="B18" s="14"/>
      <c r="C18" s="1101" t="s">
        <v>207</v>
      </c>
      <c r="D18" s="160"/>
      <c r="E18" s="601" t="s">
        <v>33</v>
      </c>
      <c r="F18" s="117"/>
      <c r="G18" s="30"/>
    </row>
    <row r="19" spans="1:7" x14ac:dyDescent="0.25">
      <c r="A19" s="121">
        <f t="shared" si="0"/>
        <v>11</v>
      </c>
      <c r="B19" s="14"/>
      <c r="C19" s="1101" t="s">
        <v>210</v>
      </c>
      <c r="D19" s="160"/>
      <c r="E19" s="601" t="s">
        <v>33</v>
      </c>
      <c r="F19" s="117"/>
      <c r="G19" s="30"/>
    </row>
    <row r="20" spans="1:7" x14ac:dyDescent="0.25">
      <c r="A20" s="121">
        <f t="shared" si="0"/>
        <v>12</v>
      </c>
      <c r="B20" s="14"/>
      <c r="C20" s="1101" t="s">
        <v>209</v>
      </c>
      <c r="D20" s="160"/>
      <c r="E20" s="601" t="s">
        <v>33</v>
      </c>
      <c r="F20" s="590"/>
      <c r="G20" s="30"/>
    </row>
    <row r="21" spans="1:7" x14ac:dyDescent="0.25">
      <c r="A21" s="121">
        <f t="shared" si="0"/>
        <v>13</v>
      </c>
      <c r="B21" s="14"/>
      <c r="C21" s="21" t="s">
        <v>199</v>
      </c>
      <c r="D21" s="160"/>
      <c r="E21" s="30" t="s">
        <v>611</v>
      </c>
      <c r="F21" s="68"/>
      <c r="G21" s="16" t="s">
        <v>100</v>
      </c>
    </row>
    <row r="22" spans="1:7" x14ac:dyDescent="0.25">
      <c r="A22" s="14"/>
      <c r="B22" s="14"/>
      <c r="C22" s="22"/>
      <c r="D22" s="22"/>
      <c r="E22" s="18"/>
      <c r="G22" s="30"/>
    </row>
    <row r="23" spans="1:7" x14ac:dyDescent="0.25">
      <c r="A23" s="121">
        <f>A21+1</f>
        <v>14</v>
      </c>
      <c r="B23" s="14"/>
      <c r="C23" s="22"/>
      <c r="D23" s="22"/>
      <c r="E23" s="593" t="s">
        <v>2206</v>
      </c>
      <c r="F23" s="33">
        <f>SUM(F9:F21)/13</f>
        <v>0</v>
      </c>
      <c r="G23" s="124" t="str">
        <f>"(Sum Line "&amp;A9&amp;" to Line "&amp;A21&amp;") / 13"</f>
        <v>(Sum Line 1 to Line 13) / 13</v>
      </c>
    </row>
    <row r="24" spans="1:7" x14ac:dyDescent="0.25">
      <c r="A24" s="121">
        <f>A23+1</f>
        <v>15</v>
      </c>
      <c r="B24" s="14"/>
      <c r="C24" s="22"/>
      <c r="D24" s="22"/>
      <c r="E24" s="34" t="s">
        <v>340</v>
      </c>
      <c r="F24" s="119" t="e">
        <f>'27-Allocators'!G15</f>
        <v>#DIV/0!</v>
      </c>
      <c r="G24" s="124" t="str">
        <f>"27-Allocators, Line "&amp;'27-Allocators'!A15&amp;""</f>
        <v>27-Allocators, Line 9</v>
      </c>
    </row>
    <row r="25" spans="1:7" x14ac:dyDescent="0.25">
      <c r="A25" s="14"/>
      <c r="B25" s="14"/>
      <c r="C25" s="14"/>
      <c r="D25" s="22"/>
      <c r="E25" s="34"/>
      <c r="F25" s="33"/>
      <c r="G25" s="16"/>
    </row>
    <row r="26" spans="1:7" x14ac:dyDescent="0.25">
      <c r="A26" s="121">
        <f>A24+1</f>
        <v>16</v>
      </c>
      <c r="B26" s="14"/>
      <c r="C26" s="22" t="s">
        <v>102</v>
      </c>
      <c r="D26" s="22"/>
      <c r="E26" s="393" t="s">
        <v>173</v>
      </c>
      <c r="F26" s="33" t="e">
        <f>F21*F24</f>
        <v>#DIV/0!</v>
      </c>
      <c r="G26" s="13" t="str">
        <f>"Line "&amp;A21&amp;" * Line "&amp;A24&amp;""</f>
        <v>Line 13 * Line 15</v>
      </c>
    </row>
    <row r="27" spans="1:7" x14ac:dyDescent="0.25">
      <c r="A27" s="121">
        <f>A26+1</f>
        <v>17</v>
      </c>
      <c r="B27" s="14"/>
      <c r="C27" s="22"/>
      <c r="D27" s="22"/>
      <c r="E27" s="593" t="s">
        <v>2207</v>
      </c>
      <c r="F27" s="33" t="e">
        <f>F23*F24</f>
        <v>#DIV/0!</v>
      </c>
      <c r="G27" s="13" t="str">
        <f>"Line "&amp;A23&amp;" * Line "&amp;A24&amp;""</f>
        <v>Line 14 * Line 15</v>
      </c>
    </row>
    <row r="28" spans="1:7" x14ac:dyDescent="0.25">
      <c r="A28" s="14"/>
      <c r="B28" s="14"/>
      <c r="C28" s="14"/>
      <c r="D28" s="14"/>
      <c r="E28" s="14"/>
      <c r="F28" s="14"/>
    </row>
    <row r="29" spans="1:7" x14ac:dyDescent="0.25">
      <c r="A29" s="14"/>
      <c r="B29" s="45" t="s">
        <v>175</v>
      </c>
      <c r="C29" s="14"/>
      <c r="D29" s="14"/>
      <c r="E29" s="14"/>
      <c r="F29" s="14"/>
    </row>
    <row r="30" spans="1:7" x14ac:dyDescent="0.25">
      <c r="A30" s="14"/>
      <c r="B30" s="14"/>
      <c r="C30" s="14" t="s">
        <v>7</v>
      </c>
      <c r="D30" s="14"/>
      <c r="E30" s="611"/>
      <c r="F30" s="28"/>
      <c r="G30" s="27"/>
    </row>
    <row r="31" spans="1:7" x14ac:dyDescent="0.25">
      <c r="A31" s="14"/>
      <c r="B31" s="14"/>
      <c r="C31" s="14" t="s">
        <v>2048</v>
      </c>
      <c r="D31" s="14"/>
      <c r="E31" s="611"/>
      <c r="F31" s="28"/>
      <c r="G31" s="27"/>
    </row>
    <row r="32" spans="1:7" x14ac:dyDescent="0.25">
      <c r="C32" s="21"/>
      <c r="D32" s="17"/>
      <c r="E32" s="26" t="s">
        <v>213</v>
      </c>
      <c r="F32" s="81" t="s">
        <v>268</v>
      </c>
      <c r="G32" s="26"/>
    </row>
    <row r="33" spans="1:11" x14ac:dyDescent="0.25">
      <c r="C33" s="25" t="s">
        <v>211</v>
      </c>
      <c r="D33" s="25" t="s">
        <v>212</v>
      </c>
      <c r="E33" s="25" t="s">
        <v>198</v>
      </c>
      <c r="F33" s="31" t="s">
        <v>2</v>
      </c>
      <c r="G33" s="29" t="s">
        <v>187</v>
      </c>
    </row>
    <row r="34" spans="1:11" x14ac:dyDescent="0.25">
      <c r="A34" s="121">
        <f>A27+1</f>
        <v>18</v>
      </c>
      <c r="B34" s="14"/>
      <c r="C34" s="315" t="s">
        <v>199</v>
      </c>
      <c r="D34" s="160"/>
      <c r="E34" s="601" t="s">
        <v>2073</v>
      </c>
      <c r="F34" s="594">
        <f>F63</f>
        <v>0</v>
      </c>
      <c r="G34" s="601" t="str">
        <f>"See Note 1, "&amp;B63&amp;""</f>
        <v>See Note 1, c</v>
      </c>
    </row>
    <row r="35" spans="1:11" x14ac:dyDescent="0.25">
      <c r="A35" s="121">
        <f>A34+1</f>
        <v>19</v>
      </c>
      <c r="B35" s="14"/>
      <c r="C35" s="1101" t="s">
        <v>200</v>
      </c>
      <c r="D35" s="160"/>
      <c r="E35" s="601" t="s">
        <v>33</v>
      </c>
      <c r="F35" s="117"/>
      <c r="G35" s="601"/>
      <c r="J35" s="7"/>
      <c r="K35" s="7"/>
    </row>
    <row r="36" spans="1:11" x14ac:dyDescent="0.25">
      <c r="A36" s="121">
        <f t="shared" ref="A36:A46" si="1">A35+1</f>
        <v>20</v>
      </c>
      <c r="B36" s="14"/>
      <c r="C36" s="1101" t="s">
        <v>201</v>
      </c>
      <c r="D36" s="160"/>
      <c r="E36" s="601" t="s">
        <v>33</v>
      </c>
      <c r="F36" s="117"/>
      <c r="G36" s="601"/>
      <c r="J36" s="7"/>
      <c r="K36" s="7"/>
    </row>
    <row r="37" spans="1:11" x14ac:dyDescent="0.25">
      <c r="A37" s="121">
        <f t="shared" si="1"/>
        <v>21</v>
      </c>
      <c r="B37" s="14"/>
      <c r="C37" s="1101" t="s">
        <v>214</v>
      </c>
      <c r="D37" s="160"/>
      <c r="E37" s="601" t="s">
        <v>33</v>
      </c>
      <c r="F37" s="117"/>
      <c r="G37" s="601"/>
      <c r="J37" s="7"/>
      <c r="K37" s="7"/>
    </row>
    <row r="38" spans="1:11" x14ac:dyDescent="0.25">
      <c r="A38" s="121">
        <f t="shared" si="1"/>
        <v>22</v>
      </c>
      <c r="B38" s="14"/>
      <c r="C38" s="1101" t="s">
        <v>202</v>
      </c>
      <c r="D38" s="160"/>
      <c r="E38" s="601" t="s">
        <v>33</v>
      </c>
      <c r="F38" s="117"/>
      <c r="G38" s="601"/>
      <c r="J38" s="7"/>
      <c r="K38" s="7"/>
    </row>
    <row r="39" spans="1:11" x14ac:dyDescent="0.25">
      <c r="A39" s="121">
        <f t="shared" si="1"/>
        <v>23</v>
      </c>
      <c r="B39" s="14"/>
      <c r="C39" s="1101" t="s">
        <v>203</v>
      </c>
      <c r="D39" s="160"/>
      <c r="E39" s="601" t="s">
        <v>33</v>
      </c>
      <c r="F39" s="117"/>
      <c r="G39" s="601"/>
      <c r="J39" s="7"/>
      <c r="K39" s="7"/>
    </row>
    <row r="40" spans="1:11" x14ac:dyDescent="0.25">
      <c r="A40" s="121">
        <f t="shared" si="1"/>
        <v>24</v>
      </c>
      <c r="B40" s="14"/>
      <c r="C40" s="1101" t="s">
        <v>1670</v>
      </c>
      <c r="D40" s="160"/>
      <c r="E40" s="601" t="s">
        <v>33</v>
      </c>
      <c r="F40" s="117"/>
      <c r="G40" s="601"/>
      <c r="J40" s="7"/>
      <c r="K40" s="7"/>
    </row>
    <row r="41" spans="1:11" x14ac:dyDescent="0.25">
      <c r="A41" s="121">
        <f t="shared" si="1"/>
        <v>25</v>
      </c>
      <c r="B41" s="14"/>
      <c r="C41" s="1101" t="s">
        <v>205</v>
      </c>
      <c r="D41" s="160"/>
      <c r="E41" s="601" t="s">
        <v>33</v>
      </c>
      <c r="F41" s="117"/>
      <c r="G41" s="601"/>
      <c r="J41" s="7"/>
      <c r="K41" s="7"/>
    </row>
    <row r="42" spans="1:11" x14ac:dyDescent="0.25">
      <c r="A42" s="121">
        <f t="shared" si="1"/>
        <v>26</v>
      </c>
      <c r="B42" s="14"/>
      <c r="C42" s="1101" t="s">
        <v>206</v>
      </c>
      <c r="D42" s="160"/>
      <c r="E42" s="601" t="s">
        <v>33</v>
      </c>
      <c r="F42" s="117"/>
      <c r="G42" s="601"/>
      <c r="J42" s="7"/>
      <c r="K42" s="7"/>
    </row>
    <row r="43" spans="1:11" x14ac:dyDescent="0.25">
      <c r="A43" s="121">
        <f t="shared" si="1"/>
        <v>27</v>
      </c>
      <c r="B43" s="14"/>
      <c r="C43" s="1101" t="s">
        <v>207</v>
      </c>
      <c r="D43" s="160"/>
      <c r="E43" s="601" t="s">
        <v>33</v>
      </c>
      <c r="F43" s="117"/>
      <c r="G43" s="601"/>
      <c r="J43" s="7"/>
      <c r="K43" s="7"/>
    </row>
    <row r="44" spans="1:11" x14ac:dyDescent="0.25">
      <c r="A44" s="121">
        <f t="shared" si="1"/>
        <v>28</v>
      </c>
      <c r="B44" s="14"/>
      <c r="C44" s="1101" t="s">
        <v>210</v>
      </c>
      <c r="D44" s="160"/>
      <c r="E44" s="601" t="s">
        <v>33</v>
      </c>
      <c r="F44" s="117"/>
      <c r="G44" s="601"/>
      <c r="J44" s="7"/>
      <c r="K44" s="7"/>
    </row>
    <row r="45" spans="1:11" x14ac:dyDescent="0.25">
      <c r="A45" s="121">
        <f t="shared" si="1"/>
        <v>29</v>
      </c>
      <c r="B45" s="14"/>
      <c r="C45" s="1101" t="s">
        <v>209</v>
      </c>
      <c r="D45" s="160"/>
      <c r="E45" s="601" t="s">
        <v>33</v>
      </c>
      <c r="F45" s="127"/>
      <c r="G45" s="601"/>
      <c r="J45" s="7"/>
      <c r="K45" s="7"/>
    </row>
    <row r="46" spans="1:11" x14ac:dyDescent="0.25">
      <c r="A46" s="121">
        <f t="shared" si="1"/>
        <v>30</v>
      </c>
      <c r="B46" s="14"/>
      <c r="C46" s="21" t="s">
        <v>199</v>
      </c>
      <c r="D46" s="160"/>
      <c r="E46" s="601" t="s">
        <v>2050</v>
      </c>
      <c r="F46" s="33">
        <f>F69</f>
        <v>0</v>
      </c>
      <c r="G46" s="601" t="str">
        <f>"See Note 1, "&amp;B69&amp;""</f>
        <v>See Note 1, f</v>
      </c>
    </row>
    <row r="47" spans="1:11" x14ac:dyDescent="0.25">
      <c r="A47" s="14"/>
      <c r="B47" s="14"/>
      <c r="C47" s="21"/>
      <c r="D47" s="24"/>
      <c r="E47" s="23"/>
      <c r="F47" s="33"/>
      <c r="G47" s="16"/>
    </row>
    <row r="48" spans="1:11" x14ac:dyDescent="0.25">
      <c r="A48" s="14"/>
      <c r="B48" s="14"/>
      <c r="C48" s="777" t="s">
        <v>2046</v>
      </c>
      <c r="D48" s="777"/>
      <c r="E48" s="1187"/>
      <c r="F48" s="14"/>
      <c r="G48" s="30"/>
    </row>
    <row r="49" spans="1:8" x14ac:dyDescent="0.25">
      <c r="A49" s="121">
        <f>A46+1</f>
        <v>31</v>
      </c>
      <c r="B49" s="14"/>
      <c r="C49" s="22"/>
      <c r="D49" s="22"/>
      <c r="E49" s="819" t="s">
        <v>2047</v>
      </c>
      <c r="F49" s="1186">
        <f>SUM(F34:F46)/13</f>
        <v>0</v>
      </c>
      <c r="G49" s="124" t="str">
        <f>"(Sum Line "&amp;A34&amp;" to Line "&amp;A46&amp;") / 13"</f>
        <v>(Sum Line 18 to Line 30) / 13</v>
      </c>
    </row>
    <row r="50" spans="1:8" x14ac:dyDescent="0.25">
      <c r="A50" s="121">
        <f>A49+1</f>
        <v>32</v>
      </c>
      <c r="B50" s="14"/>
      <c r="C50" s="22"/>
      <c r="D50" s="22"/>
      <c r="E50" s="34" t="s">
        <v>340</v>
      </c>
      <c r="F50" s="36" t="e">
        <f>'27-Allocators'!G15</f>
        <v>#DIV/0!</v>
      </c>
      <c r="G50" s="124" t="str">
        <f>"27-Allocators, Line "&amp;'27-Allocators'!A15&amp;""</f>
        <v>27-Allocators, Line 9</v>
      </c>
    </row>
    <row r="51" spans="1:8" x14ac:dyDescent="0.25">
      <c r="A51" s="121">
        <f>A50+1</f>
        <v>33</v>
      </c>
      <c r="B51" s="14"/>
      <c r="C51" s="22"/>
      <c r="D51" s="22"/>
      <c r="E51" s="1188" t="s">
        <v>180</v>
      </c>
      <c r="F51" s="33" t="e">
        <f>F49*F50</f>
        <v>#DIV/0!</v>
      </c>
      <c r="G51" s="47" t="str">
        <f>"Line "&amp;A49&amp;" * Line "&amp;A50&amp;""</f>
        <v>Line 31 * Line 32</v>
      </c>
    </row>
    <row r="52" spans="1:8" x14ac:dyDescent="0.25">
      <c r="A52" s="14"/>
      <c r="B52" s="14"/>
      <c r="C52" s="22" t="s">
        <v>267</v>
      </c>
      <c r="D52" s="22"/>
      <c r="E52" s="611"/>
      <c r="F52" s="14"/>
      <c r="G52" s="35"/>
    </row>
    <row r="53" spans="1:8" x14ac:dyDescent="0.25">
      <c r="A53" s="121">
        <f>A51+1</f>
        <v>34</v>
      </c>
      <c r="B53" s="14"/>
      <c r="C53" s="22"/>
      <c r="D53" s="22"/>
      <c r="E53" s="34" t="s">
        <v>173</v>
      </c>
      <c r="F53" s="33">
        <f>F46</f>
        <v>0</v>
      </c>
      <c r="G53" s="35" t="str">
        <f>"Line "&amp;A46&amp;""</f>
        <v>Line 30</v>
      </c>
    </row>
    <row r="54" spans="1:8" x14ac:dyDescent="0.25">
      <c r="A54" s="121">
        <f>A53+1</f>
        <v>35</v>
      </c>
      <c r="B54" s="14"/>
      <c r="C54" s="22"/>
      <c r="D54" s="22"/>
      <c r="E54" s="34" t="s">
        <v>340</v>
      </c>
      <c r="F54" s="36" t="e">
        <f>'27-Allocators'!G15</f>
        <v>#DIV/0!</v>
      </c>
      <c r="G54" s="124" t="str">
        <f>"27-Allocators, Line "&amp;'27-Allocators'!A15&amp;""</f>
        <v>27-Allocators, Line 9</v>
      </c>
    </row>
    <row r="55" spans="1:8" x14ac:dyDescent="0.25">
      <c r="A55" s="121">
        <f>A54+1</f>
        <v>36</v>
      </c>
      <c r="B55" s="14"/>
      <c r="C55" s="22"/>
      <c r="D55" s="22"/>
      <c r="E55" s="32" t="s">
        <v>180</v>
      </c>
      <c r="F55" s="33" t="e">
        <f>F53*F54</f>
        <v>#DIV/0!</v>
      </c>
      <c r="G55" s="13" t="str">
        <f>"Line "&amp;A53&amp;" * Line "&amp;A54&amp;""</f>
        <v>Line 34 * Line 35</v>
      </c>
    </row>
    <row r="56" spans="1:8" x14ac:dyDescent="0.25">
      <c r="B56" s="53" t="s">
        <v>256</v>
      </c>
      <c r="C56" s="12"/>
    </row>
    <row r="57" spans="1:8" x14ac:dyDescent="0.25">
      <c r="B57" t="s">
        <v>1925</v>
      </c>
      <c r="C57" s="551" t="str">
        <f>"Remove any amounts related to years prior to the effective date of the formula on "&amp;B62&amp;" and "&amp;B68&amp;" below."</f>
        <v>Remove any amounts related to years prior to the effective date of the formula on b and e below.</v>
      </c>
    </row>
    <row r="58" spans="1:8" x14ac:dyDescent="0.25">
      <c r="A58" s="2"/>
      <c r="E58" s="102"/>
      <c r="F58" s="7"/>
      <c r="G58" s="441"/>
      <c r="H58" s="1"/>
    </row>
    <row r="59" spans="1:8" x14ac:dyDescent="0.25">
      <c r="A59" s="2"/>
      <c r="C59" s="551" t="s">
        <v>2762</v>
      </c>
      <c r="E59" s="102"/>
      <c r="F59" s="81" t="s">
        <v>103</v>
      </c>
      <c r="G59" s="124"/>
    </row>
    <row r="60" spans="1:8" x14ac:dyDescent="0.25">
      <c r="A60" s="2"/>
      <c r="E60" s="102"/>
      <c r="F60" s="31" t="s">
        <v>2</v>
      </c>
      <c r="G60" s="442" t="s">
        <v>198</v>
      </c>
    </row>
    <row r="61" spans="1:8" x14ac:dyDescent="0.25">
      <c r="A61" s="685"/>
      <c r="B61" s="688" t="s">
        <v>1936</v>
      </c>
      <c r="C61" s="19"/>
      <c r="E61" s="549" t="s">
        <v>1926</v>
      </c>
      <c r="F61" s="890"/>
      <c r="G61" s="30" t="s">
        <v>178</v>
      </c>
    </row>
    <row r="62" spans="1:8" x14ac:dyDescent="0.25">
      <c r="A62" s="685"/>
      <c r="B62" s="688" t="s">
        <v>1937</v>
      </c>
      <c r="E62" s="549" t="s">
        <v>1935</v>
      </c>
      <c r="F62" s="127"/>
      <c r="G62" s="555" t="s">
        <v>395</v>
      </c>
    </row>
    <row r="63" spans="1:8" x14ac:dyDescent="0.25">
      <c r="A63" s="685"/>
      <c r="B63" s="688" t="s">
        <v>1938</v>
      </c>
      <c r="E63" s="37" t="s">
        <v>1927</v>
      </c>
      <c r="F63" s="7">
        <f>F61-F62</f>
        <v>0</v>
      </c>
      <c r="G63" s="13" t="str">
        <f>""&amp;B61&amp;" - "&amp;B62&amp;""</f>
        <v>a - b</v>
      </c>
    </row>
    <row r="64" spans="1:8" x14ac:dyDescent="0.25">
      <c r="A64" s="685"/>
    </row>
    <row r="65" spans="1:7" x14ac:dyDescent="0.25">
      <c r="A65" s="685"/>
      <c r="C65" s="551" t="s">
        <v>2763</v>
      </c>
      <c r="E65" s="102"/>
      <c r="F65" s="81" t="s">
        <v>103</v>
      </c>
      <c r="G65" s="124"/>
    </row>
    <row r="66" spans="1:7" x14ac:dyDescent="0.25">
      <c r="A66" s="685"/>
      <c r="E66" s="102"/>
      <c r="F66" s="31" t="s">
        <v>2</v>
      </c>
      <c r="G66" s="442" t="s">
        <v>198</v>
      </c>
    </row>
    <row r="67" spans="1:7" x14ac:dyDescent="0.25">
      <c r="A67" s="685"/>
      <c r="B67" s="688" t="s">
        <v>1939</v>
      </c>
      <c r="C67" s="19"/>
      <c r="E67" s="549" t="s">
        <v>1926</v>
      </c>
      <c r="F67" s="68"/>
      <c r="G67" s="30" t="s">
        <v>179</v>
      </c>
    </row>
    <row r="68" spans="1:7" x14ac:dyDescent="0.25">
      <c r="A68" s="685"/>
      <c r="B68" s="688" t="s">
        <v>1940</v>
      </c>
      <c r="E68" s="549" t="s">
        <v>1935</v>
      </c>
      <c r="F68" s="127"/>
      <c r="G68" s="555" t="s">
        <v>395</v>
      </c>
    </row>
    <row r="69" spans="1:7" x14ac:dyDescent="0.25">
      <c r="A69" s="685"/>
      <c r="B69" s="688" t="s">
        <v>1941</v>
      </c>
      <c r="D69" s="14"/>
      <c r="E69" s="549" t="s">
        <v>1982</v>
      </c>
      <c r="F69" s="7">
        <f>F67-F68</f>
        <v>0</v>
      </c>
      <c r="G69" s="13" t="str">
        <f>""&amp;B67&amp;" - "&amp;B68&amp;""</f>
        <v>d - e</v>
      </c>
    </row>
    <row r="73" spans="1:7" x14ac:dyDescent="0.25">
      <c r="F73" s="686"/>
    </row>
  </sheetData>
  <phoneticPr fontId="12" type="noConversion"/>
  <pageMargins left="0.75" right="0.75" top="1" bottom="1" header="0.5" footer="0.5"/>
  <pageSetup scale="75" orientation="portrait" cellComments="asDisplayed" r:id="rId1"/>
  <headerFooter alignWithMargins="0">
    <oddHeader>&amp;CSchedule 13
Working Capital
&amp;"Arial,Bold"Attachment 5</oddHeader>
    <oddFooter>&amp;R&amp;A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2"/>
  <sheetViews>
    <sheetView zoomScale="90" zoomScaleNormal="90" workbookViewId="0"/>
  </sheetViews>
  <sheetFormatPr defaultRowHeight="13.2" x14ac:dyDescent="0.25"/>
  <cols>
    <col min="1" max="1" width="4.6640625" customWidth="1"/>
    <col min="2" max="2" width="3.6640625" customWidth="1"/>
    <col min="3" max="3" width="16.6640625" customWidth="1"/>
    <col min="4" max="4" width="9.6640625" customWidth="1"/>
    <col min="5" max="8" width="15.6640625" customWidth="1"/>
    <col min="9" max="11" width="14.6640625" customWidth="1"/>
  </cols>
  <sheetData>
    <row r="1" spans="1:10" x14ac:dyDescent="0.25">
      <c r="A1" s="1" t="s">
        <v>270</v>
      </c>
    </row>
    <row r="2" spans="1:10" x14ac:dyDescent="0.25">
      <c r="A2" s="1" t="s">
        <v>271</v>
      </c>
    </row>
    <row r="3" spans="1:10" x14ac:dyDescent="0.25">
      <c r="B3" s="1"/>
      <c r="H3" s="205" t="s">
        <v>272</v>
      </c>
      <c r="I3" s="105"/>
      <c r="J3" s="58"/>
    </row>
    <row r="4" spans="1:10" x14ac:dyDescent="0.25">
      <c r="B4" s="1" t="s">
        <v>273</v>
      </c>
    </row>
    <row r="5" spans="1:10" x14ac:dyDescent="0.25">
      <c r="B5" s="57" t="s">
        <v>274</v>
      </c>
    </row>
    <row r="6" spans="1:10" x14ac:dyDescent="0.25">
      <c r="B6" s="57" t="s">
        <v>328</v>
      </c>
    </row>
    <row r="7" spans="1:10" x14ac:dyDescent="0.25">
      <c r="B7" s="113" t="s">
        <v>1092</v>
      </c>
    </row>
    <row r="8" spans="1:10" x14ac:dyDescent="0.25">
      <c r="B8" s="113" t="s">
        <v>1699</v>
      </c>
    </row>
    <row r="9" spans="1:10" x14ac:dyDescent="0.25">
      <c r="B9" s="113" t="s">
        <v>1700</v>
      </c>
      <c r="D9" s="1"/>
      <c r="E9" s="1"/>
    </row>
    <row r="10" spans="1:10" x14ac:dyDescent="0.25">
      <c r="B10" s="57"/>
    </row>
    <row r="11" spans="1:10" x14ac:dyDescent="0.25">
      <c r="B11" s="57"/>
      <c r="C11" s="12" t="s">
        <v>391</v>
      </c>
    </row>
    <row r="12" spans="1:10" x14ac:dyDescent="0.25">
      <c r="B12" s="57"/>
      <c r="C12" s="555" t="s">
        <v>1702</v>
      </c>
    </row>
    <row r="13" spans="1:10" x14ac:dyDescent="0.25">
      <c r="B13" s="57"/>
      <c r="C13" s="550" t="s">
        <v>2074</v>
      </c>
      <c r="D13" s="14"/>
      <c r="E13" s="14"/>
      <c r="F13" s="14"/>
      <c r="G13" s="14"/>
      <c r="H13" s="14"/>
      <c r="I13" s="14"/>
    </row>
    <row r="14" spans="1:10" x14ac:dyDescent="0.25">
      <c r="B14" s="57"/>
      <c r="C14" s="550" t="s">
        <v>1703</v>
      </c>
      <c r="D14" s="14"/>
      <c r="E14" s="14"/>
      <c r="F14" s="14"/>
      <c r="G14" s="14"/>
      <c r="H14" s="14"/>
      <c r="I14" s="14"/>
    </row>
    <row r="15" spans="1:10" x14ac:dyDescent="0.25">
      <c r="B15" s="57"/>
      <c r="C15" s="1154" t="s">
        <v>1704</v>
      </c>
      <c r="D15" s="14"/>
      <c r="E15" s="14"/>
      <c r="F15" s="14"/>
      <c r="G15" s="14"/>
      <c r="H15" s="14"/>
      <c r="I15" s="14"/>
    </row>
    <row r="16" spans="1:10" x14ac:dyDescent="0.25">
      <c r="B16" s="57"/>
      <c r="C16" s="550" t="s">
        <v>1706</v>
      </c>
      <c r="D16" s="14"/>
      <c r="E16" s="14"/>
      <c r="F16" s="14"/>
      <c r="G16" s="14"/>
      <c r="H16" s="14"/>
      <c r="I16" s="14"/>
    </row>
    <row r="17" spans="1:10" x14ac:dyDescent="0.25">
      <c r="B17" s="57"/>
      <c r="C17" s="550" t="s">
        <v>1705</v>
      </c>
      <c r="D17" s="14"/>
      <c r="E17" s="14"/>
      <c r="F17" s="14"/>
      <c r="G17" s="14"/>
      <c r="H17" s="14"/>
      <c r="I17" s="14"/>
    </row>
    <row r="18" spans="1:10" x14ac:dyDescent="0.25">
      <c r="B18" s="57"/>
      <c r="C18" s="47"/>
      <c r="D18" s="14"/>
      <c r="E18" s="14"/>
      <c r="F18" s="14"/>
      <c r="G18" s="14"/>
      <c r="H18" s="14"/>
      <c r="I18" s="14"/>
    </row>
    <row r="19" spans="1:10" x14ac:dyDescent="0.25">
      <c r="C19" s="45" t="s">
        <v>1091</v>
      </c>
      <c r="D19" s="14"/>
      <c r="E19" s="14"/>
      <c r="F19" s="14"/>
      <c r="G19" s="14"/>
      <c r="H19" s="14"/>
      <c r="I19" s="14"/>
    </row>
    <row r="20" spans="1:10" x14ac:dyDescent="0.25">
      <c r="C20" s="45"/>
      <c r="D20" s="14"/>
      <c r="E20" s="135" t="s">
        <v>394</v>
      </c>
      <c r="F20" s="135" t="s">
        <v>378</v>
      </c>
      <c r="G20" s="135" t="s">
        <v>379</v>
      </c>
      <c r="H20" s="14"/>
      <c r="I20" s="14"/>
    </row>
    <row r="21" spans="1:10" x14ac:dyDescent="0.25">
      <c r="B21" s="1"/>
      <c r="C21" s="14"/>
      <c r="D21" s="14"/>
      <c r="E21" s="14"/>
      <c r="F21" s="121" t="s">
        <v>73</v>
      </c>
      <c r="G21" s="121" t="s">
        <v>18</v>
      </c>
      <c r="H21" s="14"/>
      <c r="I21" s="14"/>
    </row>
    <row r="22" spans="1:10" x14ac:dyDescent="0.25">
      <c r="B22" s="1"/>
      <c r="C22" s="14"/>
      <c r="D22" s="14"/>
      <c r="E22" s="121" t="s">
        <v>73</v>
      </c>
      <c r="F22" s="1165" t="s">
        <v>254</v>
      </c>
      <c r="G22" s="121" t="s">
        <v>327</v>
      </c>
      <c r="H22" s="14"/>
      <c r="I22" s="14"/>
    </row>
    <row r="23" spans="1:10" x14ac:dyDescent="0.25">
      <c r="B23" s="1"/>
      <c r="C23" s="15"/>
      <c r="D23" s="14"/>
      <c r="E23" s="121" t="s">
        <v>253</v>
      </c>
      <c r="F23" s="121" t="s">
        <v>255</v>
      </c>
      <c r="G23" s="121" t="s">
        <v>1</v>
      </c>
      <c r="H23" s="14"/>
      <c r="I23" s="14"/>
    </row>
    <row r="24" spans="1:10" x14ac:dyDescent="0.25">
      <c r="B24" s="1"/>
      <c r="C24" s="121" t="s">
        <v>8</v>
      </c>
      <c r="D24" s="14"/>
      <c r="E24" s="121" t="s">
        <v>266</v>
      </c>
      <c r="F24" s="121" t="s">
        <v>266</v>
      </c>
      <c r="G24" s="1165" t="s">
        <v>10</v>
      </c>
      <c r="H24" s="14"/>
      <c r="I24" s="14"/>
    </row>
    <row r="25" spans="1:10" x14ac:dyDescent="0.25">
      <c r="A25" s="53" t="s">
        <v>360</v>
      </c>
      <c r="B25" s="1"/>
      <c r="C25" s="135" t="s">
        <v>250</v>
      </c>
      <c r="D25" s="14"/>
      <c r="E25" s="135" t="s">
        <v>194</v>
      </c>
      <c r="F25" s="135" t="s">
        <v>194</v>
      </c>
      <c r="G25" s="135" t="s">
        <v>194</v>
      </c>
      <c r="H25" s="135" t="s">
        <v>256</v>
      </c>
      <c r="I25" s="120"/>
      <c r="J25" s="52"/>
    </row>
    <row r="26" spans="1:10" x14ac:dyDescent="0.25">
      <c r="A26" s="2">
        <v>1</v>
      </c>
      <c r="B26" s="1"/>
      <c r="C26" s="15" t="s">
        <v>369</v>
      </c>
      <c r="D26" s="14"/>
      <c r="E26" s="65">
        <f>'10-CWIP'!E25</f>
        <v>0</v>
      </c>
      <c r="F26" s="65">
        <f>'10-CWIP'!E26</f>
        <v>0</v>
      </c>
      <c r="G26" s="65">
        <f>'10-CWIP'!K113</f>
        <v>0</v>
      </c>
      <c r="H26" s="47" t="str">
        <f>"10-CWIP Lines "&amp;'10-CWIP'!A25&amp;", "&amp;'10-CWIP'!A26&amp;", and "&amp;'10-CWIP'!A113&amp;""</f>
        <v>10-CWIP Lines 13, 14, and 80</v>
      </c>
      <c r="I26" s="14"/>
    </row>
    <row r="27" spans="1:10" x14ac:dyDescent="0.25">
      <c r="A27" s="2">
        <f t="shared" ref="A27:A37" si="0">A26+1</f>
        <v>2</v>
      </c>
      <c r="B27" s="1"/>
      <c r="C27" s="15" t="s">
        <v>370</v>
      </c>
      <c r="D27" s="14"/>
      <c r="E27" s="65">
        <f>'10-CWIP'!F25</f>
        <v>0</v>
      </c>
      <c r="F27" s="65">
        <f>'10-CWIP'!F26</f>
        <v>0</v>
      </c>
      <c r="G27" s="65">
        <f>'10-CWIP'!K146</f>
        <v>0</v>
      </c>
      <c r="H27" s="47" t="str">
        <f>"10-CWIP Lines "&amp;'10-CWIP'!A25&amp;", "&amp;'10-CWIP'!A26&amp;", and "&amp;'10-CWIP'!A146&amp;""</f>
        <v>10-CWIP Lines 13, 14, and 106</v>
      </c>
      <c r="I27" s="14"/>
    </row>
    <row r="28" spans="1:10" x14ac:dyDescent="0.25">
      <c r="A28" s="2">
        <f t="shared" si="0"/>
        <v>3</v>
      </c>
      <c r="B28" s="1"/>
      <c r="C28" s="15" t="s">
        <v>371</v>
      </c>
      <c r="D28" s="14"/>
      <c r="E28" s="65">
        <f>'10-CWIP'!G25</f>
        <v>0</v>
      </c>
      <c r="F28" s="65">
        <f>'10-CWIP'!G26</f>
        <v>0</v>
      </c>
      <c r="G28" s="65">
        <f>'10-CWIP'!K177</f>
        <v>0</v>
      </c>
      <c r="H28" s="47" t="str">
        <f>"10-CWIP Lines "&amp;'10-CWIP'!A25&amp;", "&amp;'10-CWIP'!A26&amp;", and "&amp;'10-CWIP'!A177&amp;""</f>
        <v>10-CWIP Lines 13, 14, and 132</v>
      </c>
      <c r="I28" s="14"/>
    </row>
    <row r="29" spans="1:10" x14ac:dyDescent="0.25">
      <c r="A29" s="2">
        <f t="shared" si="0"/>
        <v>4</v>
      </c>
      <c r="B29" s="1"/>
      <c r="C29" s="15" t="s">
        <v>1097</v>
      </c>
      <c r="D29" s="14"/>
      <c r="E29" s="65">
        <f>'10-CWIP'!H25</f>
        <v>0</v>
      </c>
      <c r="F29" s="65">
        <f>'10-CWIP'!H26</f>
        <v>0</v>
      </c>
      <c r="G29" s="65">
        <f>'10-CWIP'!K210</f>
        <v>0</v>
      </c>
      <c r="H29" s="47" t="str">
        <f>"10-CWIP Lines "&amp;'10-CWIP'!A25&amp;", "&amp;'10-CWIP'!A26&amp;", and "&amp;'10-CWIP'!A210&amp;""</f>
        <v>10-CWIP Lines 13, 14, and 158</v>
      </c>
      <c r="I29" s="14"/>
    </row>
    <row r="30" spans="1:10" x14ac:dyDescent="0.25">
      <c r="A30" s="2">
        <f t="shared" si="0"/>
        <v>5</v>
      </c>
      <c r="B30" s="1"/>
      <c r="C30" s="15" t="s">
        <v>1098</v>
      </c>
      <c r="D30" s="14"/>
      <c r="E30" s="65">
        <f>'10-CWIP'!I25</f>
        <v>0</v>
      </c>
      <c r="F30" s="65">
        <f>'10-CWIP'!I26</f>
        <v>0</v>
      </c>
      <c r="G30" s="65">
        <f>'10-CWIP'!K241</f>
        <v>0</v>
      </c>
      <c r="H30" s="47" t="str">
        <f>"10-CWIP Lines "&amp;'10-CWIP'!A25&amp;", "&amp;'10-CWIP'!A26&amp;", and "&amp;'10-CWIP'!A241&amp;""</f>
        <v>10-CWIP Lines 13, 14, and 184</v>
      </c>
      <c r="I30" s="14"/>
    </row>
    <row r="31" spans="1:10" x14ac:dyDescent="0.25">
      <c r="A31" s="2">
        <f t="shared" si="0"/>
        <v>6</v>
      </c>
      <c r="B31" s="1"/>
      <c r="C31" s="15" t="s">
        <v>1099</v>
      </c>
      <c r="D31" s="14"/>
      <c r="E31" s="65">
        <f>'10-CWIP'!D45</f>
        <v>0</v>
      </c>
      <c r="F31" s="65">
        <f>'10-CWIP'!D46</f>
        <v>0</v>
      </c>
      <c r="G31" s="65">
        <f>'10-CWIP'!K274</f>
        <v>0</v>
      </c>
      <c r="H31" s="47" t="str">
        <f>"10-CWIP Lines "&amp;'10-CWIP'!A45&amp;", "&amp;'10-CWIP'!A46&amp;", and "&amp;'10-CWIP'!A274&amp;""</f>
        <v>10-CWIP Lines 27, 28, and 210</v>
      </c>
      <c r="I31" s="14"/>
    </row>
    <row r="32" spans="1:10" x14ac:dyDescent="0.25">
      <c r="A32" s="2">
        <f t="shared" si="0"/>
        <v>7</v>
      </c>
      <c r="B32" s="1"/>
      <c r="C32" s="15" t="s">
        <v>1100</v>
      </c>
      <c r="D32" s="14"/>
      <c r="E32" s="65">
        <f>'10-CWIP'!E45</f>
        <v>0</v>
      </c>
      <c r="F32" s="65">
        <f>'10-CWIP'!E46</f>
        <v>0</v>
      </c>
      <c r="G32" s="65">
        <f>'10-CWIP'!K305</f>
        <v>0</v>
      </c>
      <c r="H32" s="47" t="str">
        <f>"10-CWIP Lines "&amp;'10-CWIP'!A45&amp;", "&amp;'10-CWIP'!A46&amp;", and "&amp;'10-CWIP'!A305&amp;""</f>
        <v>10-CWIP Lines 27, 28, and 236</v>
      </c>
      <c r="I32" s="14"/>
    </row>
    <row r="33" spans="1:10" x14ac:dyDescent="0.25">
      <c r="A33" s="2">
        <f t="shared" si="0"/>
        <v>8</v>
      </c>
      <c r="B33" s="1"/>
      <c r="C33" s="15" t="s">
        <v>1101</v>
      </c>
      <c r="D33" s="14"/>
      <c r="E33" s="65">
        <f>'10-CWIP'!F45</f>
        <v>0</v>
      </c>
      <c r="F33" s="65">
        <f>'10-CWIP'!F46</f>
        <v>0</v>
      </c>
      <c r="G33" s="65">
        <f>'10-CWIP'!K338</f>
        <v>0</v>
      </c>
      <c r="H33" s="47" t="str">
        <f>"10-CWIP Lines "&amp;'10-CWIP'!A45&amp;", "&amp;'10-CWIP'!A46&amp;", and "&amp;'10-CWIP'!A338&amp;""</f>
        <v>10-CWIP Lines 27, 28, and 262</v>
      </c>
      <c r="I33" s="14"/>
    </row>
    <row r="34" spans="1:10" x14ac:dyDescent="0.25">
      <c r="A34" s="2">
        <f t="shared" si="0"/>
        <v>9</v>
      </c>
      <c r="B34" s="1"/>
      <c r="C34" s="15" t="s">
        <v>1102</v>
      </c>
      <c r="D34" s="14"/>
      <c r="E34" s="65">
        <f>'10-CWIP'!G45</f>
        <v>0</v>
      </c>
      <c r="F34" s="65">
        <f>'10-CWIP'!G46</f>
        <v>0</v>
      </c>
      <c r="G34" s="65">
        <f>'10-CWIP'!K369</f>
        <v>0</v>
      </c>
      <c r="H34" s="47" t="str">
        <f>"10-CWIP Lines "&amp;'10-CWIP'!A45&amp;", "&amp;'10-CWIP'!A46&amp;", and "&amp;'10-CWIP'!A369&amp;""</f>
        <v>10-CWIP Lines 27, 28, and 288</v>
      </c>
      <c r="I34" s="14"/>
    </row>
    <row r="35" spans="1:10" x14ac:dyDescent="0.25">
      <c r="A35" s="2">
        <f t="shared" si="0"/>
        <v>10</v>
      </c>
      <c r="B35" s="1"/>
      <c r="C35" s="635" t="s">
        <v>565</v>
      </c>
      <c r="E35" s="211" t="s">
        <v>86</v>
      </c>
      <c r="F35" s="211" t="s">
        <v>86</v>
      </c>
      <c r="G35" s="211" t="s">
        <v>86</v>
      </c>
      <c r="H35" s="635" t="s">
        <v>565</v>
      </c>
      <c r="I35" s="14"/>
      <c r="J35" s="14"/>
    </row>
    <row r="36" spans="1:10" x14ac:dyDescent="0.25">
      <c r="A36" s="2">
        <f t="shared" si="0"/>
        <v>11</v>
      </c>
      <c r="B36" s="1"/>
      <c r="C36" s="206"/>
      <c r="E36" s="211"/>
      <c r="F36" s="211"/>
      <c r="G36" s="211"/>
      <c r="H36" s="13"/>
    </row>
    <row r="37" spans="1:10" x14ac:dyDescent="0.25">
      <c r="A37" s="2">
        <f t="shared" si="0"/>
        <v>12</v>
      </c>
      <c r="B37" s="1"/>
      <c r="D37" s="37" t="s">
        <v>216</v>
      </c>
      <c r="E37" s="7">
        <f>SUM(E26:E34)</f>
        <v>0</v>
      </c>
      <c r="F37" s="7">
        <f>SUM(F26:F34)</f>
        <v>0</v>
      </c>
      <c r="G37" s="7">
        <f>SUM(G26:G34)</f>
        <v>0</v>
      </c>
      <c r="H37" s="54"/>
    </row>
    <row r="38" spans="1:10" x14ac:dyDescent="0.25">
      <c r="B38" s="1"/>
    </row>
    <row r="39" spans="1:10" x14ac:dyDescent="0.25">
      <c r="B39" s="1"/>
      <c r="C39" s="1" t="s">
        <v>1394</v>
      </c>
    </row>
    <row r="40" spans="1:10" x14ac:dyDescent="0.25">
      <c r="B40" s="1"/>
      <c r="C40" s="1"/>
    </row>
    <row r="41" spans="1:10" x14ac:dyDescent="0.25">
      <c r="B41" s="1"/>
      <c r="E41" s="3" t="s">
        <v>394</v>
      </c>
      <c r="F41" s="3" t="s">
        <v>378</v>
      </c>
      <c r="G41" s="3" t="s">
        <v>379</v>
      </c>
    </row>
    <row r="42" spans="1:10" x14ac:dyDescent="0.25">
      <c r="B42" s="1"/>
      <c r="E42" s="560" t="s">
        <v>1674</v>
      </c>
      <c r="F42" s="3"/>
      <c r="G42" s="3"/>
    </row>
    <row r="43" spans="1:10" x14ac:dyDescent="0.25">
      <c r="B43" s="1"/>
      <c r="E43" s="2" t="s">
        <v>73</v>
      </c>
      <c r="F43" s="2" t="s">
        <v>330</v>
      </c>
      <c r="G43" s="2" t="s">
        <v>330</v>
      </c>
    </row>
    <row r="44" spans="1:10" x14ac:dyDescent="0.25">
      <c r="B44" s="1"/>
      <c r="E44" s="2" t="s">
        <v>8</v>
      </c>
      <c r="F44" s="2" t="s">
        <v>1</v>
      </c>
      <c r="G44" s="2" t="s">
        <v>329</v>
      </c>
    </row>
    <row r="45" spans="1:10" x14ac:dyDescent="0.25">
      <c r="B45" s="1"/>
      <c r="E45" s="3" t="s">
        <v>192</v>
      </c>
      <c r="F45" s="3" t="s">
        <v>275</v>
      </c>
      <c r="G45" s="3" t="s">
        <v>3</v>
      </c>
      <c r="H45" s="3" t="s">
        <v>256</v>
      </c>
    </row>
    <row r="46" spans="1:10" x14ac:dyDescent="0.25">
      <c r="A46" s="2">
        <f>A37+1</f>
        <v>13</v>
      </c>
      <c r="B46" s="1"/>
      <c r="C46" t="s">
        <v>251</v>
      </c>
      <c r="E46" s="111">
        <f>F46+G46</f>
        <v>0</v>
      </c>
      <c r="F46" s="65">
        <v>0</v>
      </c>
      <c r="G46" s="65">
        <f>H84</f>
        <v>0</v>
      </c>
      <c r="H46" s="13" t="str">
        <f>"Line "&amp;A84&amp;", C4"</f>
        <v>Line 37, C4</v>
      </c>
    </row>
    <row r="47" spans="1:10" x14ac:dyDescent="0.25">
      <c r="A47" s="2">
        <f>A46+1</f>
        <v>14</v>
      </c>
      <c r="B47" s="1"/>
      <c r="C47" t="s">
        <v>252</v>
      </c>
      <c r="E47" s="111">
        <f>F47+G47</f>
        <v>0</v>
      </c>
      <c r="F47" s="65">
        <f>E26</f>
        <v>0</v>
      </c>
      <c r="G47" s="65">
        <f>F84</f>
        <v>0</v>
      </c>
      <c r="H47" s="13" t="str">
        <f>"Line "&amp;A26&amp;", C1, and Line "&amp;A84&amp;", C2"</f>
        <v>Line 1, C1, and Line 37, C2</v>
      </c>
    </row>
    <row r="48" spans="1:10" x14ac:dyDescent="0.25">
      <c r="A48" s="2">
        <f>A47+1</f>
        <v>15</v>
      </c>
      <c r="B48" s="1"/>
      <c r="C48" s="551" t="s">
        <v>1900</v>
      </c>
      <c r="E48" s="111">
        <f>F48+G48</f>
        <v>0</v>
      </c>
      <c r="F48" s="65">
        <f>E27</f>
        <v>0</v>
      </c>
      <c r="G48" s="65">
        <f>G84</f>
        <v>0</v>
      </c>
      <c r="H48" s="13" t="str">
        <f>"Line "&amp;A27&amp;", C1, and Line "&amp;A84&amp;", C3"</f>
        <v>Line 2, C1, and Line 37, C3</v>
      </c>
    </row>
    <row r="49" spans="1:8" x14ac:dyDescent="0.25">
      <c r="A49" s="2">
        <f>A48+1</f>
        <v>16</v>
      </c>
      <c r="B49" s="1"/>
      <c r="C49" s="635" t="s">
        <v>565</v>
      </c>
      <c r="E49" s="104" t="s">
        <v>86</v>
      </c>
      <c r="F49" s="104" t="s">
        <v>86</v>
      </c>
      <c r="G49" s="104" t="s">
        <v>86</v>
      </c>
      <c r="H49" s="635" t="s">
        <v>565</v>
      </c>
    </row>
    <row r="50" spans="1:8" x14ac:dyDescent="0.25">
      <c r="A50" s="2">
        <f>A49+1</f>
        <v>17</v>
      </c>
      <c r="B50" s="1"/>
      <c r="C50" s="206"/>
      <c r="E50" s="104"/>
      <c r="F50" s="104"/>
      <c r="G50" s="104"/>
      <c r="H50" s="13"/>
    </row>
    <row r="51" spans="1:8" x14ac:dyDescent="0.25">
      <c r="A51" s="2">
        <f>A50+1</f>
        <v>18</v>
      </c>
      <c r="B51" s="1"/>
      <c r="D51" s="549" t="s">
        <v>1904</v>
      </c>
      <c r="E51" s="7">
        <f>SUM(E46:E48)</f>
        <v>0</v>
      </c>
      <c r="F51" s="104"/>
      <c r="G51" s="104"/>
      <c r="H51" s="555" t="s">
        <v>1905</v>
      </c>
    </row>
    <row r="52" spans="1:8" x14ac:dyDescent="0.25">
      <c r="B52" s="1"/>
    </row>
    <row r="53" spans="1:8" x14ac:dyDescent="0.25">
      <c r="B53" s="1"/>
      <c r="C53" s="1" t="s">
        <v>1701</v>
      </c>
    </row>
    <row r="54" spans="1:8" x14ac:dyDescent="0.25">
      <c r="B54" s="1"/>
      <c r="C54" s="1"/>
    </row>
    <row r="55" spans="1:8" x14ac:dyDescent="0.25">
      <c r="B55" s="1"/>
      <c r="C55" s="1"/>
      <c r="E55" s="3" t="s">
        <v>394</v>
      </c>
      <c r="F55" s="3" t="s">
        <v>378</v>
      </c>
      <c r="G55" s="3" t="s">
        <v>379</v>
      </c>
    </row>
    <row r="56" spans="1:8" x14ac:dyDescent="0.25">
      <c r="B56" s="1"/>
      <c r="E56" s="560" t="s">
        <v>1674</v>
      </c>
      <c r="G56" s="2" t="s">
        <v>10</v>
      </c>
    </row>
    <row r="57" spans="1:8" x14ac:dyDescent="0.25">
      <c r="B57" s="1"/>
      <c r="E57" s="2" t="s">
        <v>73</v>
      </c>
      <c r="F57" s="2" t="s">
        <v>10</v>
      </c>
      <c r="G57" s="2" t="s">
        <v>329</v>
      </c>
    </row>
    <row r="58" spans="1:8" x14ac:dyDescent="0.25">
      <c r="B58" s="1"/>
      <c r="C58" s="2" t="s">
        <v>8</v>
      </c>
      <c r="E58" s="2" t="s">
        <v>8</v>
      </c>
      <c r="F58" s="2" t="s">
        <v>1</v>
      </c>
      <c r="G58" s="2" t="s">
        <v>3</v>
      </c>
    </row>
    <row r="59" spans="1:8" ht="12.75" customHeight="1" x14ac:dyDescent="0.25">
      <c r="B59" s="1"/>
      <c r="C59" s="3" t="s">
        <v>250</v>
      </c>
      <c r="E59" s="3" t="s">
        <v>192</v>
      </c>
      <c r="F59" s="3" t="s">
        <v>275</v>
      </c>
      <c r="G59" s="3" t="s">
        <v>275</v>
      </c>
      <c r="H59" s="3" t="s">
        <v>256</v>
      </c>
    </row>
    <row r="60" spans="1:8" x14ac:dyDescent="0.25">
      <c r="A60" s="2">
        <f>A51+1</f>
        <v>19</v>
      </c>
      <c r="B60" s="1"/>
      <c r="C60" t="s">
        <v>251</v>
      </c>
      <c r="E60" s="111">
        <f>F60+G60</f>
        <v>0</v>
      </c>
      <c r="F60" s="65">
        <v>0</v>
      </c>
      <c r="G60" s="114">
        <f>H85</f>
        <v>0</v>
      </c>
      <c r="H60" s="13" t="str">
        <f>"Line "&amp;A85&amp;", C4"</f>
        <v>Line 38, C4</v>
      </c>
    </row>
    <row r="61" spans="1:8" x14ac:dyDescent="0.25">
      <c r="A61" s="2">
        <f>A60+1</f>
        <v>20</v>
      </c>
      <c r="B61" s="1"/>
      <c r="C61" t="s">
        <v>252</v>
      </c>
      <c r="E61" s="111">
        <f>F61+G61</f>
        <v>0</v>
      </c>
      <c r="F61" s="65">
        <f>F26</f>
        <v>0</v>
      </c>
      <c r="G61" s="114">
        <f>F85</f>
        <v>0</v>
      </c>
      <c r="H61" s="13" t="str">
        <f>"Line "&amp;A26&amp;", C2, and Line "&amp;A85&amp;", C2"</f>
        <v>Line 1, C2, and Line 38, C2</v>
      </c>
    </row>
    <row r="62" spans="1:8" x14ac:dyDescent="0.25">
      <c r="A62" s="2">
        <f>A61+1</f>
        <v>21</v>
      </c>
      <c r="B62" s="1"/>
      <c r="C62" s="12" t="s">
        <v>603</v>
      </c>
      <c r="E62" s="111">
        <f>F62+G62</f>
        <v>0</v>
      </c>
      <c r="F62" s="65">
        <f>F27</f>
        <v>0</v>
      </c>
      <c r="G62" s="114">
        <f>G85</f>
        <v>0</v>
      </c>
      <c r="H62" s="13" t="str">
        <f>"Line "&amp;A27&amp;", C2, and Line "&amp;A85&amp;", C3"</f>
        <v>Line 2, C2, and Line 38, C3</v>
      </c>
    </row>
    <row r="63" spans="1:8" x14ac:dyDescent="0.25">
      <c r="A63" s="2">
        <f>A62+1</f>
        <v>22</v>
      </c>
      <c r="B63" s="1"/>
      <c r="C63" s="635" t="s">
        <v>565</v>
      </c>
      <c r="E63" s="104" t="s">
        <v>86</v>
      </c>
      <c r="F63" s="104" t="s">
        <v>86</v>
      </c>
      <c r="G63" s="104" t="s">
        <v>86</v>
      </c>
      <c r="H63" s="635" t="s">
        <v>565</v>
      </c>
    </row>
    <row r="64" spans="1:8" x14ac:dyDescent="0.25">
      <c r="A64" s="2">
        <f>A63+1</f>
        <v>23</v>
      </c>
      <c r="B64" s="1"/>
      <c r="C64" s="206"/>
      <c r="E64" s="104"/>
      <c r="F64" s="104"/>
      <c r="G64" s="104"/>
      <c r="H64" s="13"/>
    </row>
    <row r="65" spans="1:11" x14ac:dyDescent="0.25">
      <c r="A65" s="2">
        <f>A64+1</f>
        <v>24</v>
      </c>
      <c r="B65" s="1"/>
      <c r="D65" s="549" t="s">
        <v>1904</v>
      </c>
      <c r="E65" s="7">
        <f>SUM(E60:E62)</f>
        <v>0</v>
      </c>
      <c r="H65" s="667" t="s">
        <v>1906</v>
      </c>
    </row>
    <row r="66" spans="1:11" x14ac:dyDescent="0.25">
      <c r="A66" s="612"/>
      <c r="B66" s="1"/>
      <c r="D66" s="102"/>
      <c r="E66" s="7"/>
    </row>
    <row r="67" spans="1:11" x14ac:dyDescent="0.25">
      <c r="C67" s="1" t="s">
        <v>1103</v>
      </c>
    </row>
    <row r="68" spans="1:11" x14ac:dyDescent="0.25">
      <c r="E68" s="92" t="s">
        <v>394</v>
      </c>
      <c r="F68" s="92" t="s">
        <v>378</v>
      </c>
      <c r="G68" s="92" t="s">
        <v>379</v>
      </c>
      <c r="H68" s="92" t="s">
        <v>380</v>
      </c>
      <c r="I68" s="92" t="s">
        <v>381</v>
      </c>
      <c r="J68" s="92"/>
    </row>
    <row r="69" spans="1:11" x14ac:dyDescent="0.25">
      <c r="C69" s="2" t="s">
        <v>591</v>
      </c>
      <c r="E69" s="2" t="s">
        <v>594</v>
      </c>
      <c r="F69" s="1147" t="str">
        <f>"L "&amp;A117&amp;" to L "&amp;A129&amp;", C3"</f>
        <v>L 53 to L 65, C3</v>
      </c>
      <c r="G69" s="1147" t="str">
        <f>"L "&amp;A157&amp;" to L "&amp;A169&amp;", C3"</f>
        <v>L 79 to L 91, C3</v>
      </c>
      <c r="H69" s="1147" t="str">
        <f>"L "&amp;A137&amp;" to L "&amp;A149&amp;", C3"</f>
        <v>L 66 to L 78, C3</v>
      </c>
      <c r="I69" s="105"/>
      <c r="K69" s="2"/>
    </row>
    <row r="70" spans="1:11" x14ac:dyDescent="0.25">
      <c r="C70" s="2" t="s">
        <v>212</v>
      </c>
      <c r="E70" s="2" t="s">
        <v>595</v>
      </c>
      <c r="F70" s="14"/>
      <c r="G70" s="121" t="s">
        <v>374</v>
      </c>
      <c r="H70" s="121" t="s">
        <v>592</v>
      </c>
      <c r="I70" s="207"/>
      <c r="J70" s="392"/>
      <c r="K70" s="2"/>
    </row>
    <row r="71" spans="1:11" x14ac:dyDescent="0.25">
      <c r="A71" s="53"/>
      <c r="C71" s="25" t="s">
        <v>211</v>
      </c>
      <c r="D71" s="25" t="s">
        <v>212</v>
      </c>
      <c r="E71" s="3" t="s">
        <v>3</v>
      </c>
      <c r="F71" s="135" t="s">
        <v>249</v>
      </c>
      <c r="G71" s="135" t="s">
        <v>375</v>
      </c>
      <c r="H71" s="135" t="s">
        <v>593</v>
      </c>
      <c r="I71" s="208"/>
      <c r="J71" s="3" t="s">
        <v>187</v>
      </c>
    </row>
    <row r="72" spans="1:11" x14ac:dyDescent="0.25">
      <c r="A72" s="2">
        <f>A65+1</f>
        <v>25</v>
      </c>
      <c r="C72" s="20" t="s">
        <v>199</v>
      </c>
      <c r="D72" s="204"/>
      <c r="E72" s="61">
        <f>SUM(F72:H72)</f>
        <v>0</v>
      </c>
      <c r="F72" s="1189">
        <f>G117</f>
        <v>0</v>
      </c>
      <c r="G72" s="1189">
        <f>G157</f>
        <v>0</v>
      </c>
      <c r="H72" s="1189">
        <f>G137</f>
        <v>0</v>
      </c>
      <c r="I72" s="392" t="s">
        <v>86</v>
      </c>
      <c r="J72" s="52" t="s">
        <v>1107</v>
      </c>
    </row>
    <row r="73" spans="1:11" x14ac:dyDescent="0.25">
      <c r="A73" s="2">
        <f>A72+1</f>
        <v>26</v>
      </c>
      <c r="C73" s="20" t="s">
        <v>200</v>
      </c>
      <c r="D73" s="160"/>
      <c r="E73" s="61">
        <f t="shared" ref="E73:E84" si="1">SUM(F73:H73)</f>
        <v>0</v>
      </c>
      <c r="F73" s="1189">
        <f t="shared" ref="F73:F84" si="2">G118</f>
        <v>0</v>
      </c>
      <c r="G73" s="1189">
        <f t="shared" ref="G73:G84" si="3">G158</f>
        <v>0</v>
      </c>
      <c r="H73" s="1189">
        <f t="shared" ref="H73:H84" si="4">G138</f>
        <v>0</v>
      </c>
      <c r="I73" s="392" t="s">
        <v>86</v>
      </c>
      <c r="J73" s="13" t="s">
        <v>1106</v>
      </c>
    </row>
    <row r="74" spans="1:11" x14ac:dyDescent="0.25">
      <c r="A74" s="2">
        <f t="shared" ref="A74:A85" si="5">A73+1</f>
        <v>27</v>
      </c>
      <c r="C74" s="21" t="s">
        <v>201</v>
      </c>
      <c r="D74" s="160"/>
      <c r="E74" s="61">
        <f t="shared" si="1"/>
        <v>0</v>
      </c>
      <c r="F74" s="1189">
        <f t="shared" si="2"/>
        <v>0</v>
      </c>
      <c r="G74" s="1189">
        <f t="shared" si="3"/>
        <v>0</v>
      </c>
      <c r="H74" s="1189">
        <f t="shared" si="4"/>
        <v>0</v>
      </c>
      <c r="I74" s="392" t="s">
        <v>86</v>
      </c>
      <c r="J74" s="392" t="s">
        <v>1105</v>
      </c>
      <c r="K74" s="2"/>
    </row>
    <row r="75" spans="1:11" x14ac:dyDescent="0.25">
      <c r="A75" s="2">
        <f t="shared" si="5"/>
        <v>28</v>
      </c>
      <c r="C75" s="21" t="s">
        <v>214</v>
      </c>
      <c r="D75" s="160"/>
      <c r="E75" s="61">
        <f t="shared" si="1"/>
        <v>0</v>
      </c>
      <c r="F75" s="1189">
        <f t="shared" si="2"/>
        <v>0</v>
      </c>
      <c r="G75" s="1189">
        <f t="shared" si="3"/>
        <v>0</v>
      </c>
      <c r="H75" s="1189">
        <f t="shared" si="4"/>
        <v>0</v>
      </c>
      <c r="I75" s="392" t="s">
        <v>86</v>
      </c>
      <c r="J75" s="392"/>
      <c r="K75" s="2"/>
    </row>
    <row r="76" spans="1:11" x14ac:dyDescent="0.25">
      <c r="A76" s="2">
        <f t="shared" si="5"/>
        <v>29</v>
      </c>
      <c r="C76" s="20" t="s">
        <v>202</v>
      </c>
      <c r="D76" s="160"/>
      <c r="E76" s="61">
        <f t="shared" si="1"/>
        <v>0</v>
      </c>
      <c r="F76" s="1189">
        <f t="shared" si="2"/>
        <v>0</v>
      </c>
      <c r="G76" s="1189">
        <f t="shared" si="3"/>
        <v>0</v>
      </c>
      <c r="H76" s="1189">
        <f t="shared" si="4"/>
        <v>0</v>
      </c>
      <c r="I76" s="392" t="s">
        <v>86</v>
      </c>
      <c r="J76" s="392"/>
      <c r="K76" s="2"/>
    </row>
    <row r="77" spans="1:11" x14ac:dyDescent="0.25">
      <c r="A77" s="2">
        <f t="shared" si="5"/>
        <v>30</v>
      </c>
      <c r="C77" s="21" t="s">
        <v>203</v>
      </c>
      <c r="D77" s="160"/>
      <c r="E77" s="61">
        <f t="shared" si="1"/>
        <v>0</v>
      </c>
      <c r="F77" s="1189">
        <f t="shared" si="2"/>
        <v>0</v>
      </c>
      <c r="G77" s="1189">
        <f t="shared" si="3"/>
        <v>0</v>
      </c>
      <c r="H77" s="1189">
        <f t="shared" si="4"/>
        <v>0</v>
      </c>
      <c r="I77" s="392" t="s">
        <v>86</v>
      </c>
      <c r="J77" s="392"/>
      <c r="K77" s="2"/>
    </row>
    <row r="78" spans="1:11" x14ac:dyDescent="0.25">
      <c r="A78" s="2">
        <f t="shared" si="5"/>
        <v>31</v>
      </c>
      <c r="C78" s="21" t="s">
        <v>204</v>
      </c>
      <c r="D78" s="160"/>
      <c r="E78" s="61">
        <f t="shared" si="1"/>
        <v>0</v>
      </c>
      <c r="F78" s="1189">
        <f t="shared" si="2"/>
        <v>0</v>
      </c>
      <c r="G78" s="1189">
        <f t="shared" si="3"/>
        <v>0</v>
      </c>
      <c r="H78" s="1189">
        <f t="shared" si="4"/>
        <v>0</v>
      </c>
      <c r="I78" s="392" t="s">
        <v>86</v>
      </c>
      <c r="J78" s="392"/>
      <c r="K78" s="2"/>
    </row>
    <row r="79" spans="1:11" x14ac:dyDescent="0.25">
      <c r="A79" s="2">
        <f t="shared" si="5"/>
        <v>32</v>
      </c>
      <c r="C79" s="20" t="s">
        <v>205</v>
      </c>
      <c r="D79" s="160"/>
      <c r="E79" s="61">
        <f t="shared" si="1"/>
        <v>0</v>
      </c>
      <c r="F79" s="1189">
        <f t="shared" si="2"/>
        <v>0</v>
      </c>
      <c r="G79" s="1189">
        <f t="shared" si="3"/>
        <v>0</v>
      </c>
      <c r="H79" s="1189">
        <f t="shared" si="4"/>
        <v>0</v>
      </c>
      <c r="I79" s="392" t="s">
        <v>86</v>
      </c>
      <c r="J79" s="392"/>
      <c r="K79" s="91"/>
    </row>
    <row r="80" spans="1:11" x14ac:dyDescent="0.25">
      <c r="A80" s="2">
        <f t="shared" si="5"/>
        <v>33</v>
      </c>
      <c r="C80" s="21" t="s">
        <v>206</v>
      </c>
      <c r="D80" s="160"/>
      <c r="E80" s="61">
        <f t="shared" si="1"/>
        <v>0</v>
      </c>
      <c r="F80" s="1189">
        <f t="shared" si="2"/>
        <v>0</v>
      </c>
      <c r="G80" s="1189">
        <f t="shared" si="3"/>
        <v>0</v>
      </c>
      <c r="H80" s="1189">
        <f t="shared" si="4"/>
        <v>0</v>
      </c>
      <c r="I80" s="392" t="s">
        <v>86</v>
      </c>
      <c r="J80" s="392"/>
      <c r="K80" s="2"/>
    </row>
    <row r="81" spans="1:11" x14ac:dyDescent="0.25">
      <c r="A81" s="2">
        <f t="shared" si="5"/>
        <v>34</v>
      </c>
      <c r="C81" s="21" t="s">
        <v>207</v>
      </c>
      <c r="D81" s="160"/>
      <c r="E81" s="61">
        <f t="shared" si="1"/>
        <v>0</v>
      </c>
      <c r="F81" s="1189">
        <f t="shared" si="2"/>
        <v>0</v>
      </c>
      <c r="G81" s="1189">
        <f t="shared" si="3"/>
        <v>0</v>
      </c>
      <c r="H81" s="1189">
        <f t="shared" si="4"/>
        <v>0</v>
      </c>
      <c r="I81" s="392" t="s">
        <v>86</v>
      </c>
      <c r="J81" s="392"/>
      <c r="K81" s="2"/>
    </row>
    <row r="82" spans="1:11" x14ac:dyDescent="0.25">
      <c r="A82" s="2">
        <f t="shared" si="5"/>
        <v>35</v>
      </c>
      <c r="C82" s="20" t="s">
        <v>208</v>
      </c>
      <c r="D82" s="160"/>
      <c r="E82" s="61">
        <f t="shared" si="1"/>
        <v>0</v>
      </c>
      <c r="F82" s="1189">
        <f t="shared" si="2"/>
        <v>0</v>
      </c>
      <c r="G82" s="1189">
        <f t="shared" si="3"/>
        <v>0</v>
      </c>
      <c r="H82" s="1189">
        <f t="shared" si="4"/>
        <v>0</v>
      </c>
      <c r="I82" s="392" t="s">
        <v>86</v>
      </c>
      <c r="J82" s="392"/>
      <c r="K82" s="2"/>
    </row>
    <row r="83" spans="1:11" x14ac:dyDescent="0.25">
      <c r="A83" s="2">
        <f t="shared" si="5"/>
        <v>36</v>
      </c>
      <c r="C83" s="20" t="s">
        <v>209</v>
      </c>
      <c r="D83" s="160"/>
      <c r="E83" s="61">
        <f t="shared" si="1"/>
        <v>0</v>
      </c>
      <c r="F83" s="1189">
        <f t="shared" si="2"/>
        <v>0</v>
      </c>
      <c r="G83" s="1189">
        <f t="shared" si="3"/>
        <v>0</v>
      </c>
      <c r="H83" s="1189">
        <f t="shared" si="4"/>
        <v>0</v>
      </c>
      <c r="I83" s="392" t="s">
        <v>86</v>
      </c>
      <c r="J83" s="392"/>
      <c r="K83" s="2"/>
    </row>
    <row r="84" spans="1:11" x14ac:dyDescent="0.25">
      <c r="A84" s="2">
        <f t="shared" si="5"/>
        <v>37</v>
      </c>
      <c r="C84" s="20" t="s">
        <v>199</v>
      </c>
      <c r="D84" s="160"/>
      <c r="E84" s="60">
        <f t="shared" si="1"/>
        <v>0</v>
      </c>
      <c r="F84" s="394">
        <f t="shared" si="2"/>
        <v>0</v>
      </c>
      <c r="G84" s="394">
        <f t="shared" si="3"/>
        <v>0</v>
      </c>
      <c r="H84" s="394">
        <f t="shared" si="4"/>
        <v>0</v>
      </c>
      <c r="I84" s="392" t="s">
        <v>86</v>
      </c>
      <c r="J84" s="392"/>
      <c r="K84" s="2"/>
    </row>
    <row r="85" spans="1:11" x14ac:dyDescent="0.25">
      <c r="A85" s="2">
        <f t="shared" si="5"/>
        <v>38</v>
      </c>
      <c r="C85" s="20"/>
      <c r="D85" s="210" t="s">
        <v>599</v>
      </c>
      <c r="E85" s="115">
        <f>SUM(E72:E84)/13</f>
        <v>0</v>
      </c>
      <c r="F85" s="115">
        <f>SUM(F72:F84)/13</f>
        <v>0</v>
      </c>
      <c r="G85" s="115">
        <f>SUM(G72:G84)/13</f>
        <v>0</v>
      </c>
      <c r="H85" s="115">
        <f>SUM(H72:H84)/13</f>
        <v>0</v>
      </c>
      <c r="I85" s="45"/>
      <c r="J85" s="1"/>
      <c r="K85" s="2"/>
    </row>
    <row r="87" spans="1:11" x14ac:dyDescent="0.25">
      <c r="A87" s="612"/>
      <c r="C87" s="613" t="s">
        <v>1761</v>
      </c>
      <c r="D87" s="614"/>
      <c r="E87" s="615"/>
      <c r="F87" s="615"/>
      <c r="G87" s="615"/>
      <c r="H87" s="615"/>
      <c r="I87" s="1"/>
      <c r="J87" s="1"/>
    </row>
    <row r="88" spans="1:11" x14ac:dyDescent="0.25">
      <c r="A88" s="612"/>
      <c r="C88" s="613"/>
      <c r="D88" s="614"/>
      <c r="E88" s="92" t="s">
        <v>394</v>
      </c>
      <c r="F88" s="92" t="s">
        <v>378</v>
      </c>
      <c r="G88" s="92" t="s">
        <v>379</v>
      </c>
      <c r="H88" s="615"/>
      <c r="I88" s="1"/>
      <c r="J88" s="1"/>
    </row>
    <row r="89" spans="1:11" x14ac:dyDescent="0.25">
      <c r="A89" s="612"/>
      <c r="C89" s="591"/>
      <c r="D89" s="614"/>
      <c r="G89" s="560" t="s">
        <v>1901</v>
      </c>
      <c r="H89" s="615"/>
      <c r="I89" s="1"/>
      <c r="J89" s="1"/>
    </row>
    <row r="90" spans="1:11" x14ac:dyDescent="0.25">
      <c r="A90" s="612"/>
      <c r="C90" s="591"/>
      <c r="D90" s="614"/>
      <c r="E90" s="389" t="s">
        <v>482</v>
      </c>
      <c r="F90" s="615"/>
      <c r="G90" s="616" t="s">
        <v>1762</v>
      </c>
      <c r="H90" s="615"/>
      <c r="I90" s="1"/>
      <c r="J90" s="1"/>
    </row>
    <row r="91" spans="1:11" x14ac:dyDescent="0.25">
      <c r="A91" s="612"/>
      <c r="C91" s="612" t="s">
        <v>591</v>
      </c>
      <c r="E91" s="389" t="s">
        <v>1763</v>
      </c>
      <c r="F91" s="389" t="s">
        <v>110</v>
      </c>
      <c r="G91" s="389" t="s">
        <v>1763</v>
      </c>
      <c r="H91" s="615"/>
      <c r="I91" s="1"/>
      <c r="J91" s="1"/>
    </row>
    <row r="92" spans="1:11" x14ac:dyDescent="0.25">
      <c r="A92" s="612"/>
      <c r="C92" s="612" t="s">
        <v>212</v>
      </c>
      <c r="E92" s="389" t="s">
        <v>8</v>
      </c>
      <c r="F92" s="4" t="s">
        <v>1764</v>
      </c>
      <c r="G92" s="389" t="s">
        <v>8</v>
      </c>
      <c r="H92" s="615"/>
      <c r="I92" s="1"/>
      <c r="J92" s="1"/>
    </row>
    <row r="93" spans="1:11" x14ac:dyDescent="0.25">
      <c r="A93" s="612"/>
      <c r="C93" s="25" t="s">
        <v>211</v>
      </c>
      <c r="D93" s="25" t="s">
        <v>212</v>
      </c>
      <c r="E93" s="390" t="s">
        <v>1765</v>
      </c>
      <c r="F93" s="3" t="s">
        <v>1766</v>
      </c>
      <c r="G93" s="390" t="s">
        <v>1765</v>
      </c>
      <c r="H93" s="390" t="s">
        <v>1767</v>
      </c>
      <c r="I93" s="1"/>
      <c r="J93" s="1"/>
    </row>
    <row r="94" spans="1:11" ht="12.75" customHeight="1" x14ac:dyDescent="0.25">
      <c r="A94" s="612">
        <f>A85+1</f>
        <v>39</v>
      </c>
      <c r="C94" s="591" t="s">
        <v>199</v>
      </c>
      <c r="D94" s="617"/>
      <c r="E94" s="7">
        <f t="shared" ref="E94:E106" si="6">H117+H137+H157+H176+H195+H214+H233+H252+H271+H290</f>
        <v>0</v>
      </c>
      <c r="F94" s="618"/>
      <c r="G94" s="615">
        <f>E94-F94</f>
        <v>0</v>
      </c>
      <c r="H94" s="624" t="s">
        <v>1781</v>
      </c>
      <c r="I94" s="1"/>
      <c r="J94" s="7"/>
    </row>
    <row r="95" spans="1:11" x14ac:dyDescent="0.25">
      <c r="A95" s="612">
        <f>A94+1</f>
        <v>40</v>
      </c>
      <c r="C95" s="591" t="s">
        <v>200</v>
      </c>
      <c r="D95" s="619"/>
      <c r="E95" s="7">
        <f t="shared" si="6"/>
        <v>0</v>
      </c>
      <c r="F95" s="618"/>
      <c r="G95" s="615">
        <f t="shared" ref="G95:G106" si="7">E95-F95</f>
        <v>0</v>
      </c>
      <c r="H95" s="624" t="s">
        <v>1780</v>
      </c>
      <c r="I95" s="80"/>
      <c r="J95" s="7"/>
    </row>
    <row r="96" spans="1:11" x14ac:dyDescent="0.25">
      <c r="A96" s="612">
        <f t="shared" ref="A96:A107" si="8">A95+1</f>
        <v>41</v>
      </c>
      <c r="C96" s="589" t="s">
        <v>201</v>
      </c>
      <c r="D96" s="619"/>
      <c r="E96" s="7">
        <f t="shared" si="6"/>
        <v>0</v>
      </c>
      <c r="F96" s="618"/>
      <c r="G96" s="615">
        <f t="shared" si="7"/>
        <v>0</v>
      </c>
      <c r="H96" s="624"/>
      <c r="I96" s="80"/>
      <c r="J96" s="7"/>
    </row>
    <row r="97" spans="1:10" x14ac:dyDescent="0.25">
      <c r="A97" s="612">
        <f t="shared" si="8"/>
        <v>42</v>
      </c>
      <c r="C97" s="589" t="s">
        <v>214</v>
      </c>
      <c r="D97" s="619"/>
      <c r="E97" s="7">
        <f t="shared" si="6"/>
        <v>0</v>
      </c>
      <c r="F97" s="618"/>
      <c r="G97" s="615">
        <f t="shared" si="7"/>
        <v>0</v>
      </c>
      <c r="H97" s="615"/>
      <c r="I97" s="80"/>
      <c r="J97" s="7"/>
    </row>
    <row r="98" spans="1:10" x14ac:dyDescent="0.25">
      <c r="A98" s="612">
        <f t="shared" si="8"/>
        <v>43</v>
      </c>
      <c r="C98" s="591" t="s">
        <v>202</v>
      </c>
      <c r="D98" s="619"/>
      <c r="E98" s="7">
        <f t="shared" si="6"/>
        <v>0</v>
      </c>
      <c r="F98" s="618"/>
      <c r="G98" s="615">
        <f t="shared" si="7"/>
        <v>0</v>
      </c>
      <c r="H98" s="615"/>
      <c r="I98" s="80"/>
      <c r="J98" s="7"/>
    </row>
    <row r="99" spans="1:10" x14ac:dyDescent="0.25">
      <c r="A99" s="612">
        <f t="shared" si="8"/>
        <v>44</v>
      </c>
      <c r="C99" s="589" t="s">
        <v>203</v>
      </c>
      <c r="D99" s="619"/>
      <c r="E99" s="7">
        <f t="shared" si="6"/>
        <v>0</v>
      </c>
      <c r="F99" s="618"/>
      <c r="G99" s="615">
        <f t="shared" si="7"/>
        <v>0</v>
      </c>
      <c r="H99" s="615"/>
      <c r="I99" s="80"/>
      <c r="J99" s="7"/>
    </row>
    <row r="100" spans="1:10" x14ac:dyDescent="0.25">
      <c r="A100" s="612">
        <f t="shared" si="8"/>
        <v>45</v>
      </c>
      <c r="C100" s="589" t="s">
        <v>204</v>
      </c>
      <c r="D100" s="619"/>
      <c r="E100" s="7">
        <f t="shared" si="6"/>
        <v>0</v>
      </c>
      <c r="F100" s="618"/>
      <c r="G100" s="615">
        <f t="shared" si="7"/>
        <v>0</v>
      </c>
      <c r="H100" s="615"/>
      <c r="I100" s="80"/>
      <c r="J100" s="7"/>
    </row>
    <row r="101" spans="1:10" x14ac:dyDescent="0.25">
      <c r="A101" s="612">
        <f t="shared" si="8"/>
        <v>46</v>
      </c>
      <c r="C101" s="591" t="s">
        <v>205</v>
      </c>
      <c r="D101" s="619"/>
      <c r="E101" s="7">
        <f t="shared" si="6"/>
        <v>0</v>
      </c>
      <c r="F101" s="618"/>
      <c r="G101" s="615">
        <f t="shared" si="7"/>
        <v>0</v>
      </c>
      <c r="H101" s="615"/>
      <c r="I101" s="80"/>
      <c r="J101" s="7"/>
    </row>
    <row r="102" spans="1:10" x14ac:dyDescent="0.25">
      <c r="A102" s="612">
        <f t="shared" si="8"/>
        <v>47</v>
      </c>
      <c r="C102" s="589" t="s">
        <v>206</v>
      </c>
      <c r="D102" s="619"/>
      <c r="E102" s="7">
        <f t="shared" si="6"/>
        <v>0</v>
      </c>
      <c r="F102" s="618"/>
      <c r="G102" s="615">
        <f t="shared" si="7"/>
        <v>0</v>
      </c>
      <c r="H102" s="615"/>
      <c r="I102" s="80"/>
      <c r="J102" s="7"/>
    </row>
    <row r="103" spans="1:10" x14ac:dyDescent="0.25">
      <c r="A103" s="612">
        <f t="shared" si="8"/>
        <v>48</v>
      </c>
      <c r="C103" s="589" t="s">
        <v>207</v>
      </c>
      <c r="D103" s="619"/>
      <c r="E103" s="7">
        <f t="shared" si="6"/>
        <v>0</v>
      </c>
      <c r="F103" s="618"/>
      <c r="G103" s="615">
        <f t="shared" si="7"/>
        <v>0</v>
      </c>
      <c r="H103" s="615"/>
      <c r="I103" s="80"/>
      <c r="J103" s="7"/>
    </row>
    <row r="104" spans="1:10" x14ac:dyDescent="0.25">
      <c r="A104" s="612">
        <f t="shared" si="8"/>
        <v>49</v>
      </c>
      <c r="C104" s="591" t="s">
        <v>208</v>
      </c>
      <c r="D104" s="619"/>
      <c r="E104" s="7">
        <f t="shared" si="6"/>
        <v>0</v>
      </c>
      <c r="F104" s="618"/>
      <c r="G104" s="615">
        <f t="shared" si="7"/>
        <v>0</v>
      </c>
      <c r="H104" s="615"/>
      <c r="I104" s="80"/>
      <c r="J104" s="7"/>
    </row>
    <row r="105" spans="1:10" x14ac:dyDescent="0.25">
      <c r="A105" s="612">
        <f t="shared" si="8"/>
        <v>50</v>
      </c>
      <c r="C105" s="591" t="s">
        <v>209</v>
      </c>
      <c r="D105" s="619"/>
      <c r="E105" s="7">
        <f t="shared" si="6"/>
        <v>0</v>
      </c>
      <c r="F105" s="618"/>
      <c r="G105" s="615">
        <f t="shared" si="7"/>
        <v>0</v>
      </c>
      <c r="H105" s="615"/>
      <c r="I105" s="80"/>
      <c r="J105" s="7"/>
    </row>
    <row r="106" spans="1:10" x14ac:dyDescent="0.25">
      <c r="A106" s="612">
        <f t="shared" si="8"/>
        <v>51</v>
      </c>
      <c r="C106" s="591" t="s">
        <v>199</v>
      </c>
      <c r="D106" s="619"/>
      <c r="E106" s="99">
        <f t="shared" si="6"/>
        <v>0</v>
      </c>
      <c r="F106" s="469"/>
      <c r="G106" s="394">
        <f t="shared" si="7"/>
        <v>0</v>
      </c>
      <c r="H106" s="615"/>
      <c r="I106" s="80"/>
      <c r="J106" s="7"/>
    </row>
    <row r="107" spans="1:10" x14ac:dyDescent="0.25">
      <c r="A107" s="612">
        <f t="shared" si="8"/>
        <v>52</v>
      </c>
      <c r="C107" s="591" t="s">
        <v>215</v>
      </c>
      <c r="D107" s="602"/>
      <c r="E107" s="65">
        <f>SUM(E94:E106)</f>
        <v>0</v>
      </c>
      <c r="F107" s="65">
        <f t="shared" ref="F107:G107" si="9">SUM(F94:F106)</f>
        <v>0</v>
      </c>
      <c r="G107" s="65">
        <f t="shared" si="9"/>
        <v>0</v>
      </c>
      <c r="H107" s="615"/>
      <c r="I107" s="80"/>
      <c r="J107" s="1"/>
    </row>
    <row r="108" spans="1:10" x14ac:dyDescent="0.25">
      <c r="A108" s="612"/>
      <c r="C108" s="591"/>
      <c r="D108" s="602"/>
      <c r="E108" s="65"/>
      <c r="F108" s="615"/>
      <c r="G108" s="615"/>
      <c r="H108" s="615"/>
      <c r="I108" s="80"/>
      <c r="J108" s="1"/>
    </row>
    <row r="110" spans="1:10" x14ac:dyDescent="0.25">
      <c r="C110" s="209" t="s">
        <v>1768</v>
      </c>
    </row>
    <row r="112" spans="1:10" x14ac:dyDescent="0.25">
      <c r="C112" s="1" t="s">
        <v>1769</v>
      </c>
      <c r="E112" s="92" t="s">
        <v>394</v>
      </c>
      <c r="F112" s="92" t="s">
        <v>378</v>
      </c>
      <c r="G112" s="92" t="s">
        <v>379</v>
      </c>
      <c r="H112" s="92" t="s">
        <v>380</v>
      </c>
    </row>
    <row r="113" spans="1:9" x14ac:dyDescent="0.25">
      <c r="G113" s="560" t="s">
        <v>1901</v>
      </c>
      <c r="H113" s="560" t="s">
        <v>1902</v>
      </c>
    </row>
    <row r="114" spans="1:9" x14ac:dyDescent="0.25">
      <c r="C114" s="612" t="s">
        <v>591</v>
      </c>
      <c r="H114" s="552" t="s">
        <v>1903</v>
      </c>
    </row>
    <row r="115" spans="1:9" x14ac:dyDescent="0.25">
      <c r="C115" s="612" t="s">
        <v>212</v>
      </c>
      <c r="E115" s="612" t="s">
        <v>414</v>
      </c>
      <c r="F115" s="612" t="s">
        <v>1770</v>
      </c>
      <c r="G115" s="612" t="s">
        <v>1093</v>
      </c>
      <c r="H115" s="612" t="s">
        <v>1257</v>
      </c>
    </row>
    <row r="116" spans="1:9" x14ac:dyDescent="0.25">
      <c r="C116" s="25" t="s">
        <v>211</v>
      </c>
      <c r="D116" s="25" t="s">
        <v>212</v>
      </c>
      <c r="E116" s="3" t="s">
        <v>1771</v>
      </c>
      <c r="F116" s="3" t="s">
        <v>1206</v>
      </c>
      <c r="G116" s="3" t="s">
        <v>3</v>
      </c>
      <c r="H116" s="3" t="s">
        <v>1766</v>
      </c>
    </row>
    <row r="117" spans="1:9" x14ac:dyDescent="0.25">
      <c r="A117" s="612">
        <f>A107+1</f>
        <v>53</v>
      </c>
      <c r="C117" s="591" t="s">
        <v>199</v>
      </c>
      <c r="D117" s="617"/>
      <c r="E117" s="117"/>
      <c r="F117" s="117"/>
      <c r="G117" s="7">
        <f t="shared" ref="G117:G129" si="10">E117-F117</f>
        <v>0</v>
      </c>
      <c r="H117" s="7">
        <f>E117-E117</f>
        <v>0</v>
      </c>
      <c r="I117" s="690"/>
    </row>
    <row r="118" spans="1:9" x14ac:dyDescent="0.25">
      <c r="A118" s="612">
        <f>A117+1</f>
        <v>54</v>
      </c>
      <c r="C118" s="591" t="s">
        <v>200</v>
      </c>
      <c r="D118" s="619"/>
      <c r="E118" s="117"/>
      <c r="F118" s="117"/>
      <c r="G118" s="7">
        <f t="shared" si="10"/>
        <v>0</v>
      </c>
      <c r="H118" s="7">
        <f>E118-E117</f>
        <v>0</v>
      </c>
    </row>
    <row r="119" spans="1:9" x14ac:dyDescent="0.25">
      <c r="A119" s="612">
        <f t="shared" ref="A119:A129" si="11">A118+1</f>
        <v>55</v>
      </c>
      <c r="C119" s="589" t="s">
        <v>201</v>
      </c>
      <c r="D119" s="619"/>
      <c r="E119" s="117"/>
      <c r="F119" s="117"/>
      <c r="G119" s="7">
        <f t="shared" si="10"/>
        <v>0</v>
      </c>
      <c r="H119" s="7">
        <f t="shared" ref="H119:H129" si="12">E119-E118</f>
        <v>0</v>
      </c>
    </row>
    <row r="120" spans="1:9" x14ac:dyDescent="0.25">
      <c r="A120" s="612">
        <f t="shared" si="11"/>
        <v>56</v>
      </c>
      <c r="C120" s="589" t="s">
        <v>214</v>
      </c>
      <c r="D120" s="619"/>
      <c r="E120" s="117"/>
      <c r="F120" s="117"/>
      <c r="G120" s="7">
        <f t="shared" si="10"/>
        <v>0</v>
      </c>
      <c r="H120" s="7">
        <f t="shared" si="12"/>
        <v>0</v>
      </c>
    </row>
    <row r="121" spans="1:9" x14ac:dyDescent="0.25">
      <c r="A121" s="612">
        <f t="shared" si="11"/>
        <v>57</v>
      </c>
      <c r="C121" s="591" t="s">
        <v>202</v>
      </c>
      <c r="D121" s="619"/>
      <c r="E121" s="117"/>
      <c r="F121" s="117"/>
      <c r="G121" s="7">
        <f t="shared" si="10"/>
        <v>0</v>
      </c>
      <c r="H121" s="7">
        <f t="shared" si="12"/>
        <v>0</v>
      </c>
    </row>
    <row r="122" spans="1:9" x14ac:dyDescent="0.25">
      <c r="A122" s="612">
        <f t="shared" si="11"/>
        <v>58</v>
      </c>
      <c r="C122" s="589" t="s">
        <v>203</v>
      </c>
      <c r="D122" s="619"/>
      <c r="E122" s="117"/>
      <c r="F122" s="117"/>
      <c r="G122" s="7">
        <f t="shared" si="10"/>
        <v>0</v>
      </c>
      <c r="H122" s="7">
        <f t="shared" si="12"/>
        <v>0</v>
      </c>
    </row>
    <row r="123" spans="1:9" x14ac:dyDescent="0.25">
      <c r="A123" s="612">
        <f t="shared" si="11"/>
        <v>59</v>
      </c>
      <c r="C123" s="589" t="s">
        <v>204</v>
      </c>
      <c r="D123" s="619"/>
      <c r="E123" s="117"/>
      <c r="F123" s="117"/>
      <c r="G123" s="7">
        <f t="shared" si="10"/>
        <v>0</v>
      </c>
      <c r="H123" s="7">
        <f t="shared" si="12"/>
        <v>0</v>
      </c>
    </row>
    <row r="124" spans="1:9" x14ac:dyDescent="0.25">
      <c r="A124" s="612">
        <f t="shared" si="11"/>
        <v>60</v>
      </c>
      <c r="C124" s="591" t="s">
        <v>205</v>
      </c>
      <c r="D124" s="619"/>
      <c r="E124" s="117"/>
      <c r="F124" s="117"/>
      <c r="G124" s="7">
        <f t="shared" si="10"/>
        <v>0</v>
      </c>
      <c r="H124" s="7">
        <f t="shared" si="12"/>
        <v>0</v>
      </c>
    </row>
    <row r="125" spans="1:9" x14ac:dyDescent="0.25">
      <c r="A125" s="612">
        <f t="shared" si="11"/>
        <v>61</v>
      </c>
      <c r="C125" s="589" t="s">
        <v>206</v>
      </c>
      <c r="D125" s="619"/>
      <c r="E125" s="117"/>
      <c r="F125" s="117"/>
      <c r="G125" s="7">
        <f t="shared" si="10"/>
        <v>0</v>
      </c>
      <c r="H125" s="7">
        <f t="shared" si="12"/>
        <v>0</v>
      </c>
    </row>
    <row r="126" spans="1:9" x14ac:dyDescent="0.25">
      <c r="A126" s="612">
        <f t="shared" si="11"/>
        <v>62</v>
      </c>
      <c r="C126" s="589" t="s">
        <v>207</v>
      </c>
      <c r="D126" s="619"/>
      <c r="E126" s="117"/>
      <c r="F126" s="117"/>
      <c r="G126" s="7">
        <f t="shared" si="10"/>
        <v>0</v>
      </c>
      <c r="H126" s="7">
        <f t="shared" si="12"/>
        <v>0</v>
      </c>
    </row>
    <row r="127" spans="1:9" x14ac:dyDescent="0.25">
      <c r="A127" s="612">
        <f t="shared" si="11"/>
        <v>63</v>
      </c>
      <c r="C127" s="591" t="s">
        <v>208</v>
      </c>
      <c r="D127" s="619"/>
      <c r="E127" s="117"/>
      <c r="F127" s="117"/>
      <c r="G127" s="7">
        <f t="shared" si="10"/>
        <v>0</v>
      </c>
      <c r="H127" s="7">
        <f t="shared" si="12"/>
        <v>0</v>
      </c>
    </row>
    <row r="128" spans="1:9" x14ac:dyDescent="0.25">
      <c r="A128" s="612">
        <f t="shared" si="11"/>
        <v>64</v>
      </c>
      <c r="C128" s="591" t="s">
        <v>209</v>
      </c>
      <c r="D128" s="619"/>
      <c r="E128" s="117"/>
      <c r="F128" s="117"/>
      <c r="G128" s="7">
        <f t="shared" si="10"/>
        <v>0</v>
      </c>
      <c r="H128" s="7">
        <f t="shared" si="12"/>
        <v>0</v>
      </c>
    </row>
    <row r="129" spans="1:8" x14ac:dyDescent="0.25">
      <c r="A129" s="612">
        <f t="shared" si="11"/>
        <v>65</v>
      </c>
      <c r="C129" s="591" t="s">
        <v>199</v>
      </c>
      <c r="D129" s="619"/>
      <c r="E129" s="117"/>
      <c r="F129" s="117"/>
      <c r="G129" s="7">
        <f t="shared" si="10"/>
        <v>0</v>
      </c>
      <c r="H129" s="7">
        <f t="shared" si="12"/>
        <v>0</v>
      </c>
    </row>
    <row r="130" spans="1:8" x14ac:dyDescent="0.25">
      <c r="A130" s="612"/>
      <c r="C130" s="591"/>
      <c r="D130" s="602"/>
    </row>
    <row r="132" spans="1:8" x14ac:dyDescent="0.25">
      <c r="C132" s="209" t="s">
        <v>1772</v>
      </c>
      <c r="E132" s="92" t="s">
        <v>394</v>
      </c>
      <c r="F132" s="92" t="s">
        <v>378</v>
      </c>
      <c r="G132" s="92" t="s">
        <v>379</v>
      </c>
      <c r="H132" s="92" t="s">
        <v>380</v>
      </c>
    </row>
    <row r="133" spans="1:8" x14ac:dyDescent="0.25">
      <c r="G133" s="560" t="s">
        <v>1901</v>
      </c>
      <c r="H133" s="560" t="s">
        <v>1902</v>
      </c>
    </row>
    <row r="134" spans="1:8" x14ac:dyDescent="0.25">
      <c r="C134" s="612" t="s">
        <v>591</v>
      </c>
      <c r="H134" s="552" t="s">
        <v>1903</v>
      </c>
    </row>
    <row r="135" spans="1:8" x14ac:dyDescent="0.25">
      <c r="C135" s="612" t="s">
        <v>212</v>
      </c>
      <c r="E135" s="612" t="s">
        <v>414</v>
      </c>
      <c r="F135" s="612" t="s">
        <v>1770</v>
      </c>
      <c r="G135" s="612" t="s">
        <v>1093</v>
      </c>
      <c r="H135" s="612" t="s">
        <v>1257</v>
      </c>
    </row>
    <row r="136" spans="1:8" x14ac:dyDescent="0.25">
      <c r="C136" s="25" t="s">
        <v>211</v>
      </c>
      <c r="D136" s="25" t="s">
        <v>212</v>
      </c>
      <c r="E136" s="3" t="s">
        <v>1771</v>
      </c>
      <c r="F136" s="3" t="s">
        <v>1206</v>
      </c>
      <c r="G136" s="3" t="s">
        <v>3</v>
      </c>
      <c r="H136" s="3" t="s">
        <v>1766</v>
      </c>
    </row>
    <row r="137" spans="1:8" x14ac:dyDescent="0.25">
      <c r="A137" s="612">
        <f>A129+1</f>
        <v>66</v>
      </c>
      <c r="C137" s="591" t="s">
        <v>199</v>
      </c>
      <c r="D137" s="617"/>
      <c r="E137" s="117"/>
      <c r="F137" s="117"/>
      <c r="G137" s="7">
        <f>E137-F137</f>
        <v>0</v>
      </c>
      <c r="H137" s="7">
        <f>E137-E137</f>
        <v>0</v>
      </c>
    </row>
    <row r="138" spans="1:8" x14ac:dyDescent="0.25">
      <c r="A138" s="612">
        <f>A137+1</f>
        <v>67</v>
      </c>
      <c r="C138" s="591" t="s">
        <v>200</v>
      </c>
      <c r="D138" s="619"/>
      <c r="E138" s="117"/>
      <c r="F138" s="117"/>
      <c r="G138" s="7">
        <f t="shared" ref="G138:G149" si="13">E138-F138</f>
        <v>0</v>
      </c>
      <c r="H138" s="7">
        <f>E138-E137</f>
        <v>0</v>
      </c>
    </row>
    <row r="139" spans="1:8" x14ac:dyDescent="0.25">
      <c r="A139" s="612">
        <f t="shared" ref="A139:A149" si="14">A138+1</f>
        <v>68</v>
      </c>
      <c r="C139" s="589" t="s">
        <v>201</v>
      </c>
      <c r="D139" s="619"/>
      <c r="E139" s="117"/>
      <c r="F139" s="117"/>
      <c r="G139" s="7">
        <f t="shared" si="13"/>
        <v>0</v>
      </c>
      <c r="H139" s="7">
        <f t="shared" ref="H139:H149" si="15">E139-E138</f>
        <v>0</v>
      </c>
    </row>
    <row r="140" spans="1:8" x14ac:dyDescent="0.25">
      <c r="A140" s="612">
        <f t="shared" si="14"/>
        <v>69</v>
      </c>
      <c r="C140" s="589" t="s">
        <v>214</v>
      </c>
      <c r="D140" s="619"/>
      <c r="E140" s="117"/>
      <c r="F140" s="117"/>
      <c r="G140" s="7">
        <f t="shared" si="13"/>
        <v>0</v>
      </c>
      <c r="H140" s="7">
        <f t="shared" si="15"/>
        <v>0</v>
      </c>
    </row>
    <row r="141" spans="1:8" x14ac:dyDescent="0.25">
      <c r="A141" s="612">
        <f t="shared" si="14"/>
        <v>70</v>
      </c>
      <c r="C141" s="591" t="s">
        <v>202</v>
      </c>
      <c r="D141" s="619"/>
      <c r="E141" s="117"/>
      <c r="F141" s="117"/>
      <c r="G141" s="7">
        <f t="shared" si="13"/>
        <v>0</v>
      </c>
      <c r="H141" s="7">
        <f t="shared" si="15"/>
        <v>0</v>
      </c>
    </row>
    <row r="142" spans="1:8" x14ac:dyDescent="0.25">
      <c r="A142" s="612">
        <f t="shared" si="14"/>
        <v>71</v>
      </c>
      <c r="C142" s="589" t="s">
        <v>203</v>
      </c>
      <c r="D142" s="619"/>
      <c r="E142" s="117"/>
      <c r="F142" s="117"/>
      <c r="G142" s="7">
        <f t="shared" si="13"/>
        <v>0</v>
      </c>
      <c r="H142" s="7">
        <f t="shared" si="15"/>
        <v>0</v>
      </c>
    </row>
    <row r="143" spans="1:8" x14ac:dyDescent="0.25">
      <c r="A143" s="612">
        <f t="shared" si="14"/>
        <v>72</v>
      </c>
      <c r="C143" s="589" t="s">
        <v>204</v>
      </c>
      <c r="D143" s="619"/>
      <c r="E143" s="117"/>
      <c r="F143" s="117"/>
      <c r="G143" s="7">
        <f t="shared" si="13"/>
        <v>0</v>
      </c>
      <c r="H143" s="7">
        <f t="shared" si="15"/>
        <v>0</v>
      </c>
    </row>
    <row r="144" spans="1:8" x14ac:dyDescent="0.25">
      <c r="A144" s="612">
        <f t="shared" si="14"/>
        <v>73</v>
      </c>
      <c r="C144" s="591" t="s">
        <v>205</v>
      </c>
      <c r="D144" s="619"/>
      <c r="E144" s="117"/>
      <c r="F144" s="117"/>
      <c r="G144" s="7">
        <f t="shared" si="13"/>
        <v>0</v>
      </c>
      <c r="H144" s="7">
        <f t="shared" si="15"/>
        <v>0</v>
      </c>
    </row>
    <row r="145" spans="1:8" x14ac:dyDescent="0.25">
      <c r="A145" s="612">
        <f t="shared" si="14"/>
        <v>74</v>
      </c>
      <c r="C145" s="589" t="s">
        <v>206</v>
      </c>
      <c r="D145" s="619"/>
      <c r="E145" s="117"/>
      <c r="F145" s="117"/>
      <c r="G145" s="7">
        <f t="shared" si="13"/>
        <v>0</v>
      </c>
      <c r="H145" s="7">
        <f t="shared" si="15"/>
        <v>0</v>
      </c>
    </row>
    <row r="146" spans="1:8" x14ac:dyDescent="0.25">
      <c r="A146" s="612">
        <f t="shared" si="14"/>
        <v>75</v>
      </c>
      <c r="C146" s="589" t="s">
        <v>207</v>
      </c>
      <c r="D146" s="619"/>
      <c r="E146" s="117"/>
      <c r="F146" s="117"/>
      <c r="G146" s="7">
        <f t="shared" si="13"/>
        <v>0</v>
      </c>
      <c r="H146" s="7">
        <f t="shared" si="15"/>
        <v>0</v>
      </c>
    </row>
    <row r="147" spans="1:8" x14ac:dyDescent="0.25">
      <c r="A147" s="612">
        <f t="shared" si="14"/>
        <v>76</v>
      </c>
      <c r="C147" s="591" t="s">
        <v>208</v>
      </c>
      <c r="D147" s="619"/>
      <c r="E147" s="117"/>
      <c r="F147" s="117"/>
      <c r="G147" s="7">
        <f t="shared" si="13"/>
        <v>0</v>
      </c>
      <c r="H147" s="7">
        <f t="shared" si="15"/>
        <v>0</v>
      </c>
    </row>
    <row r="148" spans="1:8" x14ac:dyDescent="0.25">
      <c r="A148" s="612">
        <f t="shared" si="14"/>
        <v>77</v>
      </c>
      <c r="C148" s="591" t="s">
        <v>209</v>
      </c>
      <c r="D148" s="619"/>
      <c r="E148" s="117"/>
      <c r="F148" s="117"/>
      <c r="G148" s="7">
        <f t="shared" si="13"/>
        <v>0</v>
      </c>
      <c r="H148" s="7">
        <f t="shared" si="15"/>
        <v>0</v>
      </c>
    </row>
    <row r="149" spans="1:8" x14ac:dyDescent="0.25">
      <c r="A149" s="612">
        <f t="shared" si="14"/>
        <v>78</v>
      </c>
      <c r="C149" s="591" t="s">
        <v>199</v>
      </c>
      <c r="D149" s="619"/>
      <c r="E149" s="117"/>
      <c r="F149" s="117"/>
      <c r="G149" s="7">
        <f t="shared" si="13"/>
        <v>0</v>
      </c>
      <c r="H149" s="7">
        <f t="shared" si="15"/>
        <v>0</v>
      </c>
    </row>
    <row r="150" spans="1:8" x14ac:dyDescent="0.25">
      <c r="A150" s="612"/>
    </row>
    <row r="151" spans="1:8" ht="12.75" customHeight="1" x14ac:dyDescent="0.25"/>
    <row r="152" spans="1:8" x14ac:dyDescent="0.25">
      <c r="C152" s="209" t="s">
        <v>1773</v>
      </c>
      <c r="E152" s="92" t="s">
        <v>394</v>
      </c>
      <c r="F152" s="92" t="s">
        <v>378</v>
      </c>
      <c r="G152" s="92" t="s">
        <v>379</v>
      </c>
      <c r="H152" s="92" t="s">
        <v>380</v>
      </c>
    </row>
    <row r="153" spans="1:8" x14ac:dyDescent="0.25">
      <c r="G153" s="560" t="s">
        <v>1901</v>
      </c>
      <c r="H153" s="560" t="s">
        <v>1902</v>
      </c>
    </row>
    <row r="154" spans="1:8" x14ac:dyDescent="0.25">
      <c r="C154" s="612" t="s">
        <v>591</v>
      </c>
      <c r="H154" s="552" t="s">
        <v>1903</v>
      </c>
    </row>
    <row r="155" spans="1:8" x14ac:dyDescent="0.25">
      <c r="C155" s="612" t="s">
        <v>212</v>
      </c>
      <c r="E155" s="612" t="s">
        <v>414</v>
      </c>
      <c r="F155" s="612" t="s">
        <v>1770</v>
      </c>
      <c r="G155" s="612" t="s">
        <v>1093</v>
      </c>
      <c r="H155" s="612" t="s">
        <v>1257</v>
      </c>
    </row>
    <row r="156" spans="1:8" x14ac:dyDescent="0.25">
      <c r="C156" s="25" t="s">
        <v>211</v>
      </c>
      <c r="D156" s="25" t="s">
        <v>212</v>
      </c>
      <c r="E156" s="3" t="s">
        <v>1771</v>
      </c>
      <c r="F156" s="3" t="s">
        <v>1206</v>
      </c>
      <c r="G156" s="3" t="s">
        <v>3</v>
      </c>
      <c r="H156" s="3" t="s">
        <v>1766</v>
      </c>
    </row>
    <row r="157" spans="1:8" x14ac:dyDescent="0.25">
      <c r="A157" s="612">
        <f>A149+1</f>
        <v>79</v>
      </c>
      <c r="C157" s="591" t="s">
        <v>199</v>
      </c>
      <c r="D157" s="617"/>
      <c r="E157" s="117"/>
      <c r="F157" s="117"/>
      <c r="G157" s="7">
        <f t="shared" ref="G157:G169" si="16">E157-F157</f>
        <v>0</v>
      </c>
      <c r="H157" s="7">
        <f>E157-E157</f>
        <v>0</v>
      </c>
    </row>
    <row r="158" spans="1:8" x14ac:dyDescent="0.25">
      <c r="A158" s="612">
        <f>A157+1</f>
        <v>80</v>
      </c>
      <c r="C158" s="591" t="s">
        <v>200</v>
      </c>
      <c r="D158" s="619"/>
      <c r="E158" s="117"/>
      <c r="F158" s="117"/>
      <c r="G158" s="7">
        <f t="shared" si="16"/>
        <v>0</v>
      </c>
      <c r="H158" s="7">
        <f>E158-E157</f>
        <v>0</v>
      </c>
    </row>
    <row r="159" spans="1:8" x14ac:dyDescent="0.25">
      <c r="A159" s="612">
        <f t="shared" ref="A159:A169" si="17">A158+1</f>
        <v>81</v>
      </c>
      <c r="C159" s="589" t="s">
        <v>201</v>
      </c>
      <c r="D159" s="619"/>
      <c r="E159" s="117"/>
      <c r="F159" s="117"/>
      <c r="G159" s="7">
        <f t="shared" si="16"/>
        <v>0</v>
      </c>
      <c r="H159" s="7">
        <f t="shared" ref="H159:H169" si="18">E159-E158</f>
        <v>0</v>
      </c>
    </row>
    <row r="160" spans="1:8" x14ac:dyDescent="0.25">
      <c r="A160" s="612">
        <f t="shared" si="17"/>
        <v>82</v>
      </c>
      <c r="C160" s="589" t="s">
        <v>214</v>
      </c>
      <c r="D160" s="619"/>
      <c r="E160" s="117"/>
      <c r="F160" s="117"/>
      <c r="G160" s="7">
        <f t="shared" si="16"/>
        <v>0</v>
      </c>
      <c r="H160" s="7">
        <f t="shared" si="18"/>
        <v>0</v>
      </c>
    </row>
    <row r="161" spans="1:8" x14ac:dyDescent="0.25">
      <c r="A161" s="612">
        <f t="shared" si="17"/>
        <v>83</v>
      </c>
      <c r="C161" s="591" t="s">
        <v>202</v>
      </c>
      <c r="D161" s="619"/>
      <c r="E161" s="117"/>
      <c r="F161" s="117"/>
      <c r="G161" s="7">
        <f t="shared" si="16"/>
        <v>0</v>
      </c>
      <c r="H161" s="7">
        <f t="shared" si="18"/>
        <v>0</v>
      </c>
    </row>
    <row r="162" spans="1:8" x14ac:dyDescent="0.25">
      <c r="A162" s="612">
        <f t="shared" si="17"/>
        <v>84</v>
      </c>
      <c r="C162" s="589" t="s">
        <v>203</v>
      </c>
      <c r="D162" s="619"/>
      <c r="E162" s="117"/>
      <c r="F162" s="117"/>
      <c r="G162" s="7">
        <f t="shared" si="16"/>
        <v>0</v>
      </c>
      <c r="H162" s="7">
        <f t="shared" si="18"/>
        <v>0</v>
      </c>
    </row>
    <row r="163" spans="1:8" x14ac:dyDescent="0.25">
      <c r="A163" s="612">
        <f t="shared" si="17"/>
        <v>85</v>
      </c>
      <c r="C163" s="589" t="s">
        <v>204</v>
      </c>
      <c r="D163" s="619"/>
      <c r="E163" s="117"/>
      <c r="F163" s="117"/>
      <c r="G163" s="7">
        <f t="shared" si="16"/>
        <v>0</v>
      </c>
      <c r="H163" s="7">
        <f t="shared" si="18"/>
        <v>0</v>
      </c>
    </row>
    <row r="164" spans="1:8" x14ac:dyDescent="0.25">
      <c r="A164" s="612">
        <f t="shared" si="17"/>
        <v>86</v>
      </c>
      <c r="C164" s="591" t="s">
        <v>205</v>
      </c>
      <c r="D164" s="619"/>
      <c r="E164" s="117"/>
      <c r="F164" s="117"/>
      <c r="G164" s="7">
        <f t="shared" si="16"/>
        <v>0</v>
      </c>
      <c r="H164" s="7">
        <f t="shared" si="18"/>
        <v>0</v>
      </c>
    </row>
    <row r="165" spans="1:8" x14ac:dyDescent="0.25">
      <c r="A165" s="612">
        <f t="shared" si="17"/>
        <v>87</v>
      </c>
      <c r="C165" s="589" t="s">
        <v>206</v>
      </c>
      <c r="D165" s="619"/>
      <c r="E165" s="117"/>
      <c r="F165" s="117"/>
      <c r="G165" s="7">
        <f t="shared" si="16"/>
        <v>0</v>
      </c>
      <c r="H165" s="7">
        <f t="shared" si="18"/>
        <v>0</v>
      </c>
    </row>
    <row r="166" spans="1:8" x14ac:dyDescent="0.25">
      <c r="A166" s="612">
        <f t="shared" si="17"/>
        <v>88</v>
      </c>
      <c r="C166" s="589" t="s">
        <v>207</v>
      </c>
      <c r="D166" s="619"/>
      <c r="E166" s="117"/>
      <c r="F166" s="117"/>
      <c r="G166" s="7">
        <f t="shared" si="16"/>
        <v>0</v>
      </c>
      <c r="H166" s="7">
        <f t="shared" si="18"/>
        <v>0</v>
      </c>
    </row>
    <row r="167" spans="1:8" x14ac:dyDescent="0.25">
      <c r="A167" s="612">
        <f t="shared" si="17"/>
        <v>89</v>
      </c>
      <c r="C167" s="591" t="s">
        <v>208</v>
      </c>
      <c r="D167" s="619"/>
      <c r="E167" s="117"/>
      <c r="F167" s="117"/>
      <c r="G167" s="7">
        <f t="shared" si="16"/>
        <v>0</v>
      </c>
      <c r="H167" s="7">
        <f t="shared" si="18"/>
        <v>0</v>
      </c>
    </row>
    <row r="168" spans="1:8" x14ac:dyDescent="0.25">
      <c r="A168" s="612">
        <f t="shared" si="17"/>
        <v>90</v>
      </c>
      <c r="C168" s="591" t="s">
        <v>209</v>
      </c>
      <c r="D168" s="619"/>
      <c r="E168" s="117"/>
      <c r="F168" s="117"/>
      <c r="G168" s="7">
        <f t="shared" si="16"/>
        <v>0</v>
      </c>
      <c r="H168" s="7">
        <f t="shared" si="18"/>
        <v>0</v>
      </c>
    </row>
    <row r="169" spans="1:8" x14ac:dyDescent="0.25">
      <c r="A169" s="612">
        <f t="shared" si="17"/>
        <v>91</v>
      </c>
      <c r="C169" s="591" t="s">
        <v>199</v>
      </c>
      <c r="D169" s="619"/>
      <c r="E169" s="117"/>
      <c r="F169" s="117"/>
      <c r="G169" s="7">
        <f t="shared" si="16"/>
        <v>0</v>
      </c>
      <c r="H169" s="7">
        <f t="shared" si="18"/>
        <v>0</v>
      </c>
    </row>
    <row r="171" spans="1:8" x14ac:dyDescent="0.25">
      <c r="C171" s="209" t="s">
        <v>1774</v>
      </c>
      <c r="E171" s="92" t="s">
        <v>394</v>
      </c>
      <c r="F171" s="92" t="s">
        <v>378</v>
      </c>
      <c r="G171" s="92" t="s">
        <v>379</v>
      </c>
      <c r="H171" s="92" t="s">
        <v>380</v>
      </c>
    </row>
    <row r="172" spans="1:8" x14ac:dyDescent="0.25">
      <c r="G172" s="560" t="s">
        <v>1901</v>
      </c>
      <c r="H172" s="560" t="s">
        <v>1902</v>
      </c>
    </row>
    <row r="173" spans="1:8" x14ac:dyDescent="0.25">
      <c r="C173" s="612" t="s">
        <v>591</v>
      </c>
      <c r="H173" s="552" t="s">
        <v>1903</v>
      </c>
    </row>
    <row r="174" spans="1:8" x14ac:dyDescent="0.25">
      <c r="C174" s="612" t="s">
        <v>212</v>
      </c>
      <c r="E174" s="612" t="s">
        <v>414</v>
      </c>
      <c r="F174" s="612" t="s">
        <v>1770</v>
      </c>
      <c r="G174" s="612" t="s">
        <v>1093</v>
      </c>
      <c r="H174" s="612" t="s">
        <v>1257</v>
      </c>
    </row>
    <row r="175" spans="1:8" x14ac:dyDescent="0.25">
      <c r="C175" s="25" t="s">
        <v>211</v>
      </c>
      <c r="D175" s="25" t="s">
        <v>212</v>
      </c>
      <c r="E175" s="3" t="s">
        <v>1771</v>
      </c>
      <c r="F175" s="3" t="s">
        <v>1206</v>
      </c>
      <c r="G175" s="3" t="s">
        <v>3</v>
      </c>
      <c r="H175" s="3" t="s">
        <v>1766</v>
      </c>
    </row>
    <row r="176" spans="1:8" x14ac:dyDescent="0.25">
      <c r="A176" s="612">
        <f>A169+1</f>
        <v>92</v>
      </c>
      <c r="C176" s="591" t="s">
        <v>199</v>
      </c>
      <c r="D176" s="617"/>
      <c r="E176" s="117"/>
      <c r="F176" s="117"/>
      <c r="G176" s="7">
        <f t="shared" ref="G176:G188" si="19">E176-F176</f>
        <v>0</v>
      </c>
      <c r="H176" s="7">
        <f>E176-E176</f>
        <v>0</v>
      </c>
    </row>
    <row r="177" spans="1:8" x14ac:dyDescent="0.25">
      <c r="A177" s="612">
        <f>A176+1</f>
        <v>93</v>
      </c>
      <c r="C177" s="591" t="s">
        <v>200</v>
      </c>
      <c r="D177" s="619"/>
      <c r="E177" s="117"/>
      <c r="F177" s="117"/>
      <c r="G177" s="7">
        <f t="shared" si="19"/>
        <v>0</v>
      </c>
      <c r="H177" s="7">
        <f>E177-E176</f>
        <v>0</v>
      </c>
    </row>
    <row r="178" spans="1:8" x14ac:dyDescent="0.25">
      <c r="A178" s="612">
        <f t="shared" ref="A178:A188" si="20">A177+1</f>
        <v>94</v>
      </c>
      <c r="C178" s="589" t="s">
        <v>201</v>
      </c>
      <c r="D178" s="619"/>
      <c r="E178" s="117"/>
      <c r="F178" s="117"/>
      <c r="G178" s="7">
        <f t="shared" si="19"/>
        <v>0</v>
      </c>
      <c r="H178" s="7">
        <f t="shared" ref="H178:H188" si="21">E178-E177</f>
        <v>0</v>
      </c>
    </row>
    <row r="179" spans="1:8" x14ac:dyDescent="0.25">
      <c r="A179" s="612">
        <f t="shared" si="20"/>
        <v>95</v>
      </c>
      <c r="C179" s="589" t="s">
        <v>214</v>
      </c>
      <c r="D179" s="619"/>
      <c r="E179" s="117"/>
      <c r="F179" s="117"/>
      <c r="G179" s="7">
        <f t="shared" si="19"/>
        <v>0</v>
      </c>
      <c r="H179" s="7">
        <f t="shared" si="21"/>
        <v>0</v>
      </c>
    </row>
    <row r="180" spans="1:8" x14ac:dyDescent="0.25">
      <c r="A180" s="612">
        <f t="shared" si="20"/>
        <v>96</v>
      </c>
      <c r="C180" s="591" t="s">
        <v>202</v>
      </c>
      <c r="D180" s="619"/>
      <c r="E180" s="117"/>
      <c r="F180" s="117"/>
      <c r="G180" s="7">
        <f t="shared" si="19"/>
        <v>0</v>
      </c>
      <c r="H180" s="7">
        <f t="shared" si="21"/>
        <v>0</v>
      </c>
    </row>
    <row r="181" spans="1:8" x14ac:dyDescent="0.25">
      <c r="A181" s="612">
        <f t="shared" si="20"/>
        <v>97</v>
      </c>
      <c r="C181" s="589" t="s">
        <v>203</v>
      </c>
      <c r="D181" s="619"/>
      <c r="E181" s="117"/>
      <c r="F181" s="117"/>
      <c r="G181" s="7">
        <f t="shared" si="19"/>
        <v>0</v>
      </c>
      <c r="H181" s="7">
        <f t="shared" si="21"/>
        <v>0</v>
      </c>
    </row>
    <row r="182" spans="1:8" x14ac:dyDescent="0.25">
      <c r="A182" s="612">
        <f t="shared" si="20"/>
        <v>98</v>
      </c>
      <c r="C182" s="589" t="s">
        <v>204</v>
      </c>
      <c r="D182" s="619"/>
      <c r="E182" s="117"/>
      <c r="F182" s="117"/>
      <c r="G182" s="7">
        <f t="shared" si="19"/>
        <v>0</v>
      </c>
      <c r="H182" s="7">
        <f t="shared" si="21"/>
        <v>0</v>
      </c>
    </row>
    <row r="183" spans="1:8" x14ac:dyDescent="0.25">
      <c r="A183" s="612">
        <f t="shared" si="20"/>
        <v>99</v>
      </c>
      <c r="C183" s="591" t="s">
        <v>205</v>
      </c>
      <c r="D183" s="619"/>
      <c r="E183" s="117"/>
      <c r="F183" s="117"/>
      <c r="G183" s="7">
        <f t="shared" si="19"/>
        <v>0</v>
      </c>
      <c r="H183" s="7">
        <f t="shared" si="21"/>
        <v>0</v>
      </c>
    </row>
    <row r="184" spans="1:8" x14ac:dyDescent="0.25">
      <c r="A184" s="612">
        <f t="shared" si="20"/>
        <v>100</v>
      </c>
      <c r="C184" s="589" t="s">
        <v>206</v>
      </c>
      <c r="D184" s="619"/>
      <c r="E184" s="117"/>
      <c r="F184" s="117"/>
      <c r="G184" s="7">
        <f t="shared" si="19"/>
        <v>0</v>
      </c>
      <c r="H184" s="7">
        <f t="shared" si="21"/>
        <v>0</v>
      </c>
    </row>
    <row r="185" spans="1:8" x14ac:dyDescent="0.25">
      <c r="A185" s="612">
        <f t="shared" si="20"/>
        <v>101</v>
      </c>
      <c r="C185" s="589" t="s">
        <v>207</v>
      </c>
      <c r="D185" s="619"/>
      <c r="E185" s="117"/>
      <c r="F185" s="117"/>
      <c r="G185" s="7">
        <f t="shared" si="19"/>
        <v>0</v>
      </c>
      <c r="H185" s="7">
        <f t="shared" si="21"/>
        <v>0</v>
      </c>
    </row>
    <row r="186" spans="1:8" x14ac:dyDescent="0.25">
      <c r="A186" s="612">
        <f t="shared" si="20"/>
        <v>102</v>
      </c>
      <c r="C186" s="591" t="s">
        <v>208</v>
      </c>
      <c r="D186" s="619"/>
      <c r="E186" s="117"/>
      <c r="F186" s="117"/>
      <c r="G186" s="7">
        <f t="shared" si="19"/>
        <v>0</v>
      </c>
      <c r="H186" s="7">
        <f t="shared" si="21"/>
        <v>0</v>
      </c>
    </row>
    <row r="187" spans="1:8" x14ac:dyDescent="0.25">
      <c r="A187" s="612">
        <f t="shared" si="20"/>
        <v>103</v>
      </c>
      <c r="C187" s="591" t="s">
        <v>209</v>
      </c>
      <c r="D187" s="619"/>
      <c r="E187" s="117"/>
      <c r="F187" s="117"/>
      <c r="G187" s="7">
        <f t="shared" si="19"/>
        <v>0</v>
      </c>
      <c r="H187" s="7">
        <f t="shared" si="21"/>
        <v>0</v>
      </c>
    </row>
    <row r="188" spans="1:8" x14ac:dyDescent="0.25">
      <c r="A188" s="612">
        <f t="shared" si="20"/>
        <v>104</v>
      </c>
      <c r="C188" s="591" t="s">
        <v>199</v>
      </c>
      <c r="D188" s="619"/>
      <c r="E188" s="117"/>
      <c r="F188" s="117"/>
      <c r="G188" s="7">
        <f t="shared" si="19"/>
        <v>0</v>
      </c>
      <c r="H188" s="7">
        <f t="shared" si="21"/>
        <v>0</v>
      </c>
    </row>
    <row r="190" spans="1:8" x14ac:dyDescent="0.25">
      <c r="C190" s="209" t="s">
        <v>1775</v>
      </c>
      <c r="E190" s="92" t="s">
        <v>394</v>
      </c>
      <c r="F190" s="92" t="s">
        <v>378</v>
      </c>
      <c r="G190" s="92" t="s">
        <v>379</v>
      </c>
      <c r="H190" s="92" t="s">
        <v>380</v>
      </c>
    </row>
    <row r="191" spans="1:8" x14ac:dyDescent="0.25">
      <c r="G191" s="560" t="s">
        <v>1901</v>
      </c>
      <c r="H191" s="560" t="s">
        <v>1902</v>
      </c>
    </row>
    <row r="192" spans="1:8" x14ac:dyDescent="0.25">
      <c r="C192" s="612" t="s">
        <v>591</v>
      </c>
      <c r="H192" s="552" t="s">
        <v>1903</v>
      </c>
    </row>
    <row r="193" spans="1:8" x14ac:dyDescent="0.25">
      <c r="C193" s="612" t="s">
        <v>212</v>
      </c>
      <c r="E193" s="612" t="s">
        <v>414</v>
      </c>
      <c r="F193" s="612" t="s">
        <v>1770</v>
      </c>
      <c r="G193" s="612" t="s">
        <v>1093</v>
      </c>
      <c r="H193" s="612" t="s">
        <v>1257</v>
      </c>
    </row>
    <row r="194" spans="1:8" x14ac:dyDescent="0.25">
      <c r="C194" s="25" t="s">
        <v>211</v>
      </c>
      <c r="D194" s="25" t="s">
        <v>212</v>
      </c>
      <c r="E194" s="3" t="s">
        <v>1771</v>
      </c>
      <c r="F194" s="3" t="s">
        <v>1206</v>
      </c>
      <c r="G194" s="3" t="s">
        <v>3</v>
      </c>
      <c r="H194" s="3" t="s">
        <v>1766</v>
      </c>
    </row>
    <row r="195" spans="1:8" x14ac:dyDescent="0.25">
      <c r="A195" s="612">
        <f>A188+1</f>
        <v>105</v>
      </c>
      <c r="C195" s="591" t="s">
        <v>199</v>
      </c>
      <c r="D195" s="617"/>
      <c r="E195" s="117"/>
      <c r="F195" s="117"/>
      <c r="G195" s="7">
        <f t="shared" ref="G195:G207" si="22">E195-F195</f>
        <v>0</v>
      </c>
      <c r="H195" s="7">
        <f>E195-E195</f>
        <v>0</v>
      </c>
    </row>
    <row r="196" spans="1:8" x14ac:dyDescent="0.25">
      <c r="A196" s="612">
        <f>A195+1</f>
        <v>106</v>
      </c>
      <c r="C196" s="591" t="s">
        <v>200</v>
      </c>
      <c r="D196" s="619"/>
      <c r="E196" s="117"/>
      <c r="F196" s="117"/>
      <c r="G196" s="7">
        <f t="shared" si="22"/>
        <v>0</v>
      </c>
      <c r="H196" s="7">
        <f>E196-E195</f>
        <v>0</v>
      </c>
    </row>
    <row r="197" spans="1:8" x14ac:dyDescent="0.25">
      <c r="A197" s="612">
        <f t="shared" ref="A197:A207" si="23">A196+1</f>
        <v>107</v>
      </c>
      <c r="C197" s="589" t="s">
        <v>201</v>
      </c>
      <c r="D197" s="619"/>
      <c r="E197" s="117"/>
      <c r="F197" s="117"/>
      <c r="G197" s="7">
        <f t="shared" si="22"/>
        <v>0</v>
      </c>
      <c r="H197" s="7">
        <f t="shared" ref="H197:H207" si="24">E197-E196</f>
        <v>0</v>
      </c>
    </row>
    <row r="198" spans="1:8" x14ac:dyDescent="0.25">
      <c r="A198" s="612">
        <f t="shared" si="23"/>
        <v>108</v>
      </c>
      <c r="C198" s="589" t="s">
        <v>214</v>
      </c>
      <c r="D198" s="619"/>
      <c r="E198" s="117"/>
      <c r="F198" s="117"/>
      <c r="G198" s="7">
        <f t="shared" si="22"/>
        <v>0</v>
      </c>
      <c r="H198" s="7">
        <f t="shared" si="24"/>
        <v>0</v>
      </c>
    </row>
    <row r="199" spans="1:8" x14ac:dyDescent="0.25">
      <c r="A199" s="612">
        <f t="shared" si="23"/>
        <v>109</v>
      </c>
      <c r="C199" s="591" t="s">
        <v>202</v>
      </c>
      <c r="D199" s="619"/>
      <c r="E199" s="117"/>
      <c r="F199" s="117"/>
      <c r="G199" s="7">
        <f t="shared" si="22"/>
        <v>0</v>
      </c>
      <c r="H199" s="7">
        <f t="shared" si="24"/>
        <v>0</v>
      </c>
    </row>
    <row r="200" spans="1:8" x14ac:dyDescent="0.25">
      <c r="A200" s="612">
        <f t="shared" si="23"/>
        <v>110</v>
      </c>
      <c r="C200" s="589" t="s">
        <v>203</v>
      </c>
      <c r="D200" s="619"/>
      <c r="E200" s="117"/>
      <c r="F200" s="117"/>
      <c r="G200" s="7">
        <f t="shared" si="22"/>
        <v>0</v>
      </c>
      <c r="H200" s="7">
        <f t="shared" si="24"/>
        <v>0</v>
      </c>
    </row>
    <row r="201" spans="1:8" x14ac:dyDescent="0.25">
      <c r="A201" s="612">
        <f t="shared" si="23"/>
        <v>111</v>
      </c>
      <c r="C201" s="589" t="s">
        <v>204</v>
      </c>
      <c r="D201" s="619"/>
      <c r="E201" s="117"/>
      <c r="F201" s="117"/>
      <c r="G201" s="7">
        <f t="shared" si="22"/>
        <v>0</v>
      </c>
      <c r="H201" s="7">
        <f t="shared" si="24"/>
        <v>0</v>
      </c>
    </row>
    <row r="202" spans="1:8" x14ac:dyDescent="0.25">
      <c r="A202" s="612">
        <f t="shared" si="23"/>
        <v>112</v>
      </c>
      <c r="C202" s="591" t="s">
        <v>205</v>
      </c>
      <c r="D202" s="619"/>
      <c r="E202" s="117"/>
      <c r="F202" s="117"/>
      <c r="G202" s="7">
        <f t="shared" si="22"/>
        <v>0</v>
      </c>
      <c r="H202" s="7">
        <f t="shared" si="24"/>
        <v>0</v>
      </c>
    </row>
    <row r="203" spans="1:8" x14ac:dyDescent="0.25">
      <c r="A203" s="612">
        <f t="shared" si="23"/>
        <v>113</v>
      </c>
      <c r="C203" s="589" t="s">
        <v>206</v>
      </c>
      <c r="D203" s="619"/>
      <c r="E203" s="117"/>
      <c r="F203" s="117"/>
      <c r="G203" s="7">
        <f t="shared" si="22"/>
        <v>0</v>
      </c>
      <c r="H203" s="7">
        <f t="shared" si="24"/>
        <v>0</v>
      </c>
    </row>
    <row r="204" spans="1:8" x14ac:dyDescent="0.25">
      <c r="A204" s="612">
        <f t="shared" si="23"/>
        <v>114</v>
      </c>
      <c r="C204" s="589" t="s">
        <v>207</v>
      </c>
      <c r="D204" s="619"/>
      <c r="E204" s="117"/>
      <c r="F204" s="117"/>
      <c r="G204" s="7">
        <f t="shared" si="22"/>
        <v>0</v>
      </c>
      <c r="H204" s="7">
        <f t="shared" si="24"/>
        <v>0</v>
      </c>
    </row>
    <row r="205" spans="1:8" x14ac:dyDescent="0.25">
      <c r="A205" s="612">
        <f t="shared" si="23"/>
        <v>115</v>
      </c>
      <c r="C205" s="591" t="s">
        <v>208</v>
      </c>
      <c r="D205" s="619"/>
      <c r="E205" s="117"/>
      <c r="F205" s="117"/>
      <c r="G205" s="7">
        <f t="shared" si="22"/>
        <v>0</v>
      </c>
      <c r="H205" s="7">
        <f t="shared" si="24"/>
        <v>0</v>
      </c>
    </row>
    <row r="206" spans="1:8" x14ac:dyDescent="0.25">
      <c r="A206" s="612">
        <f t="shared" si="23"/>
        <v>116</v>
      </c>
      <c r="C206" s="591" t="s">
        <v>209</v>
      </c>
      <c r="D206" s="619"/>
      <c r="E206" s="117"/>
      <c r="F206" s="117"/>
      <c r="G206" s="7">
        <f t="shared" si="22"/>
        <v>0</v>
      </c>
      <c r="H206" s="7">
        <f t="shared" si="24"/>
        <v>0</v>
      </c>
    </row>
    <row r="207" spans="1:8" x14ac:dyDescent="0.25">
      <c r="A207" s="612">
        <f t="shared" si="23"/>
        <v>117</v>
      </c>
      <c r="C207" s="591" t="s">
        <v>199</v>
      </c>
      <c r="D207" s="619"/>
      <c r="E207" s="117"/>
      <c r="F207" s="117"/>
      <c r="G207" s="7">
        <f t="shared" si="22"/>
        <v>0</v>
      </c>
      <c r="H207" s="7">
        <f t="shared" si="24"/>
        <v>0</v>
      </c>
    </row>
    <row r="209" spans="1:8" x14ac:dyDescent="0.25">
      <c r="C209" s="209" t="s">
        <v>1776</v>
      </c>
      <c r="E209" s="92" t="s">
        <v>394</v>
      </c>
      <c r="F209" s="92" t="s">
        <v>378</v>
      </c>
      <c r="G209" s="92" t="s">
        <v>379</v>
      </c>
      <c r="H209" s="92" t="s">
        <v>380</v>
      </c>
    </row>
    <row r="210" spans="1:8" x14ac:dyDescent="0.25">
      <c r="G210" s="560" t="s">
        <v>1901</v>
      </c>
      <c r="H210" s="560" t="s">
        <v>1902</v>
      </c>
    </row>
    <row r="211" spans="1:8" x14ac:dyDescent="0.25">
      <c r="C211" s="612" t="s">
        <v>591</v>
      </c>
      <c r="H211" s="552" t="s">
        <v>1903</v>
      </c>
    </row>
    <row r="212" spans="1:8" x14ac:dyDescent="0.25">
      <c r="C212" s="612" t="s">
        <v>212</v>
      </c>
      <c r="E212" s="612" t="s">
        <v>414</v>
      </c>
      <c r="F212" s="612" t="s">
        <v>1770</v>
      </c>
      <c r="G212" s="612" t="s">
        <v>1093</v>
      </c>
      <c r="H212" s="612" t="s">
        <v>1257</v>
      </c>
    </row>
    <row r="213" spans="1:8" x14ac:dyDescent="0.25">
      <c r="C213" s="25" t="s">
        <v>211</v>
      </c>
      <c r="D213" s="25" t="s">
        <v>212</v>
      </c>
      <c r="E213" s="3" t="s">
        <v>1771</v>
      </c>
      <c r="F213" s="3" t="s">
        <v>1206</v>
      </c>
      <c r="G213" s="3" t="s">
        <v>3</v>
      </c>
      <c r="H213" s="3" t="s">
        <v>1766</v>
      </c>
    </row>
    <row r="214" spans="1:8" x14ac:dyDescent="0.25">
      <c r="A214" s="612">
        <f>A207+1</f>
        <v>118</v>
      </c>
      <c r="C214" s="591" t="s">
        <v>199</v>
      </c>
      <c r="D214" s="617"/>
      <c r="E214" s="117"/>
      <c r="F214" s="117"/>
      <c r="G214" s="7">
        <f t="shared" ref="G214:G226" si="25">E214-F214</f>
        <v>0</v>
      </c>
      <c r="H214" s="7">
        <f>E214-E214</f>
        <v>0</v>
      </c>
    </row>
    <row r="215" spans="1:8" x14ac:dyDescent="0.25">
      <c r="A215" s="612">
        <f>A214+1</f>
        <v>119</v>
      </c>
      <c r="C215" s="591" t="s">
        <v>200</v>
      </c>
      <c r="D215" s="619"/>
      <c r="E215" s="117"/>
      <c r="F215" s="117"/>
      <c r="G215" s="7">
        <f t="shared" si="25"/>
        <v>0</v>
      </c>
      <c r="H215" s="7">
        <f>E215-E214</f>
        <v>0</v>
      </c>
    </row>
    <row r="216" spans="1:8" x14ac:dyDescent="0.25">
      <c r="A216" s="612">
        <f t="shared" ref="A216:A226" si="26">A215+1</f>
        <v>120</v>
      </c>
      <c r="C216" s="589" t="s">
        <v>201</v>
      </c>
      <c r="D216" s="619"/>
      <c r="E216" s="117"/>
      <c r="F216" s="117"/>
      <c r="G216" s="7">
        <f t="shared" si="25"/>
        <v>0</v>
      </c>
      <c r="H216" s="7">
        <f t="shared" ref="H216:H226" si="27">E216-E215</f>
        <v>0</v>
      </c>
    </row>
    <row r="217" spans="1:8" x14ac:dyDescent="0.25">
      <c r="A217" s="612">
        <f t="shared" si="26"/>
        <v>121</v>
      </c>
      <c r="C217" s="589" t="s">
        <v>214</v>
      </c>
      <c r="D217" s="619"/>
      <c r="E217" s="117"/>
      <c r="F217" s="117"/>
      <c r="G217" s="7">
        <f t="shared" si="25"/>
        <v>0</v>
      </c>
      <c r="H217" s="7">
        <f t="shared" si="27"/>
        <v>0</v>
      </c>
    </row>
    <row r="218" spans="1:8" x14ac:dyDescent="0.25">
      <c r="A218" s="612">
        <f t="shared" si="26"/>
        <v>122</v>
      </c>
      <c r="C218" s="591" t="s">
        <v>202</v>
      </c>
      <c r="D218" s="619"/>
      <c r="E218" s="117"/>
      <c r="F218" s="117"/>
      <c r="G218" s="7">
        <f t="shared" si="25"/>
        <v>0</v>
      </c>
      <c r="H218" s="7">
        <f t="shared" si="27"/>
        <v>0</v>
      </c>
    </row>
    <row r="219" spans="1:8" x14ac:dyDescent="0.25">
      <c r="A219" s="612">
        <f t="shared" si="26"/>
        <v>123</v>
      </c>
      <c r="C219" s="589" t="s">
        <v>203</v>
      </c>
      <c r="D219" s="619"/>
      <c r="E219" s="117"/>
      <c r="F219" s="117"/>
      <c r="G219" s="7">
        <f t="shared" si="25"/>
        <v>0</v>
      </c>
      <c r="H219" s="7">
        <f t="shared" si="27"/>
        <v>0</v>
      </c>
    </row>
    <row r="220" spans="1:8" x14ac:dyDescent="0.25">
      <c r="A220" s="612">
        <f t="shared" si="26"/>
        <v>124</v>
      </c>
      <c r="C220" s="589" t="s">
        <v>204</v>
      </c>
      <c r="D220" s="619"/>
      <c r="E220" s="117"/>
      <c r="F220" s="117"/>
      <c r="G220" s="7">
        <f t="shared" si="25"/>
        <v>0</v>
      </c>
      <c r="H220" s="7">
        <f t="shared" si="27"/>
        <v>0</v>
      </c>
    </row>
    <row r="221" spans="1:8" x14ac:dyDescent="0.25">
      <c r="A221" s="612">
        <f t="shared" si="26"/>
        <v>125</v>
      </c>
      <c r="C221" s="591" t="s">
        <v>205</v>
      </c>
      <c r="D221" s="619"/>
      <c r="E221" s="117"/>
      <c r="F221" s="117"/>
      <c r="G221" s="7">
        <f t="shared" si="25"/>
        <v>0</v>
      </c>
      <c r="H221" s="7">
        <f t="shared" si="27"/>
        <v>0</v>
      </c>
    </row>
    <row r="222" spans="1:8" x14ac:dyDescent="0.25">
      <c r="A222" s="612">
        <f t="shared" si="26"/>
        <v>126</v>
      </c>
      <c r="C222" s="589" t="s">
        <v>206</v>
      </c>
      <c r="D222" s="619"/>
      <c r="E222" s="117"/>
      <c r="F222" s="117"/>
      <c r="G222" s="7">
        <f t="shared" si="25"/>
        <v>0</v>
      </c>
      <c r="H222" s="7">
        <f t="shared" si="27"/>
        <v>0</v>
      </c>
    </row>
    <row r="223" spans="1:8" x14ac:dyDescent="0.25">
      <c r="A223" s="612">
        <f t="shared" si="26"/>
        <v>127</v>
      </c>
      <c r="C223" s="589" t="s">
        <v>207</v>
      </c>
      <c r="D223" s="619"/>
      <c r="E223" s="117"/>
      <c r="F223" s="117"/>
      <c r="G223" s="7">
        <f t="shared" si="25"/>
        <v>0</v>
      </c>
      <c r="H223" s="7">
        <f t="shared" si="27"/>
        <v>0</v>
      </c>
    </row>
    <row r="224" spans="1:8" x14ac:dyDescent="0.25">
      <c r="A224" s="612">
        <f t="shared" si="26"/>
        <v>128</v>
      </c>
      <c r="C224" s="591" t="s">
        <v>208</v>
      </c>
      <c r="D224" s="619"/>
      <c r="E224" s="117"/>
      <c r="F224" s="117"/>
      <c r="G224" s="7">
        <f t="shared" si="25"/>
        <v>0</v>
      </c>
      <c r="H224" s="7">
        <f t="shared" si="27"/>
        <v>0</v>
      </c>
    </row>
    <row r="225" spans="1:8" x14ac:dyDescent="0.25">
      <c r="A225" s="612">
        <f t="shared" si="26"/>
        <v>129</v>
      </c>
      <c r="C225" s="591" t="s">
        <v>209</v>
      </c>
      <c r="D225" s="619"/>
      <c r="E225" s="117"/>
      <c r="F225" s="117"/>
      <c r="G225" s="7">
        <f t="shared" si="25"/>
        <v>0</v>
      </c>
      <c r="H225" s="7">
        <f t="shared" si="27"/>
        <v>0</v>
      </c>
    </row>
    <row r="226" spans="1:8" x14ac:dyDescent="0.25">
      <c r="A226" s="612">
        <f t="shared" si="26"/>
        <v>130</v>
      </c>
      <c r="C226" s="591" t="s">
        <v>199</v>
      </c>
      <c r="D226" s="619"/>
      <c r="E226" s="117"/>
      <c r="F226" s="117"/>
      <c r="G226" s="7">
        <f t="shared" si="25"/>
        <v>0</v>
      </c>
      <c r="H226" s="7">
        <f t="shared" si="27"/>
        <v>0</v>
      </c>
    </row>
    <row r="228" spans="1:8" x14ac:dyDescent="0.25">
      <c r="C228" s="209" t="s">
        <v>1817</v>
      </c>
      <c r="H228" s="92" t="s">
        <v>380</v>
      </c>
    </row>
    <row r="229" spans="1:8" x14ac:dyDescent="0.25">
      <c r="E229" s="92" t="s">
        <v>394</v>
      </c>
      <c r="F229" s="92" t="s">
        <v>378</v>
      </c>
      <c r="G229" s="92" t="s">
        <v>379</v>
      </c>
      <c r="H229" s="560" t="s">
        <v>1902</v>
      </c>
    </row>
    <row r="230" spans="1:8" x14ac:dyDescent="0.25">
      <c r="C230" s="612" t="s">
        <v>591</v>
      </c>
      <c r="G230" s="560" t="s">
        <v>1901</v>
      </c>
      <c r="H230" s="552" t="s">
        <v>1903</v>
      </c>
    </row>
    <row r="231" spans="1:8" x14ac:dyDescent="0.25">
      <c r="C231" s="612" t="s">
        <v>212</v>
      </c>
      <c r="E231" s="612" t="s">
        <v>414</v>
      </c>
      <c r="F231" s="612" t="s">
        <v>1770</v>
      </c>
      <c r="G231" s="612" t="s">
        <v>1093</v>
      </c>
      <c r="H231" s="612" t="s">
        <v>1257</v>
      </c>
    </row>
    <row r="232" spans="1:8" x14ac:dyDescent="0.25">
      <c r="C232" s="25" t="s">
        <v>211</v>
      </c>
      <c r="D232" s="25" t="s">
        <v>212</v>
      </c>
      <c r="E232" s="3" t="s">
        <v>1771</v>
      </c>
      <c r="F232" s="3" t="s">
        <v>1206</v>
      </c>
      <c r="G232" s="3" t="s">
        <v>3</v>
      </c>
      <c r="H232" s="3" t="s">
        <v>1766</v>
      </c>
    </row>
    <row r="233" spans="1:8" x14ac:dyDescent="0.25">
      <c r="A233" s="612">
        <f>A226+1</f>
        <v>131</v>
      </c>
      <c r="C233" s="591" t="s">
        <v>199</v>
      </c>
      <c r="D233" s="617"/>
      <c r="E233" s="117"/>
      <c r="F233" s="117"/>
      <c r="G233" s="7">
        <f t="shared" ref="G233:G245" si="28">E233-F233</f>
        <v>0</v>
      </c>
      <c r="H233" s="7">
        <f>E233-E233</f>
        <v>0</v>
      </c>
    </row>
    <row r="234" spans="1:8" x14ac:dyDescent="0.25">
      <c r="A234" s="612">
        <f>A233+1</f>
        <v>132</v>
      </c>
      <c r="C234" s="591" t="s">
        <v>200</v>
      </c>
      <c r="D234" s="619"/>
      <c r="E234" s="117"/>
      <c r="F234" s="117"/>
      <c r="G234" s="7">
        <f t="shared" si="28"/>
        <v>0</v>
      </c>
      <c r="H234" s="7">
        <f>E234-E233</f>
        <v>0</v>
      </c>
    </row>
    <row r="235" spans="1:8" x14ac:dyDescent="0.25">
      <c r="A235" s="612">
        <f t="shared" ref="A235:A245" si="29">A234+1</f>
        <v>133</v>
      </c>
      <c r="C235" s="589" t="s">
        <v>201</v>
      </c>
      <c r="D235" s="619"/>
      <c r="E235" s="117"/>
      <c r="F235" s="117"/>
      <c r="G235" s="7">
        <f t="shared" si="28"/>
        <v>0</v>
      </c>
      <c r="H235" s="7">
        <f t="shared" ref="H235:H245" si="30">E235-E234</f>
        <v>0</v>
      </c>
    </row>
    <row r="236" spans="1:8" x14ac:dyDescent="0.25">
      <c r="A236" s="612">
        <f t="shared" si="29"/>
        <v>134</v>
      </c>
      <c r="C236" s="589" t="s">
        <v>214</v>
      </c>
      <c r="D236" s="619"/>
      <c r="E236" s="117"/>
      <c r="F236" s="117"/>
      <c r="G236" s="7">
        <f t="shared" si="28"/>
        <v>0</v>
      </c>
      <c r="H236" s="7">
        <f t="shared" si="30"/>
        <v>0</v>
      </c>
    </row>
    <row r="237" spans="1:8" x14ac:dyDescent="0.25">
      <c r="A237" s="612">
        <f t="shared" si="29"/>
        <v>135</v>
      </c>
      <c r="C237" s="591" t="s">
        <v>202</v>
      </c>
      <c r="D237" s="619"/>
      <c r="E237" s="117"/>
      <c r="F237" s="117"/>
      <c r="G237" s="7">
        <f t="shared" si="28"/>
        <v>0</v>
      </c>
      <c r="H237" s="7">
        <f t="shared" si="30"/>
        <v>0</v>
      </c>
    </row>
    <row r="238" spans="1:8" x14ac:dyDescent="0.25">
      <c r="A238" s="612">
        <f t="shared" si="29"/>
        <v>136</v>
      </c>
      <c r="C238" s="589" t="s">
        <v>203</v>
      </c>
      <c r="D238" s="619"/>
      <c r="E238" s="117"/>
      <c r="F238" s="117"/>
      <c r="G238" s="7">
        <f t="shared" si="28"/>
        <v>0</v>
      </c>
      <c r="H238" s="7">
        <f t="shared" si="30"/>
        <v>0</v>
      </c>
    </row>
    <row r="239" spans="1:8" x14ac:dyDescent="0.25">
      <c r="A239" s="612">
        <f t="shared" si="29"/>
        <v>137</v>
      </c>
      <c r="C239" s="589" t="s">
        <v>204</v>
      </c>
      <c r="D239" s="619"/>
      <c r="E239" s="117"/>
      <c r="F239" s="117"/>
      <c r="G239" s="7">
        <f t="shared" si="28"/>
        <v>0</v>
      </c>
      <c r="H239" s="7">
        <f t="shared" si="30"/>
        <v>0</v>
      </c>
    </row>
    <row r="240" spans="1:8" x14ac:dyDescent="0.25">
      <c r="A240" s="612">
        <f t="shared" si="29"/>
        <v>138</v>
      </c>
      <c r="C240" s="591" t="s">
        <v>205</v>
      </c>
      <c r="D240" s="619"/>
      <c r="E240" s="117"/>
      <c r="F240" s="117"/>
      <c r="G240" s="7">
        <f t="shared" si="28"/>
        <v>0</v>
      </c>
      <c r="H240" s="7">
        <f t="shared" si="30"/>
        <v>0</v>
      </c>
    </row>
    <row r="241" spans="1:8" x14ac:dyDescent="0.25">
      <c r="A241" s="612">
        <f t="shared" si="29"/>
        <v>139</v>
      </c>
      <c r="C241" s="589" t="s">
        <v>206</v>
      </c>
      <c r="D241" s="619"/>
      <c r="E241" s="117"/>
      <c r="F241" s="117"/>
      <c r="G241" s="7">
        <f t="shared" si="28"/>
        <v>0</v>
      </c>
      <c r="H241" s="7">
        <f t="shared" si="30"/>
        <v>0</v>
      </c>
    </row>
    <row r="242" spans="1:8" x14ac:dyDescent="0.25">
      <c r="A242" s="612">
        <f t="shared" si="29"/>
        <v>140</v>
      </c>
      <c r="C242" s="589" t="s">
        <v>207</v>
      </c>
      <c r="D242" s="619"/>
      <c r="E242" s="117"/>
      <c r="F242" s="117"/>
      <c r="G242" s="7">
        <f t="shared" si="28"/>
        <v>0</v>
      </c>
      <c r="H242" s="7">
        <f t="shared" si="30"/>
        <v>0</v>
      </c>
    </row>
    <row r="243" spans="1:8" x14ac:dyDescent="0.25">
      <c r="A243" s="612">
        <f t="shared" si="29"/>
        <v>141</v>
      </c>
      <c r="C243" s="591" t="s">
        <v>208</v>
      </c>
      <c r="D243" s="619"/>
      <c r="E243" s="117"/>
      <c r="F243" s="117"/>
      <c r="G243" s="7">
        <f t="shared" si="28"/>
        <v>0</v>
      </c>
      <c r="H243" s="7">
        <f t="shared" si="30"/>
        <v>0</v>
      </c>
    </row>
    <row r="244" spans="1:8" x14ac:dyDescent="0.25">
      <c r="A244" s="612">
        <f t="shared" si="29"/>
        <v>142</v>
      </c>
      <c r="C244" s="591" t="s">
        <v>209</v>
      </c>
      <c r="D244" s="619"/>
      <c r="E244" s="117"/>
      <c r="F244" s="117"/>
      <c r="G244" s="7">
        <f t="shared" si="28"/>
        <v>0</v>
      </c>
      <c r="H244" s="7">
        <f t="shared" si="30"/>
        <v>0</v>
      </c>
    </row>
    <row r="245" spans="1:8" x14ac:dyDescent="0.25">
      <c r="A245" s="612">
        <f t="shared" si="29"/>
        <v>143</v>
      </c>
      <c r="C245" s="591" t="s">
        <v>199</v>
      </c>
      <c r="D245" s="619"/>
      <c r="E245" s="117"/>
      <c r="F245" s="117"/>
      <c r="G245" s="7">
        <f t="shared" si="28"/>
        <v>0</v>
      </c>
      <c r="H245" s="7">
        <f t="shared" si="30"/>
        <v>0</v>
      </c>
    </row>
    <row r="247" spans="1:8" x14ac:dyDescent="0.25">
      <c r="C247" s="209" t="s">
        <v>1818</v>
      </c>
      <c r="H247" s="92" t="s">
        <v>380</v>
      </c>
    </row>
    <row r="248" spans="1:8" x14ac:dyDescent="0.25">
      <c r="E248" s="92" t="s">
        <v>394</v>
      </c>
      <c r="F248" s="92" t="s">
        <v>378</v>
      </c>
      <c r="G248" s="92" t="s">
        <v>379</v>
      </c>
      <c r="H248" s="560" t="s">
        <v>1902</v>
      </c>
    </row>
    <row r="249" spans="1:8" x14ac:dyDescent="0.25">
      <c r="C249" s="612" t="s">
        <v>591</v>
      </c>
      <c r="G249" s="560" t="s">
        <v>1901</v>
      </c>
      <c r="H249" s="552" t="s">
        <v>1903</v>
      </c>
    </row>
    <row r="250" spans="1:8" x14ac:dyDescent="0.25">
      <c r="C250" s="612" t="s">
        <v>212</v>
      </c>
      <c r="E250" s="612" t="s">
        <v>414</v>
      </c>
      <c r="F250" s="612" t="s">
        <v>1770</v>
      </c>
      <c r="G250" s="612" t="s">
        <v>1093</v>
      </c>
      <c r="H250" s="612" t="s">
        <v>1257</v>
      </c>
    </row>
    <row r="251" spans="1:8" x14ac:dyDescent="0.25">
      <c r="C251" s="25" t="s">
        <v>211</v>
      </c>
      <c r="D251" s="25" t="s">
        <v>212</v>
      </c>
      <c r="E251" s="3" t="s">
        <v>1771</v>
      </c>
      <c r="F251" s="3" t="s">
        <v>1206</v>
      </c>
      <c r="G251" s="3" t="s">
        <v>3</v>
      </c>
      <c r="H251" s="3" t="s">
        <v>1766</v>
      </c>
    </row>
    <row r="252" spans="1:8" x14ac:dyDescent="0.25">
      <c r="A252" s="612">
        <f>A245+1</f>
        <v>144</v>
      </c>
      <c r="C252" s="591" t="s">
        <v>199</v>
      </c>
      <c r="D252" s="617"/>
      <c r="E252" s="117"/>
      <c r="F252" s="117"/>
      <c r="G252" s="7">
        <f t="shared" ref="G252:G264" si="31">E252-F252</f>
        <v>0</v>
      </c>
      <c r="H252" s="7">
        <f>E252-E252</f>
        <v>0</v>
      </c>
    </row>
    <row r="253" spans="1:8" x14ac:dyDescent="0.25">
      <c r="A253" s="612">
        <f>A252+1</f>
        <v>145</v>
      </c>
      <c r="C253" s="591" t="s">
        <v>200</v>
      </c>
      <c r="D253" s="619"/>
      <c r="E253" s="117"/>
      <c r="F253" s="117"/>
      <c r="G253" s="7">
        <f t="shared" si="31"/>
        <v>0</v>
      </c>
      <c r="H253" s="7">
        <f>E253-E252</f>
        <v>0</v>
      </c>
    </row>
    <row r="254" spans="1:8" x14ac:dyDescent="0.25">
      <c r="A254" s="612">
        <f t="shared" ref="A254:A264" si="32">A253+1</f>
        <v>146</v>
      </c>
      <c r="C254" s="589" t="s">
        <v>201</v>
      </c>
      <c r="D254" s="619"/>
      <c r="E254" s="117"/>
      <c r="F254" s="117"/>
      <c r="G254" s="7">
        <f t="shared" si="31"/>
        <v>0</v>
      </c>
      <c r="H254" s="7">
        <f t="shared" ref="H254:H264" si="33">E254-E253</f>
        <v>0</v>
      </c>
    </row>
    <row r="255" spans="1:8" x14ac:dyDescent="0.25">
      <c r="A255" s="612">
        <f t="shared" si="32"/>
        <v>147</v>
      </c>
      <c r="C255" s="589" t="s">
        <v>214</v>
      </c>
      <c r="D255" s="619"/>
      <c r="E255" s="117"/>
      <c r="F255" s="117"/>
      <c r="G255" s="7">
        <f t="shared" si="31"/>
        <v>0</v>
      </c>
      <c r="H255" s="7">
        <f t="shared" si="33"/>
        <v>0</v>
      </c>
    </row>
    <row r="256" spans="1:8" x14ac:dyDescent="0.25">
      <c r="A256" s="612">
        <f t="shared" si="32"/>
        <v>148</v>
      </c>
      <c r="C256" s="591" t="s">
        <v>202</v>
      </c>
      <c r="D256" s="619"/>
      <c r="E256" s="117"/>
      <c r="F256" s="117"/>
      <c r="G256" s="7">
        <f t="shared" si="31"/>
        <v>0</v>
      </c>
      <c r="H256" s="7">
        <f t="shared" si="33"/>
        <v>0</v>
      </c>
    </row>
    <row r="257" spans="1:8" x14ac:dyDescent="0.25">
      <c r="A257" s="612">
        <f t="shared" si="32"/>
        <v>149</v>
      </c>
      <c r="C257" s="589" t="s">
        <v>203</v>
      </c>
      <c r="D257" s="619"/>
      <c r="E257" s="117"/>
      <c r="F257" s="117"/>
      <c r="G257" s="7">
        <f t="shared" si="31"/>
        <v>0</v>
      </c>
      <c r="H257" s="7">
        <f t="shared" si="33"/>
        <v>0</v>
      </c>
    </row>
    <row r="258" spans="1:8" x14ac:dyDescent="0.25">
      <c r="A258" s="612">
        <f t="shared" si="32"/>
        <v>150</v>
      </c>
      <c r="C258" s="589" t="s">
        <v>204</v>
      </c>
      <c r="D258" s="619"/>
      <c r="E258" s="117"/>
      <c r="F258" s="117"/>
      <c r="G258" s="7">
        <f t="shared" si="31"/>
        <v>0</v>
      </c>
      <c r="H258" s="7">
        <f t="shared" si="33"/>
        <v>0</v>
      </c>
    </row>
    <row r="259" spans="1:8" x14ac:dyDescent="0.25">
      <c r="A259" s="612">
        <f t="shared" si="32"/>
        <v>151</v>
      </c>
      <c r="C259" s="591" t="s">
        <v>205</v>
      </c>
      <c r="D259" s="619"/>
      <c r="E259" s="117"/>
      <c r="F259" s="117"/>
      <c r="G259" s="7">
        <f t="shared" si="31"/>
        <v>0</v>
      </c>
      <c r="H259" s="7">
        <f t="shared" si="33"/>
        <v>0</v>
      </c>
    </row>
    <row r="260" spans="1:8" x14ac:dyDescent="0.25">
      <c r="A260" s="612">
        <f t="shared" si="32"/>
        <v>152</v>
      </c>
      <c r="C260" s="589" t="s">
        <v>206</v>
      </c>
      <c r="D260" s="619"/>
      <c r="E260" s="117"/>
      <c r="F260" s="117"/>
      <c r="G260" s="7">
        <f t="shared" si="31"/>
        <v>0</v>
      </c>
      <c r="H260" s="7">
        <f t="shared" si="33"/>
        <v>0</v>
      </c>
    </row>
    <row r="261" spans="1:8" x14ac:dyDescent="0.25">
      <c r="A261" s="612">
        <f t="shared" si="32"/>
        <v>153</v>
      </c>
      <c r="C261" s="589" t="s">
        <v>207</v>
      </c>
      <c r="D261" s="619"/>
      <c r="E261" s="117"/>
      <c r="F261" s="117"/>
      <c r="G261" s="7">
        <f t="shared" si="31"/>
        <v>0</v>
      </c>
      <c r="H261" s="7">
        <f t="shared" si="33"/>
        <v>0</v>
      </c>
    </row>
    <row r="262" spans="1:8" x14ac:dyDescent="0.25">
      <c r="A262" s="612">
        <f t="shared" si="32"/>
        <v>154</v>
      </c>
      <c r="C262" s="591" t="s">
        <v>208</v>
      </c>
      <c r="D262" s="619"/>
      <c r="E262" s="117"/>
      <c r="F262" s="117"/>
      <c r="G262" s="7">
        <f t="shared" si="31"/>
        <v>0</v>
      </c>
      <c r="H262" s="7">
        <f t="shared" si="33"/>
        <v>0</v>
      </c>
    </row>
    <row r="263" spans="1:8" x14ac:dyDescent="0.25">
      <c r="A263" s="612">
        <f t="shared" si="32"/>
        <v>155</v>
      </c>
      <c r="C263" s="591" t="s">
        <v>209</v>
      </c>
      <c r="D263" s="619"/>
      <c r="E263" s="117"/>
      <c r="F263" s="117"/>
      <c r="G263" s="7">
        <f t="shared" si="31"/>
        <v>0</v>
      </c>
      <c r="H263" s="7">
        <f t="shared" si="33"/>
        <v>0</v>
      </c>
    </row>
    <row r="264" spans="1:8" x14ac:dyDescent="0.25">
      <c r="A264" s="612">
        <f t="shared" si="32"/>
        <v>156</v>
      </c>
      <c r="C264" s="591" t="s">
        <v>199</v>
      </c>
      <c r="D264" s="619"/>
      <c r="E264" s="117"/>
      <c r="F264" s="117"/>
      <c r="G264" s="7">
        <f t="shared" si="31"/>
        <v>0</v>
      </c>
      <c r="H264" s="7">
        <f t="shared" si="33"/>
        <v>0</v>
      </c>
    </row>
    <row r="266" spans="1:8" x14ac:dyDescent="0.25">
      <c r="C266" s="209" t="s">
        <v>1777</v>
      </c>
      <c r="E266" s="92" t="s">
        <v>394</v>
      </c>
      <c r="F266" s="92" t="s">
        <v>378</v>
      </c>
      <c r="G266" s="92" t="s">
        <v>379</v>
      </c>
      <c r="H266" s="92" t="s">
        <v>380</v>
      </c>
    </row>
    <row r="267" spans="1:8" x14ac:dyDescent="0.25">
      <c r="G267" s="560" t="s">
        <v>1901</v>
      </c>
      <c r="H267" s="560" t="s">
        <v>1902</v>
      </c>
    </row>
    <row r="268" spans="1:8" x14ac:dyDescent="0.25">
      <c r="C268" s="612" t="s">
        <v>591</v>
      </c>
      <c r="H268" s="552" t="s">
        <v>1903</v>
      </c>
    </row>
    <row r="269" spans="1:8" x14ac:dyDescent="0.25">
      <c r="C269" s="612" t="s">
        <v>212</v>
      </c>
      <c r="E269" s="612" t="s">
        <v>414</v>
      </c>
      <c r="F269" s="612" t="s">
        <v>1770</v>
      </c>
      <c r="G269" s="612" t="s">
        <v>1093</v>
      </c>
      <c r="H269" s="612" t="s">
        <v>1257</v>
      </c>
    </row>
    <row r="270" spans="1:8" x14ac:dyDescent="0.25">
      <c r="C270" s="25" t="s">
        <v>211</v>
      </c>
      <c r="D270" s="25" t="s">
        <v>212</v>
      </c>
      <c r="E270" s="3" t="s">
        <v>1771</v>
      </c>
      <c r="F270" s="3" t="s">
        <v>1206</v>
      </c>
      <c r="G270" s="3" t="s">
        <v>3</v>
      </c>
      <c r="H270" s="3" t="s">
        <v>1766</v>
      </c>
    </row>
    <row r="271" spans="1:8" x14ac:dyDescent="0.25">
      <c r="A271" s="612">
        <f>A264+1</f>
        <v>157</v>
      </c>
      <c r="C271" s="591" t="s">
        <v>199</v>
      </c>
      <c r="D271" s="617"/>
      <c r="E271" s="117"/>
      <c r="F271" s="117"/>
      <c r="G271" s="7">
        <f t="shared" ref="G271:G283" si="34">E271-F271</f>
        <v>0</v>
      </c>
      <c r="H271" s="7">
        <f>E271-E271</f>
        <v>0</v>
      </c>
    </row>
    <row r="272" spans="1:8" x14ac:dyDescent="0.25">
      <c r="A272" s="612">
        <f>A271+1</f>
        <v>158</v>
      </c>
      <c r="C272" s="591" t="s">
        <v>200</v>
      </c>
      <c r="D272" s="619"/>
      <c r="E272" s="117"/>
      <c r="F272" s="117"/>
      <c r="G272" s="7">
        <f t="shared" si="34"/>
        <v>0</v>
      </c>
      <c r="H272" s="7">
        <f>E272-E271</f>
        <v>0</v>
      </c>
    </row>
    <row r="273" spans="1:8" x14ac:dyDescent="0.25">
      <c r="A273" s="612">
        <f t="shared" ref="A273:A283" si="35">A272+1</f>
        <v>159</v>
      </c>
      <c r="C273" s="589" t="s">
        <v>201</v>
      </c>
      <c r="D273" s="619"/>
      <c r="E273" s="117"/>
      <c r="F273" s="117"/>
      <c r="G273" s="7">
        <f t="shared" si="34"/>
        <v>0</v>
      </c>
      <c r="H273" s="7">
        <f t="shared" ref="H273:H283" si="36">E273-E272</f>
        <v>0</v>
      </c>
    </row>
    <row r="274" spans="1:8" x14ac:dyDescent="0.25">
      <c r="A274" s="612">
        <f t="shared" si="35"/>
        <v>160</v>
      </c>
      <c r="C274" s="589" t="s">
        <v>214</v>
      </c>
      <c r="D274" s="619"/>
      <c r="E274" s="117"/>
      <c r="F274" s="117"/>
      <c r="G274" s="7">
        <f t="shared" si="34"/>
        <v>0</v>
      </c>
      <c r="H274" s="7">
        <f t="shared" si="36"/>
        <v>0</v>
      </c>
    </row>
    <row r="275" spans="1:8" x14ac:dyDescent="0.25">
      <c r="A275" s="612">
        <f t="shared" si="35"/>
        <v>161</v>
      </c>
      <c r="C275" s="591" t="s">
        <v>202</v>
      </c>
      <c r="D275" s="619"/>
      <c r="E275" s="117"/>
      <c r="F275" s="117"/>
      <c r="G275" s="7">
        <f t="shared" si="34"/>
        <v>0</v>
      </c>
      <c r="H275" s="7">
        <f t="shared" si="36"/>
        <v>0</v>
      </c>
    </row>
    <row r="276" spans="1:8" x14ac:dyDescent="0.25">
      <c r="A276" s="612">
        <f t="shared" si="35"/>
        <v>162</v>
      </c>
      <c r="C276" s="589" t="s">
        <v>203</v>
      </c>
      <c r="D276" s="619"/>
      <c r="E276" s="117"/>
      <c r="F276" s="117"/>
      <c r="G276" s="7">
        <f t="shared" si="34"/>
        <v>0</v>
      </c>
      <c r="H276" s="7">
        <f t="shared" si="36"/>
        <v>0</v>
      </c>
    </row>
    <row r="277" spans="1:8" x14ac:dyDescent="0.25">
      <c r="A277" s="612">
        <f t="shared" si="35"/>
        <v>163</v>
      </c>
      <c r="C277" s="589" t="s">
        <v>204</v>
      </c>
      <c r="D277" s="619"/>
      <c r="E277" s="117"/>
      <c r="F277" s="117"/>
      <c r="G277" s="7">
        <f t="shared" si="34"/>
        <v>0</v>
      </c>
      <c r="H277" s="7">
        <f t="shared" si="36"/>
        <v>0</v>
      </c>
    </row>
    <row r="278" spans="1:8" x14ac:dyDescent="0.25">
      <c r="A278" s="612">
        <f t="shared" si="35"/>
        <v>164</v>
      </c>
      <c r="C278" s="591" t="s">
        <v>205</v>
      </c>
      <c r="D278" s="619"/>
      <c r="E278" s="117"/>
      <c r="F278" s="117"/>
      <c r="G278" s="7">
        <f t="shared" si="34"/>
        <v>0</v>
      </c>
      <c r="H278" s="7">
        <f t="shared" si="36"/>
        <v>0</v>
      </c>
    </row>
    <row r="279" spans="1:8" x14ac:dyDescent="0.25">
      <c r="A279" s="612">
        <f t="shared" si="35"/>
        <v>165</v>
      </c>
      <c r="C279" s="589" t="s">
        <v>206</v>
      </c>
      <c r="D279" s="619"/>
      <c r="E279" s="117"/>
      <c r="F279" s="117"/>
      <c r="G279" s="7">
        <f t="shared" si="34"/>
        <v>0</v>
      </c>
      <c r="H279" s="7">
        <f t="shared" si="36"/>
        <v>0</v>
      </c>
    </row>
    <row r="280" spans="1:8" x14ac:dyDescent="0.25">
      <c r="A280" s="612">
        <f t="shared" si="35"/>
        <v>166</v>
      </c>
      <c r="C280" s="589" t="s">
        <v>207</v>
      </c>
      <c r="D280" s="619"/>
      <c r="E280" s="117"/>
      <c r="F280" s="117"/>
      <c r="G280" s="7">
        <f t="shared" si="34"/>
        <v>0</v>
      </c>
      <c r="H280" s="7">
        <f t="shared" si="36"/>
        <v>0</v>
      </c>
    </row>
    <row r="281" spans="1:8" x14ac:dyDescent="0.25">
      <c r="A281" s="612">
        <f t="shared" si="35"/>
        <v>167</v>
      </c>
      <c r="C281" s="591" t="s">
        <v>208</v>
      </c>
      <c r="D281" s="619"/>
      <c r="E281" s="117"/>
      <c r="F281" s="117"/>
      <c r="G281" s="7">
        <f t="shared" si="34"/>
        <v>0</v>
      </c>
      <c r="H281" s="7">
        <f t="shared" si="36"/>
        <v>0</v>
      </c>
    </row>
    <row r="282" spans="1:8" x14ac:dyDescent="0.25">
      <c r="A282" s="612">
        <f t="shared" si="35"/>
        <v>168</v>
      </c>
      <c r="C282" s="591" t="s">
        <v>209</v>
      </c>
      <c r="D282" s="619"/>
      <c r="E282" s="117"/>
      <c r="F282" s="117"/>
      <c r="G282" s="7">
        <f t="shared" si="34"/>
        <v>0</v>
      </c>
      <c r="H282" s="7">
        <f t="shared" si="36"/>
        <v>0</v>
      </c>
    </row>
    <row r="283" spans="1:8" x14ac:dyDescent="0.25">
      <c r="A283" s="612">
        <f t="shared" si="35"/>
        <v>169</v>
      </c>
      <c r="C283" s="591" t="s">
        <v>199</v>
      </c>
      <c r="D283" s="619"/>
      <c r="E283" s="117"/>
      <c r="F283" s="117"/>
      <c r="G283" s="7">
        <f t="shared" si="34"/>
        <v>0</v>
      </c>
      <c r="H283" s="7">
        <f t="shared" si="36"/>
        <v>0</v>
      </c>
    </row>
    <row r="285" spans="1:8" x14ac:dyDescent="0.25">
      <c r="C285" s="209" t="s">
        <v>1778</v>
      </c>
      <c r="E285" s="92" t="s">
        <v>394</v>
      </c>
      <c r="F285" s="92" t="s">
        <v>378</v>
      </c>
      <c r="G285" s="92" t="s">
        <v>379</v>
      </c>
      <c r="H285" s="92" t="s">
        <v>380</v>
      </c>
    </row>
    <row r="286" spans="1:8" x14ac:dyDescent="0.25">
      <c r="G286" s="560" t="s">
        <v>1901</v>
      </c>
      <c r="H286" s="560" t="s">
        <v>1902</v>
      </c>
    </row>
    <row r="287" spans="1:8" x14ac:dyDescent="0.25">
      <c r="C287" s="612" t="s">
        <v>591</v>
      </c>
      <c r="H287" s="552" t="s">
        <v>1903</v>
      </c>
    </row>
    <row r="288" spans="1:8" x14ac:dyDescent="0.25">
      <c r="C288" s="612" t="s">
        <v>212</v>
      </c>
      <c r="E288" s="612" t="s">
        <v>414</v>
      </c>
      <c r="F288" s="612" t="s">
        <v>1770</v>
      </c>
      <c r="G288" s="612" t="s">
        <v>1093</v>
      </c>
      <c r="H288" s="612" t="s">
        <v>1257</v>
      </c>
    </row>
    <row r="289" spans="1:8" x14ac:dyDescent="0.25">
      <c r="C289" s="25" t="s">
        <v>211</v>
      </c>
      <c r="D289" s="25" t="s">
        <v>212</v>
      </c>
      <c r="E289" s="3" t="s">
        <v>1771</v>
      </c>
      <c r="F289" s="3" t="s">
        <v>1206</v>
      </c>
      <c r="G289" s="3" t="s">
        <v>3</v>
      </c>
      <c r="H289" s="3" t="s">
        <v>1766</v>
      </c>
    </row>
    <row r="290" spans="1:8" x14ac:dyDescent="0.25">
      <c r="A290" s="612">
        <f>A283+1</f>
        <v>170</v>
      </c>
      <c r="C290" s="591" t="s">
        <v>199</v>
      </c>
      <c r="D290" s="617"/>
      <c r="E290" s="117"/>
      <c r="F290" s="117"/>
      <c r="G290" s="7">
        <f t="shared" ref="G290:G302" si="37">E290-F290</f>
        <v>0</v>
      </c>
      <c r="H290" s="7">
        <f>E290-E290</f>
        <v>0</v>
      </c>
    </row>
    <row r="291" spans="1:8" x14ac:dyDescent="0.25">
      <c r="A291" s="612">
        <f>A290+1</f>
        <v>171</v>
      </c>
      <c r="C291" s="591" t="s">
        <v>200</v>
      </c>
      <c r="D291" s="619"/>
      <c r="E291" s="117"/>
      <c r="F291" s="117"/>
      <c r="G291" s="7">
        <f t="shared" si="37"/>
        <v>0</v>
      </c>
      <c r="H291" s="7">
        <f>E291-E290</f>
        <v>0</v>
      </c>
    </row>
    <row r="292" spans="1:8" x14ac:dyDescent="0.25">
      <c r="A292" s="612">
        <f t="shared" ref="A292:A302" si="38">A291+1</f>
        <v>172</v>
      </c>
      <c r="C292" s="589" t="s">
        <v>201</v>
      </c>
      <c r="D292" s="619"/>
      <c r="E292" s="117"/>
      <c r="F292" s="117"/>
      <c r="G292" s="7">
        <f t="shared" si="37"/>
        <v>0</v>
      </c>
      <c r="H292" s="7">
        <f t="shared" ref="H292:H302" si="39">E292-E291</f>
        <v>0</v>
      </c>
    </row>
    <row r="293" spans="1:8" x14ac:dyDescent="0.25">
      <c r="A293" s="612">
        <f t="shared" si="38"/>
        <v>173</v>
      </c>
      <c r="C293" s="589" t="s">
        <v>214</v>
      </c>
      <c r="D293" s="619"/>
      <c r="E293" s="117"/>
      <c r="F293" s="117"/>
      <c r="G293" s="7">
        <f t="shared" si="37"/>
        <v>0</v>
      </c>
      <c r="H293" s="7">
        <f t="shared" si="39"/>
        <v>0</v>
      </c>
    </row>
    <row r="294" spans="1:8" x14ac:dyDescent="0.25">
      <c r="A294" s="612">
        <f t="shared" si="38"/>
        <v>174</v>
      </c>
      <c r="C294" s="591" t="s">
        <v>202</v>
      </c>
      <c r="D294" s="619"/>
      <c r="E294" s="117"/>
      <c r="F294" s="117"/>
      <c r="G294" s="7">
        <f t="shared" si="37"/>
        <v>0</v>
      </c>
      <c r="H294" s="7">
        <f t="shared" si="39"/>
        <v>0</v>
      </c>
    </row>
    <row r="295" spans="1:8" x14ac:dyDescent="0.25">
      <c r="A295" s="612">
        <f t="shared" si="38"/>
        <v>175</v>
      </c>
      <c r="C295" s="589" t="s">
        <v>203</v>
      </c>
      <c r="D295" s="619"/>
      <c r="E295" s="117"/>
      <c r="F295" s="117"/>
      <c r="G295" s="7">
        <f t="shared" si="37"/>
        <v>0</v>
      </c>
      <c r="H295" s="7">
        <f t="shared" si="39"/>
        <v>0</v>
      </c>
    </row>
    <row r="296" spans="1:8" x14ac:dyDescent="0.25">
      <c r="A296" s="612">
        <f t="shared" si="38"/>
        <v>176</v>
      </c>
      <c r="C296" s="589" t="s">
        <v>204</v>
      </c>
      <c r="D296" s="619"/>
      <c r="E296" s="117"/>
      <c r="F296" s="117"/>
      <c r="G296" s="7">
        <f t="shared" si="37"/>
        <v>0</v>
      </c>
      <c r="H296" s="7">
        <f t="shared" si="39"/>
        <v>0</v>
      </c>
    </row>
    <row r="297" spans="1:8" x14ac:dyDescent="0.25">
      <c r="A297" s="612">
        <f t="shared" si="38"/>
        <v>177</v>
      </c>
      <c r="C297" s="591" t="s">
        <v>205</v>
      </c>
      <c r="D297" s="619"/>
      <c r="E297" s="117"/>
      <c r="F297" s="117"/>
      <c r="G297" s="7">
        <f t="shared" si="37"/>
        <v>0</v>
      </c>
      <c r="H297" s="7">
        <f t="shared" si="39"/>
        <v>0</v>
      </c>
    </row>
    <row r="298" spans="1:8" x14ac:dyDescent="0.25">
      <c r="A298" s="612">
        <f t="shared" si="38"/>
        <v>178</v>
      </c>
      <c r="C298" s="589" t="s">
        <v>206</v>
      </c>
      <c r="D298" s="619"/>
      <c r="E298" s="117"/>
      <c r="F298" s="117"/>
      <c r="G298" s="7">
        <f t="shared" si="37"/>
        <v>0</v>
      </c>
      <c r="H298" s="7">
        <f t="shared" si="39"/>
        <v>0</v>
      </c>
    </row>
    <row r="299" spans="1:8" x14ac:dyDescent="0.25">
      <c r="A299" s="612">
        <f t="shared" si="38"/>
        <v>179</v>
      </c>
      <c r="C299" s="589" t="s">
        <v>207</v>
      </c>
      <c r="D299" s="619"/>
      <c r="E299" s="117"/>
      <c r="F299" s="117"/>
      <c r="G299" s="7">
        <f t="shared" si="37"/>
        <v>0</v>
      </c>
      <c r="H299" s="7">
        <f t="shared" si="39"/>
        <v>0</v>
      </c>
    </row>
    <row r="300" spans="1:8" x14ac:dyDescent="0.25">
      <c r="A300" s="612">
        <f t="shared" si="38"/>
        <v>180</v>
      </c>
      <c r="C300" s="591" t="s">
        <v>208</v>
      </c>
      <c r="D300" s="619"/>
      <c r="E300" s="117"/>
      <c r="F300" s="117"/>
      <c r="G300" s="7">
        <f t="shared" si="37"/>
        <v>0</v>
      </c>
      <c r="H300" s="7">
        <f t="shared" si="39"/>
        <v>0</v>
      </c>
    </row>
    <row r="301" spans="1:8" x14ac:dyDescent="0.25">
      <c r="A301" s="612">
        <f t="shared" si="38"/>
        <v>181</v>
      </c>
      <c r="C301" s="591" t="s">
        <v>209</v>
      </c>
      <c r="D301" s="619"/>
      <c r="E301" s="117"/>
      <c r="F301" s="117"/>
      <c r="G301" s="7">
        <f t="shared" si="37"/>
        <v>0</v>
      </c>
      <c r="H301" s="7">
        <f t="shared" si="39"/>
        <v>0</v>
      </c>
    </row>
    <row r="302" spans="1:8" x14ac:dyDescent="0.25">
      <c r="A302" s="612">
        <f t="shared" si="38"/>
        <v>182</v>
      </c>
      <c r="C302" s="591" t="s">
        <v>199</v>
      </c>
      <c r="D302" s="619"/>
      <c r="E302" s="117"/>
      <c r="F302" s="117"/>
      <c r="G302" s="7">
        <f t="shared" si="37"/>
        <v>0</v>
      </c>
      <c r="H302" s="7">
        <f t="shared" si="39"/>
        <v>0</v>
      </c>
    </row>
    <row r="304" spans="1:8" x14ac:dyDescent="0.25">
      <c r="B304" s="1"/>
      <c r="C304" s="1" t="s">
        <v>1779</v>
      </c>
      <c r="D304" s="549"/>
      <c r="E304" s="7"/>
    </row>
    <row r="305" spans="1:10" x14ac:dyDescent="0.25">
      <c r="B305" s="1"/>
    </row>
    <row r="306" spans="1:10" x14ac:dyDescent="0.25">
      <c r="C306" s="443" t="s">
        <v>1228</v>
      </c>
      <c r="D306" s="105"/>
      <c r="E306" s="105"/>
      <c r="F306" s="105"/>
      <c r="G306" s="208" t="s">
        <v>1230</v>
      </c>
      <c r="H306" s="105"/>
      <c r="I306" s="105"/>
      <c r="J306" s="105"/>
    </row>
    <row r="307" spans="1:10" x14ac:dyDescent="0.25">
      <c r="A307" s="612">
        <f>A302+1</f>
        <v>183</v>
      </c>
      <c r="C307" s="620" t="s">
        <v>245</v>
      </c>
      <c r="D307" s="105"/>
      <c r="E307" s="444"/>
      <c r="F307" s="435"/>
      <c r="G307" s="561"/>
      <c r="H307" s="105"/>
      <c r="I307" s="105"/>
      <c r="J307" s="105"/>
    </row>
    <row r="308" spans="1:10" x14ac:dyDescent="0.25">
      <c r="A308" s="612">
        <f>A307+1</f>
        <v>184</v>
      </c>
      <c r="C308" s="434" t="s">
        <v>247</v>
      </c>
      <c r="D308" s="105"/>
      <c r="E308" s="445"/>
      <c r="F308" s="436"/>
      <c r="G308" s="561"/>
      <c r="H308" s="105"/>
      <c r="I308" s="105"/>
      <c r="J308" s="105"/>
    </row>
    <row r="309" spans="1:10" x14ac:dyDescent="0.25">
      <c r="A309" s="612">
        <f>A308+1</f>
        <v>185</v>
      </c>
      <c r="C309" s="434" t="s">
        <v>1227</v>
      </c>
      <c r="D309" s="105"/>
      <c r="E309" s="444"/>
      <c r="F309" s="435"/>
      <c r="G309" s="164"/>
      <c r="H309" s="105"/>
      <c r="I309" s="105"/>
      <c r="J309" s="105"/>
    </row>
    <row r="310" spans="1:10" x14ac:dyDescent="0.25">
      <c r="C310" s="105"/>
      <c r="D310" s="105"/>
      <c r="E310" s="444"/>
      <c r="F310" s="437"/>
      <c r="G310" s="105"/>
      <c r="H310" s="105"/>
      <c r="I310" s="105"/>
      <c r="J310" s="105"/>
    </row>
    <row r="311" spans="1:10" x14ac:dyDescent="0.25">
      <c r="C311" s="443" t="s">
        <v>1229</v>
      </c>
      <c r="D311" s="105"/>
      <c r="E311" s="105"/>
      <c r="F311" s="437"/>
      <c r="G311" s="208" t="s">
        <v>1230</v>
      </c>
      <c r="H311" s="105"/>
      <c r="I311" s="105"/>
      <c r="J311" s="105"/>
    </row>
    <row r="312" spans="1:10" x14ac:dyDescent="0.25">
      <c r="A312" s="612">
        <f>A309+1</f>
        <v>186</v>
      </c>
      <c r="C312" s="620" t="s">
        <v>245</v>
      </c>
      <c r="D312" s="105"/>
      <c r="E312" s="444"/>
      <c r="F312" s="435"/>
      <c r="G312" s="561"/>
      <c r="H312" s="105"/>
      <c r="I312" s="105"/>
      <c r="J312" s="105"/>
    </row>
    <row r="313" spans="1:10" x14ac:dyDescent="0.25">
      <c r="A313" s="612">
        <f>A312+1</f>
        <v>187</v>
      </c>
      <c r="C313" s="434" t="s">
        <v>247</v>
      </c>
      <c r="D313" s="105"/>
      <c r="E313" s="445"/>
      <c r="F313" s="436"/>
      <c r="G313" s="561"/>
      <c r="H313" s="105"/>
      <c r="I313" s="105"/>
      <c r="J313" s="105"/>
    </row>
    <row r="314" spans="1:10" x14ac:dyDescent="0.25">
      <c r="A314" s="612">
        <f>A313+1</f>
        <v>188</v>
      </c>
      <c r="C314" s="434" t="s">
        <v>1227</v>
      </c>
      <c r="D314" s="105"/>
      <c r="E314" s="444"/>
      <c r="F314" s="435"/>
      <c r="G314" s="561"/>
      <c r="H314" s="105"/>
      <c r="I314" s="105"/>
      <c r="J314" s="105"/>
    </row>
    <row r="315" spans="1:10" x14ac:dyDescent="0.25">
      <c r="C315" s="434"/>
      <c r="D315" s="105"/>
      <c r="E315" s="444"/>
      <c r="F315" s="435"/>
      <c r="G315" s="105"/>
      <c r="H315" s="105"/>
      <c r="I315" s="105"/>
      <c r="J315" s="105"/>
    </row>
    <row r="316" spans="1:10" x14ac:dyDescent="0.25">
      <c r="C316" s="443" t="s">
        <v>1231</v>
      </c>
      <c r="D316" s="105"/>
      <c r="E316" s="561"/>
      <c r="F316" s="621"/>
      <c r="G316" s="208" t="s">
        <v>1230</v>
      </c>
      <c r="H316" s="105"/>
      <c r="I316" s="105"/>
      <c r="J316" s="105"/>
    </row>
    <row r="317" spans="1:10" x14ac:dyDescent="0.25">
      <c r="A317" s="612">
        <f>A314+1</f>
        <v>189</v>
      </c>
      <c r="C317" s="620" t="s">
        <v>245</v>
      </c>
      <c r="D317" s="105"/>
      <c r="E317" s="444"/>
      <c r="F317" s="435"/>
      <c r="G317" s="561"/>
      <c r="H317" s="105"/>
      <c r="I317" s="105"/>
      <c r="J317" s="105"/>
    </row>
    <row r="318" spans="1:10" x14ac:dyDescent="0.25">
      <c r="A318" s="612">
        <f>A317+1</f>
        <v>190</v>
      </c>
      <c r="C318" s="434" t="s">
        <v>247</v>
      </c>
      <c r="D318" s="105"/>
      <c r="E318" s="445"/>
      <c r="F318" s="436"/>
      <c r="G318" s="561"/>
      <c r="H318" s="105"/>
      <c r="I318" s="105"/>
      <c r="J318" s="105"/>
    </row>
    <row r="319" spans="1:10" x14ac:dyDescent="0.25">
      <c r="A319" s="612">
        <f>A318+1</f>
        <v>191</v>
      </c>
      <c r="C319" s="434"/>
      <c r="D319" s="105"/>
      <c r="E319" s="445"/>
      <c r="F319" s="436"/>
      <c r="G319" s="561"/>
      <c r="H319" s="105"/>
      <c r="I319" s="105"/>
      <c r="J319" s="105"/>
    </row>
    <row r="320" spans="1:10" x14ac:dyDescent="0.25">
      <c r="A320" s="612">
        <f>A319+1</f>
        <v>192</v>
      </c>
      <c r="C320" s="434" t="s">
        <v>1227</v>
      </c>
      <c r="D320" s="105"/>
      <c r="E320" s="444"/>
      <c r="F320" s="435"/>
      <c r="G320" s="561"/>
      <c r="H320" s="105"/>
      <c r="I320" s="105"/>
      <c r="J320" s="105"/>
    </row>
    <row r="321" spans="1:10" x14ac:dyDescent="0.25">
      <c r="C321" s="434"/>
      <c r="D321" s="105"/>
      <c r="E321" s="444"/>
      <c r="F321" s="435"/>
      <c r="G321" s="105"/>
      <c r="H321" s="105"/>
      <c r="I321" s="105"/>
      <c r="J321" s="105"/>
    </row>
    <row r="322" spans="1:10" x14ac:dyDescent="0.25">
      <c r="C322" s="443" t="s">
        <v>1232</v>
      </c>
      <c r="D322" s="105"/>
      <c r="E322" s="561"/>
      <c r="F322" s="621"/>
      <c r="G322" s="208" t="s">
        <v>1230</v>
      </c>
      <c r="H322" s="105"/>
      <c r="I322" s="105"/>
      <c r="J322" s="105"/>
    </row>
    <row r="323" spans="1:10" x14ac:dyDescent="0.25">
      <c r="A323" s="612">
        <f>A320+1</f>
        <v>193</v>
      </c>
      <c r="C323" s="620" t="s">
        <v>245</v>
      </c>
      <c r="D323" s="105"/>
      <c r="E323" s="444"/>
      <c r="F323" s="435"/>
      <c r="G323" s="561"/>
      <c r="H323" s="105"/>
      <c r="I323" s="105"/>
      <c r="J323" s="105"/>
    </row>
    <row r="324" spans="1:10" x14ac:dyDescent="0.25">
      <c r="A324" s="612">
        <f>A323+1</f>
        <v>194</v>
      </c>
      <c r="C324" s="620"/>
      <c r="D324" s="105"/>
      <c r="E324" s="444"/>
      <c r="F324" s="435"/>
      <c r="G324" s="105"/>
      <c r="H324" s="105"/>
      <c r="I324" s="105"/>
      <c r="J324" s="105"/>
    </row>
    <row r="325" spans="1:10" x14ac:dyDescent="0.25">
      <c r="A325" s="612">
        <f>A324+1</f>
        <v>195</v>
      </c>
      <c r="C325" s="434" t="s">
        <v>247</v>
      </c>
      <c r="D325" s="105"/>
      <c r="E325" s="445"/>
      <c r="F325" s="436"/>
      <c r="G325" s="561"/>
      <c r="H325" s="105"/>
      <c r="I325" s="105"/>
      <c r="J325" s="105"/>
    </row>
    <row r="326" spans="1:10" x14ac:dyDescent="0.25">
      <c r="A326" s="612">
        <f>A325+1</f>
        <v>196</v>
      </c>
      <c r="C326" s="434"/>
      <c r="D326" s="105"/>
      <c r="E326" s="445"/>
      <c r="F326" s="436"/>
      <c r="G326" s="561"/>
      <c r="H326" s="105"/>
      <c r="I326" s="105"/>
      <c r="J326" s="105"/>
    </row>
    <row r="327" spans="1:10" x14ac:dyDescent="0.25">
      <c r="A327" s="612">
        <f>A326+1</f>
        <v>197</v>
      </c>
      <c r="C327" s="434" t="s">
        <v>1227</v>
      </c>
      <c r="D327" s="105"/>
      <c r="E327" s="444"/>
      <c r="F327" s="435"/>
      <c r="G327" s="561"/>
      <c r="H327" s="105"/>
      <c r="I327" s="105"/>
      <c r="J327" s="105"/>
    </row>
    <row r="328" spans="1:10" x14ac:dyDescent="0.25">
      <c r="C328" s="434"/>
      <c r="D328" s="105"/>
      <c r="E328" s="444"/>
      <c r="F328" s="435"/>
      <c r="G328" s="105"/>
      <c r="H328" s="105"/>
      <c r="I328" s="105"/>
      <c r="J328" s="105"/>
    </row>
    <row r="329" spans="1:10" x14ac:dyDescent="0.25">
      <c r="C329" s="443" t="s">
        <v>1233</v>
      </c>
      <c r="D329" s="105"/>
      <c r="E329" s="105"/>
      <c r="F329" s="435"/>
      <c r="G329" s="208" t="s">
        <v>1230</v>
      </c>
      <c r="H329" s="105"/>
      <c r="I329" s="105"/>
      <c r="J329" s="105"/>
    </row>
    <row r="330" spans="1:10" x14ac:dyDescent="0.25">
      <c r="A330" s="612">
        <f>A327+1</f>
        <v>198</v>
      </c>
      <c r="C330" s="620" t="s">
        <v>245</v>
      </c>
      <c r="D330" s="105"/>
      <c r="E330" s="444"/>
      <c r="F330" s="435"/>
      <c r="G330" s="561"/>
      <c r="H330" s="105"/>
      <c r="I330" s="105"/>
      <c r="J330" s="105"/>
    </row>
    <row r="331" spans="1:10" x14ac:dyDescent="0.25">
      <c r="A331" s="612">
        <f>A330+1</f>
        <v>199</v>
      </c>
      <c r="C331" s="434" t="s">
        <v>247</v>
      </c>
      <c r="D331" s="105"/>
      <c r="E331" s="445"/>
      <c r="F331" s="436"/>
      <c r="G331" s="561"/>
      <c r="H331" s="105"/>
      <c r="I331" s="105"/>
      <c r="J331" s="105"/>
    </row>
    <row r="332" spans="1:10" x14ac:dyDescent="0.25">
      <c r="A332" s="612">
        <f>A331+1</f>
        <v>200</v>
      </c>
      <c r="C332" s="434" t="s">
        <v>1227</v>
      </c>
      <c r="D332" s="105"/>
      <c r="E332" s="444"/>
      <c r="F332" s="435"/>
      <c r="G332" s="561"/>
      <c r="H332" s="105"/>
      <c r="I332" s="105"/>
      <c r="J332" s="105"/>
    </row>
    <row r="333" spans="1:10" x14ac:dyDescent="0.25">
      <c r="C333" s="434"/>
      <c r="D333" s="105"/>
      <c r="E333" s="444"/>
      <c r="F333" s="435"/>
      <c r="G333" s="620"/>
      <c r="H333" s="105"/>
      <c r="I333" s="105"/>
      <c r="J333" s="105"/>
    </row>
    <row r="334" spans="1:10" x14ac:dyDescent="0.25">
      <c r="C334" s="443" t="s">
        <v>1234</v>
      </c>
      <c r="D334" s="105"/>
      <c r="E334" s="561"/>
      <c r="F334" s="621"/>
      <c r="G334" s="208" t="s">
        <v>1230</v>
      </c>
      <c r="H334" s="105"/>
      <c r="I334" s="105"/>
      <c r="J334" s="105"/>
    </row>
    <row r="335" spans="1:10" x14ac:dyDescent="0.25">
      <c r="A335" s="612">
        <f>A332+1</f>
        <v>201</v>
      </c>
      <c r="C335" s="620" t="s">
        <v>245</v>
      </c>
      <c r="D335" s="105"/>
      <c r="E335" s="444"/>
      <c r="F335" s="435"/>
      <c r="G335" s="561"/>
      <c r="H335" s="105"/>
      <c r="I335" s="561"/>
      <c r="J335" s="561"/>
    </row>
    <row r="336" spans="1:10" x14ac:dyDescent="0.25">
      <c r="A336" s="612">
        <f>A335+1</f>
        <v>202</v>
      </c>
      <c r="C336" s="434" t="s">
        <v>247</v>
      </c>
      <c r="D336" s="105"/>
      <c r="E336" s="445"/>
      <c r="F336" s="436"/>
      <c r="G336" s="561"/>
      <c r="H336" s="105"/>
      <c r="I336" s="561"/>
      <c r="J336" s="561"/>
    </row>
    <row r="337" spans="1:10" x14ac:dyDescent="0.25">
      <c r="A337" s="612">
        <f>A336+1</f>
        <v>203</v>
      </c>
      <c r="C337" s="434" t="s">
        <v>1227</v>
      </c>
      <c r="D337" s="105"/>
      <c r="E337" s="444"/>
      <c r="F337" s="435"/>
      <c r="G337" s="561"/>
      <c r="H337" s="105"/>
      <c r="I337" s="561"/>
      <c r="J337" s="561"/>
    </row>
    <row r="338" spans="1:10" x14ac:dyDescent="0.25">
      <c r="C338" s="434"/>
      <c r="D338" s="105"/>
      <c r="E338" s="445"/>
      <c r="F338" s="436"/>
      <c r="G338" s="561"/>
      <c r="H338" s="105"/>
      <c r="I338" s="561"/>
      <c r="J338" s="561"/>
    </row>
    <row r="339" spans="1:10" x14ac:dyDescent="0.25">
      <c r="C339" s="443" t="s">
        <v>1235</v>
      </c>
      <c r="D339" s="105"/>
      <c r="E339" s="561"/>
      <c r="F339" s="621"/>
      <c r="G339" s="208" t="s">
        <v>1230</v>
      </c>
      <c r="H339" s="105"/>
      <c r="I339" s="561"/>
      <c r="J339" s="561"/>
    </row>
    <row r="340" spans="1:10" x14ac:dyDescent="0.25">
      <c r="A340" s="612">
        <f>A337+1</f>
        <v>204</v>
      </c>
      <c r="C340" s="620" t="s">
        <v>245</v>
      </c>
      <c r="D340" s="105"/>
      <c r="E340" s="444"/>
      <c r="F340" s="435"/>
      <c r="G340" s="561"/>
      <c r="H340" s="105"/>
      <c r="I340" s="561"/>
      <c r="J340" s="561"/>
    </row>
    <row r="341" spans="1:10" x14ac:dyDescent="0.25">
      <c r="A341" s="612">
        <f>A340+1</f>
        <v>205</v>
      </c>
      <c r="C341" s="434" t="s">
        <v>247</v>
      </c>
      <c r="D341" s="105"/>
      <c r="E341" s="445"/>
      <c r="F341" s="436"/>
      <c r="G341" s="561"/>
      <c r="H341" s="105"/>
      <c r="I341" s="561"/>
      <c r="J341" s="561"/>
    </row>
    <row r="342" spans="1:10" x14ac:dyDescent="0.25">
      <c r="A342" s="612">
        <f>A341+1</f>
        <v>206</v>
      </c>
      <c r="C342" s="434" t="s">
        <v>1227</v>
      </c>
      <c r="D342" s="105"/>
      <c r="E342" s="444"/>
      <c r="F342" s="435"/>
      <c r="G342" s="561"/>
      <c r="H342" s="105"/>
      <c r="I342" s="561"/>
      <c r="J342" s="561"/>
    </row>
    <row r="343" spans="1:10" x14ac:dyDescent="0.25">
      <c r="C343" s="105"/>
      <c r="D343" s="105"/>
      <c r="E343" s="105"/>
      <c r="F343" s="435"/>
      <c r="G343" s="105"/>
      <c r="H343" s="105"/>
      <c r="I343" s="105"/>
      <c r="J343" s="105"/>
    </row>
    <row r="344" spans="1:10" x14ac:dyDescent="0.25">
      <c r="C344" s="443" t="s">
        <v>1236</v>
      </c>
      <c r="D344" s="105"/>
      <c r="E344" s="561"/>
      <c r="F344" s="621"/>
      <c r="G344" s="208" t="s">
        <v>1230</v>
      </c>
      <c r="H344" s="105"/>
      <c r="I344" s="105"/>
      <c r="J344" s="105"/>
    </row>
    <row r="345" spans="1:10" x14ac:dyDescent="0.25">
      <c r="A345" s="612">
        <f>A342+1</f>
        <v>207</v>
      </c>
      <c r="C345" s="620" t="s">
        <v>245</v>
      </c>
      <c r="D345" s="105"/>
      <c r="E345" s="444"/>
      <c r="F345" s="435"/>
      <c r="G345" s="622"/>
      <c r="H345" s="105"/>
      <c r="I345" s="105"/>
      <c r="J345" s="105"/>
    </row>
    <row r="346" spans="1:10" x14ac:dyDescent="0.25">
      <c r="A346" s="612">
        <f>A345+1</f>
        <v>208</v>
      </c>
      <c r="C346" s="434" t="s">
        <v>247</v>
      </c>
      <c r="D346" s="105"/>
      <c r="E346" s="445"/>
      <c r="F346" s="436"/>
      <c r="G346" s="623"/>
      <c r="H346" s="105"/>
      <c r="I346" s="105"/>
      <c r="J346" s="105"/>
    </row>
    <row r="347" spans="1:10" x14ac:dyDescent="0.25">
      <c r="A347" s="612">
        <f>A346+1</f>
        <v>209</v>
      </c>
      <c r="C347" s="434" t="s">
        <v>1227</v>
      </c>
      <c r="D347" s="105"/>
      <c r="E347" s="444"/>
      <c r="F347" s="435"/>
      <c r="G347" s="622"/>
      <c r="H347" s="105"/>
      <c r="I347" s="105"/>
      <c r="J347" s="105"/>
    </row>
    <row r="348" spans="1:10" x14ac:dyDescent="0.25">
      <c r="C348" s="105"/>
      <c r="D348" s="105"/>
      <c r="E348" s="105"/>
      <c r="F348" s="435"/>
      <c r="G348" s="105"/>
      <c r="H348" s="105"/>
      <c r="I348" s="105"/>
      <c r="J348" s="105"/>
    </row>
    <row r="349" spans="1:10" x14ac:dyDescent="0.25">
      <c r="C349" s="443" t="s">
        <v>1237</v>
      </c>
      <c r="D349" s="105"/>
      <c r="E349" s="561"/>
      <c r="F349" s="621"/>
      <c r="G349" s="208" t="s">
        <v>1230</v>
      </c>
      <c r="H349" s="105"/>
      <c r="I349" s="105"/>
      <c r="J349" s="105"/>
    </row>
    <row r="350" spans="1:10" x14ac:dyDescent="0.25">
      <c r="A350" s="612">
        <f>A347+1</f>
        <v>210</v>
      </c>
      <c r="C350" s="620" t="s">
        <v>245</v>
      </c>
      <c r="D350" s="105"/>
      <c r="E350" s="444"/>
      <c r="F350" s="435"/>
      <c r="G350" s="622"/>
      <c r="H350" s="105"/>
      <c r="I350" s="105"/>
      <c r="J350" s="105"/>
    </row>
    <row r="351" spans="1:10" x14ac:dyDescent="0.25">
      <c r="A351" s="612">
        <f>A350+1</f>
        <v>211</v>
      </c>
      <c r="C351" s="434" t="s">
        <v>247</v>
      </c>
      <c r="D351" s="105"/>
      <c r="E351" s="445"/>
      <c r="F351" s="436"/>
      <c r="G351" s="623"/>
      <c r="H351" s="105"/>
      <c r="I351" s="105"/>
      <c r="J351" s="105"/>
    </row>
    <row r="352" spans="1:10" x14ac:dyDescent="0.25">
      <c r="A352" s="612">
        <f>A351+1</f>
        <v>212</v>
      </c>
      <c r="C352" s="434" t="s">
        <v>1227</v>
      </c>
      <c r="D352" s="105"/>
      <c r="E352" s="444"/>
      <c r="F352" s="435"/>
      <c r="G352" s="622"/>
      <c r="H352" s="105"/>
      <c r="I352" s="105"/>
      <c r="J352" s="105"/>
    </row>
    <row r="353" spans="1:10" x14ac:dyDescent="0.25">
      <c r="C353" s="105"/>
      <c r="D353" s="105"/>
      <c r="E353" s="105"/>
      <c r="F353" s="435"/>
      <c r="G353" s="105"/>
      <c r="H353" s="105"/>
      <c r="I353" s="105"/>
      <c r="J353" s="105"/>
    </row>
    <row r="354" spans="1:10" x14ac:dyDescent="0.25">
      <c r="C354" s="443" t="s">
        <v>1238</v>
      </c>
      <c r="D354" s="105"/>
      <c r="E354" s="561"/>
      <c r="F354" s="621"/>
      <c r="G354" s="208" t="s">
        <v>1230</v>
      </c>
      <c r="H354" s="105"/>
      <c r="I354" s="105"/>
      <c r="J354" s="105"/>
    </row>
    <row r="355" spans="1:10" x14ac:dyDescent="0.25">
      <c r="A355" s="612">
        <f>A352+1</f>
        <v>213</v>
      </c>
      <c r="C355" s="620" t="s">
        <v>245</v>
      </c>
      <c r="D355" s="105"/>
      <c r="E355" s="444"/>
      <c r="F355" s="435"/>
      <c r="G355" s="622"/>
      <c r="H355" s="105"/>
      <c r="I355" s="105"/>
      <c r="J355" s="105"/>
    </row>
    <row r="356" spans="1:10" x14ac:dyDescent="0.25">
      <c r="A356" s="612">
        <f>A355+1</f>
        <v>214</v>
      </c>
      <c r="C356" s="434" t="s">
        <v>247</v>
      </c>
      <c r="D356" s="105"/>
      <c r="E356" s="445"/>
      <c r="F356" s="436"/>
      <c r="G356" s="623"/>
      <c r="H356" s="105"/>
      <c r="I356" s="105"/>
      <c r="J356" s="105"/>
    </row>
    <row r="357" spans="1:10" x14ac:dyDescent="0.25">
      <c r="A357" s="612">
        <f>A356+1</f>
        <v>215</v>
      </c>
      <c r="C357" s="434" t="s">
        <v>1227</v>
      </c>
      <c r="D357" s="105"/>
      <c r="E357" s="444"/>
      <c r="F357" s="435"/>
      <c r="G357" s="622"/>
      <c r="H357" s="105"/>
      <c r="I357" s="105"/>
      <c r="J357" s="105"/>
    </row>
    <row r="358" spans="1:10" x14ac:dyDescent="0.25">
      <c r="C358" s="105"/>
      <c r="D358" s="105"/>
      <c r="E358" s="105"/>
      <c r="F358" s="435"/>
      <c r="G358" s="105"/>
      <c r="H358" s="105"/>
      <c r="I358" s="105"/>
      <c r="J358" s="105"/>
    </row>
    <row r="359" spans="1:10" x14ac:dyDescent="0.25">
      <c r="C359" s="443" t="s">
        <v>1239</v>
      </c>
      <c r="D359" s="105"/>
      <c r="E359" s="561"/>
      <c r="F359" s="621"/>
      <c r="G359" s="208" t="s">
        <v>1230</v>
      </c>
      <c r="H359" s="105"/>
      <c r="I359" s="105"/>
      <c r="J359" s="105"/>
    </row>
    <row r="360" spans="1:10" x14ac:dyDescent="0.25">
      <c r="A360" s="612">
        <f>A357+1</f>
        <v>216</v>
      </c>
      <c r="C360" s="620" t="s">
        <v>245</v>
      </c>
      <c r="D360" s="105"/>
      <c r="E360" s="444"/>
      <c r="F360" s="435"/>
      <c r="G360" s="622"/>
      <c r="H360" s="105"/>
      <c r="I360" s="105"/>
      <c r="J360" s="105"/>
    </row>
    <row r="361" spans="1:10" x14ac:dyDescent="0.25">
      <c r="A361" s="612">
        <f>A360+1</f>
        <v>217</v>
      </c>
      <c r="C361" s="434" t="s">
        <v>247</v>
      </c>
      <c r="D361" s="105"/>
      <c r="E361" s="445"/>
      <c r="F361" s="436"/>
      <c r="G361" s="623"/>
      <c r="H361" s="105"/>
      <c r="I361" s="105"/>
      <c r="J361" s="105"/>
    </row>
    <row r="362" spans="1:10" x14ac:dyDescent="0.25">
      <c r="A362" s="612">
        <f>A361+1</f>
        <v>218</v>
      </c>
      <c r="C362" s="434" t="s">
        <v>1227</v>
      </c>
      <c r="D362" s="105"/>
      <c r="E362" s="444"/>
      <c r="F362" s="435"/>
      <c r="G362" s="622"/>
      <c r="H362" s="105"/>
      <c r="I362" s="105"/>
      <c r="J362" s="105"/>
    </row>
    <row r="363" spans="1:10" x14ac:dyDescent="0.25">
      <c r="C363" s="105"/>
      <c r="D363" s="105"/>
      <c r="E363" s="105"/>
      <c r="F363" s="105"/>
      <c r="G363" s="105"/>
      <c r="H363" s="105"/>
      <c r="I363" s="105"/>
      <c r="J363" s="105"/>
    </row>
    <row r="364" spans="1:10" x14ac:dyDescent="0.25">
      <c r="C364" s="438" t="s">
        <v>1240</v>
      </c>
      <c r="D364" s="105"/>
      <c r="E364" s="105"/>
      <c r="F364" s="105"/>
      <c r="G364" s="208" t="s">
        <v>1230</v>
      </c>
      <c r="H364" s="105"/>
      <c r="I364" s="105"/>
      <c r="J364" s="105"/>
    </row>
    <row r="365" spans="1:10" x14ac:dyDescent="0.25">
      <c r="A365" s="612">
        <f>A362+1</f>
        <v>219</v>
      </c>
      <c r="C365" s="620" t="s">
        <v>245</v>
      </c>
      <c r="D365" s="105"/>
      <c r="E365" s="105"/>
      <c r="F365" s="105"/>
      <c r="G365" s="105"/>
      <c r="H365" s="105"/>
      <c r="I365" s="105"/>
      <c r="J365" s="105"/>
    </row>
    <row r="366" spans="1:10" x14ac:dyDescent="0.25">
      <c r="A366" s="612">
        <f>A365+1</f>
        <v>220</v>
      </c>
      <c r="C366" s="434" t="s">
        <v>247</v>
      </c>
      <c r="D366" s="105"/>
      <c r="E366" s="105"/>
      <c r="F366" s="105"/>
      <c r="G366" s="105"/>
      <c r="H366" s="105"/>
      <c r="I366" s="105"/>
      <c r="J366" s="105"/>
    </row>
    <row r="367" spans="1:10" x14ac:dyDescent="0.25">
      <c r="A367" s="612">
        <f>A366+1</f>
        <v>221</v>
      </c>
      <c r="C367" s="434" t="s">
        <v>1227</v>
      </c>
      <c r="D367" s="105"/>
      <c r="E367" s="105"/>
      <c r="F367" s="105"/>
      <c r="G367" s="105"/>
      <c r="H367" s="105"/>
      <c r="I367" s="105"/>
      <c r="J367" s="105"/>
    </row>
    <row r="368" spans="1:10" x14ac:dyDescent="0.25">
      <c r="C368" s="439" t="s">
        <v>565</v>
      </c>
    </row>
    <row r="370" spans="2:3" x14ac:dyDescent="0.25">
      <c r="B370" s="440" t="s">
        <v>420</v>
      </c>
    </row>
    <row r="371" spans="2:3" x14ac:dyDescent="0.25">
      <c r="C371" s="551" t="s">
        <v>1337</v>
      </c>
    </row>
    <row r="372" spans="2:3" x14ac:dyDescent="0.25">
      <c r="C372" t="s">
        <v>1241</v>
      </c>
    </row>
  </sheetData>
  <phoneticPr fontId="12" type="noConversion"/>
  <pageMargins left="0.75" right="0.75" top="1" bottom="1" header="0.5" footer="0.5"/>
  <pageSetup scale="70" orientation="portrait" cellComments="asDisplayed" r:id="rId1"/>
  <headerFooter alignWithMargins="0">
    <oddHeader>&amp;CSchedule 14
Incentive Plant
&amp;"Arial,Bold"Attachment 5</oddHeader>
    <oddFooter>&amp;R&amp;A</oddFooter>
  </headerFooter>
  <rowBreaks count="5" manualBreakCount="5">
    <brk id="66" max="16383" man="1"/>
    <brk id="131" max="16383" man="1"/>
    <brk id="189" max="16383" man="1"/>
    <brk id="246" max="16383" man="1"/>
    <brk id="30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K7"/>
  <sheetViews>
    <sheetView zoomScaleNormal="100" workbookViewId="0"/>
  </sheetViews>
  <sheetFormatPr defaultRowHeight="13.2" x14ac:dyDescent="0.25"/>
  <cols>
    <col min="3" max="3" width="8.44140625" customWidth="1"/>
  </cols>
  <sheetData>
    <row r="5" spans="1:11" ht="24.6" x14ac:dyDescent="0.4">
      <c r="A5" s="1296" t="s">
        <v>2282</v>
      </c>
      <c r="B5" s="1296"/>
      <c r="C5" s="1296"/>
      <c r="D5" s="1296"/>
      <c r="E5" s="1296"/>
      <c r="F5" s="1296"/>
      <c r="G5" s="1296"/>
      <c r="H5" s="1296"/>
      <c r="I5" s="1296"/>
      <c r="J5" s="1296"/>
      <c r="K5" s="1296"/>
    </row>
    <row r="6" spans="1:11" x14ac:dyDescent="0.25">
      <c r="D6" s="1"/>
    </row>
    <row r="7" spans="1:11" ht="21" x14ac:dyDescent="0.4">
      <c r="A7" s="1294" t="s">
        <v>2283</v>
      </c>
      <c r="B7" s="1294"/>
      <c r="C7" s="1294"/>
      <c r="D7" s="1294"/>
      <c r="E7" s="1294"/>
      <c r="F7" s="1294"/>
      <c r="G7" s="1294"/>
      <c r="H7" s="1294"/>
      <c r="I7" s="1294"/>
      <c r="J7" s="1294"/>
      <c r="K7" s="1294"/>
    </row>
  </sheetData>
  <mergeCells count="2">
    <mergeCell ref="A5:K5"/>
    <mergeCell ref="A7:K7"/>
  </mergeCells>
  <pageMargins left="0.7" right="0.7" top="0.75" bottom="0.75" header="0.3" footer="0.3"/>
  <pageSetup scale="92" orientation="portrait" verticalDpi="0" r:id="rId1"/>
  <headerFooter>
    <oddHeader xml:space="preserve">&amp;C&amp;"Arial,Bold"Attachment 5
</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2"/>
  <sheetViews>
    <sheetView zoomScale="85" zoomScaleNormal="85" workbookViewId="0"/>
  </sheetViews>
  <sheetFormatPr defaultRowHeight="13.2" x14ac:dyDescent="0.25"/>
  <cols>
    <col min="1" max="2" width="4.6640625" customWidth="1"/>
    <col min="3" max="4" width="10.6640625" customWidth="1"/>
    <col min="5" max="9" width="15.6640625" customWidth="1"/>
  </cols>
  <sheetData>
    <row r="1" spans="1:9" x14ac:dyDescent="0.25">
      <c r="A1" s="1" t="s">
        <v>167</v>
      </c>
      <c r="B1" s="1"/>
    </row>
    <row r="2" spans="1:9" x14ac:dyDescent="0.25">
      <c r="A2" s="1"/>
      <c r="B2" s="1"/>
      <c r="G2" s="103" t="s">
        <v>272</v>
      </c>
      <c r="H2" s="103"/>
    </row>
    <row r="3" spans="1:9" x14ac:dyDescent="0.25">
      <c r="A3" s="1"/>
      <c r="B3" s="12" t="s">
        <v>1078</v>
      </c>
    </row>
    <row r="4" spans="1:9" x14ac:dyDescent="0.25">
      <c r="A4" s="1"/>
      <c r="B4" s="13" t="s">
        <v>1079</v>
      </c>
    </row>
    <row r="5" spans="1:9" x14ac:dyDescent="0.25">
      <c r="A5" s="1"/>
      <c r="B5" s="555" t="s">
        <v>1707</v>
      </c>
    </row>
    <row r="7" spans="1:9" ht="13.5" customHeight="1" x14ac:dyDescent="0.25">
      <c r="B7" s="1" t="s">
        <v>300</v>
      </c>
    </row>
    <row r="8" spans="1:9" x14ac:dyDescent="0.25">
      <c r="A8" s="1"/>
      <c r="B8" s="1"/>
    </row>
    <row r="9" spans="1:9" x14ac:dyDescent="0.25">
      <c r="A9" s="1"/>
      <c r="B9" s="1"/>
      <c r="C9" s="12" t="s">
        <v>326</v>
      </c>
    </row>
    <row r="10" spans="1:9" x14ac:dyDescent="0.25">
      <c r="A10" s="1"/>
      <c r="B10" s="1"/>
      <c r="C10" s="12" t="s">
        <v>1254</v>
      </c>
    </row>
    <row r="11" spans="1:9" x14ac:dyDescent="0.25">
      <c r="A11" s="1"/>
      <c r="B11" s="1"/>
      <c r="C11" s="12"/>
    </row>
    <row r="12" spans="1:9" x14ac:dyDescent="0.25">
      <c r="A12" s="1"/>
      <c r="B12" s="1"/>
      <c r="C12" s="551" t="s">
        <v>1675</v>
      </c>
    </row>
    <row r="13" spans="1:9" x14ac:dyDescent="0.25">
      <c r="A13" s="1"/>
      <c r="B13" s="1"/>
    </row>
    <row r="14" spans="1:9" x14ac:dyDescent="0.25">
      <c r="A14" s="53" t="s">
        <v>360</v>
      </c>
      <c r="B14" s="1"/>
      <c r="C14" s="12" t="s">
        <v>399</v>
      </c>
      <c r="G14" s="129" t="s">
        <v>190</v>
      </c>
      <c r="I14" s="3" t="s">
        <v>198</v>
      </c>
    </row>
    <row r="15" spans="1:9" x14ac:dyDescent="0.25">
      <c r="A15" s="121">
        <v>1</v>
      </c>
      <c r="B15" s="45"/>
      <c r="C15" s="47" t="s">
        <v>400</v>
      </c>
      <c r="D15" s="14"/>
      <c r="E15" s="14"/>
      <c r="F15" s="14"/>
      <c r="G15" s="72" t="e">
        <f>'1-BaseTRR'!K80</f>
        <v>#DIV/0!</v>
      </c>
      <c r="H15" s="14"/>
      <c r="I15" s="15" t="str">
        <f>"1-BaseTRR, L "&amp;'1-BaseTRR'!A80&amp;""</f>
        <v>1-BaseTRR, L 46</v>
      </c>
    </row>
    <row r="16" spans="1:9" x14ac:dyDescent="0.25">
      <c r="A16" s="121">
        <v>2</v>
      </c>
      <c r="B16" s="45"/>
      <c r="C16" s="47" t="s">
        <v>242</v>
      </c>
      <c r="D16" s="14"/>
      <c r="E16" s="14"/>
      <c r="F16" s="14"/>
      <c r="G16" s="72">
        <f>'1-BaseTRR'!K102</f>
        <v>0</v>
      </c>
      <c r="H16" s="14"/>
      <c r="I16" s="15" t="str">
        <f>"1-BaseTRR, L "&amp;'1-BaseTRR'!A102&amp;""</f>
        <v>1-BaseTRR, L 58</v>
      </c>
    </row>
    <row r="17" spans="1:9" x14ac:dyDescent="0.25">
      <c r="A17" s="121">
        <v>3</v>
      </c>
      <c r="B17" s="45"/>
      <c r="C17" s="14"/>
      <c r="D17" s="14"/>
      <c r="E17" s="14"/>
      <c r="F17" s="393" t="s">
        <v>546</v>
      </c>
      <c r="G17" s="65" t="e">
        <f>G15*(1/(1-G16))* 10000</f>
        <v>#DIV/0!</v>
      </c>
      <c r="H17" s="14"/>
      <c r="I17" s="15" t="s">
        <v>401</v>
      </c>
    </row>
    <row r="18" spans="1:9" x14ac:dyDescent="0.25">
      <c r="A18" s="14"/>
      <c r="B18" s="14"/>
      <c r="C18" s="14"/>
      <c r="D18" s="14"/>
      <c r="E18" s="14"/>
      <c r="F18" s="14"/>
      <c r="G18" s="14"/>
      <c r="H18" s="14"/>
      <c r="I18" s="14"/>
    </row>
    <row r="19" spans="1:9" x14ac:dyDescent="0.25">
      <c r="A19" s="14"/>
      <c r="B19" s="45" t="s">
        <v>301</v>
      </c>
      <c r="C19" s="14"/>
      <c r="D19" s="14"/>
      <c r="E19" s="14"/>
      <c r="F19" s="14"/>
      <c r="G19" s="14"/>
      <c r="H19" s="14"/>
      <c r="I19" s="14"/>
    </row>
    <row r="20" spans="1:9" x14ac:dyDescent="0.25">
      <c r="A20" s="45"/>
      <c r="B20" s="45"/>
      <c r="C20" s="15" t="s">
        <v>331</v>
      </c>
      <c r="D20" s="14"/>
      <c r="E20" s="14"/>
      <c r="F20" s="14"/>
      <c r="G20" s="14"/>
      <c r="H20" s="14"/>
      <c r="I20" s="14"/>
    </row>
    <row r="21" spans="1:9" x14ac:dyDescent="0.25">
      <c r="A21" s="45"/>
      <c r="B21" s="45"/>
      <c r="C21" s="15" t="s">
        <v>547</v>
      </c>
      <c r="D21" s="14"/>
      <c r="E21" s="14"/>
      <c r="F21" s="14"/>
      <c r="G21" s="14"/>
      <c r="H21" s="14"/>
      <c r="I21" s="14"/>
    </row>
    <row r="22" spans="1:9" x14ac:dyDescent="0.25">
      <c r="A22" s="45"/>
      <c r="B22" s="45"/>
      <c r="C22" s="14"/>
      <c r="D22" s="14"/>
      <c r="E22" s="14"/>
      <c r="F22" s="14"/>
      <c r="G22" s="14"/>
      <c r="H22" s="14"/>
      <c r="I22" s="14"/>
    </row>
    <row r="23" spans="1:9" x14ac:dyDescent="0.25">
      <c r="A23" s="45"/>
      <c r="B23" s="45"/>
      <c r="C23" s="14"/>
      <c r="D23" s="14"/>
      <c r="E23" s="14"/>
      <c r="F23" s="121" t="s">
        <v>303</v>
      </c>
      <c r="G23" s="14"/>
      <c r="H23" s="14"/>
      <c r="I23" s="14"/>
    </row>
    <row r="24" spans="1:9" x14ac:dyDescent="0.25">
      <c r="A24" s="1139" t="s">
        <v>360</v>
      </c>
      <c r="B24" s="1139"/>
      <c r="C24" s="14"/>
      <c r="D24" s="14"/>
      <c r="E24" s="135" t="s">
        <v>9</v>
      </c>
      <c r="F24" s="135" t="s">
        <v>36</v>
      </c>
      <c r="G24" s="135" t="s">
        <v>198</v>
      </c>
      <c r="H24" s="14"/>
      <c r="I24" s="14"/>
    </row>
    <row r="25" spans="1:9" x14ac:dyDescent="0.25">
      <c r="A25" s="121">
        <f>A17+1</f>
        <v>4</v>
      </c>
      <c r="B25" s="121"/>
      <c r="C25" s="14" t="s">
        <v>251</v>
      </c>
      <c r="D25" s="14"/>
      <c r="E25" s="85">
        <f>'14-IncentivePlant'!F308</f>
        <v>0</v>
      </c>
      <c r="F25" s="1190">
        <f>E25/0.01</f>
        <v>0</v>
      </c>
      <c r="G25" s="47" t="str">
        <f>"14-IncentivePlant, L "&amp;'14-IncentivePlant'!A308&amp;""</f>
        <v>14-IncentivePlant, L 184</v>
      </c>
      <c r="H25" s="14"/>
      <c r="I25" s="14"/>
    </row>
    <row r="26" spans="1:9" x14ac:dyDescent="0.25">
      <c r="A26" s="121">
        <f>A25+1</f>
        <v>5</v>
      </c>
      <c r="B26" s="121"/>
      <c r="C26" s="14" t="s">
        <v>252</v>
      </c>
      <c r="D26" s="14"/>
      <c r="E26" s="85">
        <f>'14-IncentivePlant'!F313</f>
        <v>0</v>
      </c>
      <c r="F26" s="1190">
        <f>E26/0.01</f>
        <v>0</v>
      </c>
      <c r="G26" s="47" t="str">
        <f>"14-IncentivePlant, L "&amp;'14-IncentivePlant'!A313&amp;""</f>
        <v>14-IncentivePlant, L 187</v>
      </c>
      <c r="H26" s="14"/>
      <c r="I26" s="14"/>
    </row>
    <row r="27" spans="1:9" x14ac:dyDescent="0.25">
      <c r="A27" s="121">
        <f>A26+1</f>
        <v>6</v>
      </c>
      <c r="B27" s="121"/>
      <c r="C27" s="553" t="s">
        <v>2773</v>
      </c>
      <c r="D27" s="14"/>
      <c r="E27" s="85">
        <f>'14-IncentivePlant'!F318</f>
        <v>0</v>
      </c>
      <c r="F27" s="1190">
        <f>E27/0.01</f>
        <v>0</v>
      </c>
      <c r="G27" s="47" t="str">
        <f>"14-IncentivePlant, L "&amp;'14-IncentivePlant'!A318&amp;""</f>
        <v>14-IncentivePlant, L 190</v>
      </c>
      <c r="H27" s="14"/>
      <c r="I27" s="14"/>
    </row>
    <row r="28" spans="1:9" x14ac:dyDescent="0.25">
      <c r="A28" s="2">
        <f>A27+1</f>
        <v>7</v>
      </c>
      <c r="B28" s="2"/>
      <c r="C28" s="126"/>
      <c r="D28" s="105"/>
      <c r="E28" s="43"/>
      <c r="F28" s="106"/>
    </row>
    <row r="29" spans="1:9" x14ac:dyDescent="0.25">
      <c r="A29" s="2">
        <f>A28+1</f>
        <v>8</v>
      </c>
      <c r="B29" s="2"/>
      <c r="C29" s="206" t="s">
        <v>565</v>
      </c>
      <c r="E29" s="43"/>
      <c r="F29" s="106"/>
    </row>
    <row r="31" spans="1:9" x14ac:dyDescent="0.25">
      <c r="B31" s="1" t="s">
        <v>302</v>
      </c>
    </row>
    <row r="32" spans="1:9" x14ac:dyDescent="0.25">
      <c r="A32" s="1"/>
      <c r="B32" s="1"/>
      <c r="C32" s="12" t="s">
        <v>1621</v>
      </c>
    </row>
    <row r="33" spans="1:9" x14ac:dyDescent="0.25">
      <c r="A33" s="1"/>
      <c r="B33" s="1"/>
      <c r="C33" s="12" t="s">
        <v>548</v>
      </c>
    </row>
    <row r="34" spans="1:9" x14ac:dyDescent="0.25">
      <c r="A34" s="1"/>
      <c r="B34" s="1"/>
      <c r="C34" s="12" t="s">
        <v>549</v>
      </c>
    </row>
    <row r="35" spans="1:9" x14ac:dyDescent="0.25">
      <c r="E35" s="2"/>
      <c r="G35" s="2"/>
    </row>
    <row r="36" spans="1:9" x14ac:dyDescent="0.25">
      <c r="E36" s="2" t="s">
        <v>73</v>
      </c>
      <c r="G36" s="2" t="s">
        <v>73</v>
      </c>
    </row>
    <row r="37" spans="1:9" x14ac:dyDescent="0.25">
      <c r="E37" s="2" t="s">
        <v>8</v>
      </c>
      <c r="F37" s="2" t="s">
        <v>303</v>
      </c>
      <c r="G37" s="2" t="s">
        <v>8</v>
      </c>
    </row>
    <row r="38" spans="1:9" x14ac:dyDescent="0.25">
      <c r="A38" s="53" t="s">
        <v>360</v>
      </c>
      <c r="B38" s="53"/>
      <c r="E38" s="3" t="s">
        <v>192</v>
      </c>
      <c r="F38" s="3" t="s">
        <v>36</v>
      </c>
      <c r="G38" s="3" t="s">
        <v>304</v>
      </c>
      <c r="H38" s="3" t="s">
        <v>198</v>
      </c>
    </row>
    <row r="39" spans="1:9" x14ac:dyDescent="0.25">
      <c r="A39" s="2">
        <f>A29+1</f>
        <v>9</v>
      </c>
      <c r="B39" s="2"/>
      <c r="C39" t="s">
        <v>251</v>
      </c>
      <c r="E39" s="7">
        <f>'14-IncentivePlant'!E46</f>
        <v>0</v>
      </c>
      <c r="F39" s="106">
        <f>F25</f>
        <v>0</v>
      </c>
      <c r="G39" s="7" t="e">
        <f>(E39/1000000)*(F39*$G$17)</f>
        <v>#DIV/0!</v>
      </c>
      <c r="H39" s="47" t="str">
        <f>"14-IncentivePlant, L "&amp;'14-IncentivePlant'!A46&amp;", Col. 1"</f>
        <v>14-IncentivePlant, L 13, Col. 1</v>
      </c>
    </row>
    <row r="40" spans="1:9" x14ac:dyDescent="0.25">
      <c r="A40" s="2">
        <f>A39+1</f>
        <v>10</v>
      </c>
      <c r="B40" s="2"/>
      <c r="C40" t="s">
        <v>252</v>
      </c>
      <c r="E40" s="7">
        <f>'14-IncentivePlant'!E47</f>
        <v>0</v>
      </c>
      <c r="F40" s="106">
        <f>F26</f>
        <v>0</v>
      </c>
      <c r="G40" s="7" t="e">
        <f>(E40/1000000)*(F40*$G$17)</f>
        <v>#DIV/0!</v>
      </c>
      <c r="H40" s="47" t="str">
        <f>"14-IncentivePlant, L "&amp;'14-IncentivePlant'!A47&amp;", Col. 1"</f>
        <v>14-IncentivePlant, L 14, Col. 1</v>
      </c>
    </row>
    <row r="41" spans="1:9" x14ac:dyDescent="0.25">
      <c r="A41" s="2">
        <f>A40+1</f>
        <v>11</v>
      </c>
      <c r="B41" s="2"/>
      <c r="C41" s="551" t="s">
        <v>2773</v>
      </c>
      <c r="E41" s="7">
        <f>'14-IncentivePlant'!E48</f>
        <v>0</v>
      </c>
      <c r="F41" s="106">
        <f>F27</f>
        <v>0</v>
      </c>
      <c r="G41" s="7" t="e">
        <f>(E41/1000000)*(F41*$G$17)</f>
        <v>#DIV/0!</v>
      </c>
      <c r="H41" s="47" t="str">
        <f>"14-IncentivePlant, L "&amp;'14-IncentivePlant'!A48&amp;", Col. 1"</f>
        <v>14-IncentivePlant, L 15, Col. 1</v>
      </c>
    </row>
    <row r="42" spans="1:9" x14ac:dyDescent="0.25">
      <c r="A42" s="2">
        <f>A41+1</f>
        <v>12</v>
      </c>
      <c r="B42" s="2"/>
      <c r="C42" s="126"/>
      <c r="D42" s="105"/>
      <c r="H42" s="14"/>
    </row>
    <row r="43" spans="1:9" x14ac:dyDescent="0.25">
      <c r="A43" s="2">
        <f>A42+1</f>
        <v>13</v>
      </c>
      <c r="B43" s="2"/>
      <c r="C43" s="206" t="s">
        <v>565</v>
      </c>
      <c r="H43" s="14"/>
    </row>
    <row r="44" spans="1:9" x14ac:dyDescent="0.25">
      <c r="A44" s="2">
        <f>A43+1</f>
        <v>14</v>
      </c>
      <c r="F44" s="37" t="s">
        <v>88</v>
      </c>
      <c r="G44" s="7" t="e">
        <f>SUM(G39:G42)</f>
        <v>#DIV/0!</v>
      </c>
      <c r="H44" s="550" t="s">
        <v>1908</v>
      </c>
    </row>
    <row r="45" spans="1:9" x14ac:dyDescent="0.25">
      <c r="H45" s="550" t="s">
        <v>1909</v>
      </c>
      <c r="I45" s="7"/>
    </row>
    <row r="46" spans="1:9" x14ac:dyDescent="0.25">
      <c r="B46" s="1" t="s">
        <v>1658</v>
      </c>
      <c r="H46" s="14"/>
    </row>
    <row r="47" spans="1:9" x14ac:dyDescent="0.25">
      <c r="A47" s="1"/>
      <c r="B47" s="1"/>
      <c r="C47" s="551" t="s">
        <v>1659</v>
      </c>
      <c r="H47" s="14"/>
    </row>
    <row r="48" spans="1:9" x14ac:dyDescent="0.25">
      <c r="A48" s="1"/>
      <c r="B48" s="1"/>
      <c r="C48" s="551" t="s">
        <v>1708</v>
      </c>
      <c r="H48" s="14"/>
    </row>
    <row r="49" spans="1:9" x14ac:dyDescent="0.25">
      <c r="A49" s="1"/>
      <c r="B49" s="1"/>
      <c r="C49" s="551" t="s">
        <v>1907</v>
      </c>
      <c r="H49" s="14"/>
    </row>
    <row r="50" spans="1:9" x14ac:dyDescent="0.25">
      <c r="H50" s="14"/>
    </row>
    <row r="51" spans="1:9" x14ac:dyDescent="0.25">
      <c r="E51" s="2" t="s">
        <v>0</v>
      </c>
      <c r="G51" s="2" t="s">
        <v>0</v>
      </c>
      <c r="H51" s="14"/>
    </row>
    <row r="52" spans="1:9" x14ac:dyDescent="0.25">
      <c r="E52" s="2" t="s">
        <v>8</v>
      </c>
      <c r="F52" s="2" t="s">
        <v>303</v>
      </c>
      <c r="G52" s="2" t="s">
        <v>8</v>
      </c>
      <c r="H52" s="14"/>
    </row>
    <row r="53" spans="1:9" x14ac:dyDescent="0.25">
      <c r="A53" s="53" t="s">
        <v>360</v>
      </c>
      <c r="B53" s="53"/>
      <c r="E53" s="3" t="s">
        <v>1093</v>
      </c>
      <c r="F53" s="3" t="s">
        <v>36</v>
      </c>
      <c r="G53" s="3" t="s">
        <v>304</v>
      </c>
      <c r="H53" s="135" t="s">
        <v>198</v>
      </c>
    </row>
    <row r="54" spans="1:9" x14ac:dyDescent="0.25">
      <c r="A54" s="2">
        <f>A44+1</f>
        <v>15</v>
      </c>
      <c r="B54" s="2"/>
      <c r="C54" t="s">
        <v>251</v>
      </c>
      <c r="E54" s="7">
        <f>'14-IncentivePlant'!E60</f>
        <v>0</v>
      </c>
      <c r="F54" s="106">
        <f>F25</f>
        <v>0</v>
      </c>
      <c r="G54" s="7" t="e">
        <f>(E54/1000000)*(F54*$G$17)</f>
        <v>#DIV/0!</v>
      </c>
      <c r="H54" s="47" t="str">
        <f>"14-IncentivePlant, L "&amp;'14-IncentivePlant'!A60&amp;", Col. 1"</f>
        <v>14-IncentivePlant, L 19, Col. 1</v>
      </c>
    </row>
    <row r="55" spans="1:9" x14ac:dyDescent="0.25">
      <c r="A55" s="2">
        <f>A54+1</f>
        <v>16</v>
      </c>
      <c r="B55" s="2"/>
      <c r="C55" t="s">
        <v>252</v>
      </c>
      <c r="E55" s="7">
        <f>'14-IncentivePlant'!E61</f>
        <v>0</v>
      </c>
      <c r="F55" s="106">
        <f>F26</f>
        <v>0</v>
      </c>
      <c r="G55" s="7" t="e">
        <f>(E55/1000000)*(F55*$G$17)</f>
        <v>#DIV/0!</v>
      </c>
      <c r="H55" s="47" t="str">
        <f>"14-IncentivePlant, L "&amp;'14-IncentivePlant'!A61&amp;", Col. 1"</f>
        <v>14-IncentivePlant, L 20, Col. 1</v>
      </c>
    </row>
    <row r="56" spans="1:9" x14ac:dyDescent="0.25">
      <c r="A56" s="2">
        <f>A55+1</f>
        <v>17</v>
      </c>
      <c r="B56" s="2"/>
      <c r="C56" s="551" t="s">
        <v>2773</v>
      </c>
      <c r="E56" s="7">
        <f>'14-IncentivePlant'!E62</f>
        <v>0</v>
      </c>
      <c r="F56" s="106">
        <f>F27</f>
        <v>0</v>
      </c>
      <c r="G56" s="7" t="e">
        <f>(E56/1000000)*(F56*$G$17)</f>
        <v>#DIV/0!</v>
      </c>
      <c r="H56" s="47" t="str">
        <f>"14-IncentivePlant, L "&amp;'14-IncentivePlant'!A62&amp;", Col. 1"</f>
        <v>14-IncentivePlant, L 21, Col. 1</v>
      </c>
    </row>
    <row r="57" spans="1:9" x14ac:dyDescent="0.25">
      <c r="A57" s="2">
        <f>A56+1</f>
        <v>18</v>
      </c>
      <c r="B57" s="2"/>
      <c r="C57" s="126"/>
      <c r="D57" s="105"/>
    </row>
    <row r="58" spans="1:9" x14ac:dyDescent="0.25">
      <c r="A58" s="2">
        <f>A57+1</f>
        <v>19</v>
      </c>
      <c r="B58" s="2"/>
      <c r="C58" s="206" t="s">
        <v>565</v>
      </c>
    </row>
    <row r="59" spans="1:9" x14ac:dyDescent="0.25">
      <c r="A59" s="2">
        <f>A58+1</f>
        <v>20</v>
      </c>
      <c r="F59" s="549" t="s">
        <v>1660</v>
      </c>
      <c r="G59" s="7" t="e">
        <f>SUM(G54:G57)</f>
        <v>#DIV/0!</v>
      </c>
      <c r="H59" s="555" t="s">
        <v>1908</v>
      </c>
    </row>
    <row r="60" spans="1:9" x14ac:dyDescent="0.25">
      <c r="H60" s="555" t="s">
        <v>1909</v>
      </c>
      <c r="I60" s="7"/>
    </row>
    <row r="61" spans="1:9" x14ac:dyDescent="0.25">
      <c r="B61" s="1" t="s">
        <v>1723</v>
      </c>
    </row>
    <row r="63" spans="1:9" x14ac:dyDescent="0.25">
      <c r="C63" s="1" t="s">
        <v>1724</v>
      </c>
    </row>
    <row r="65" spans="1:7" x14ac:dyDescent="0.25">
      <c r="E65" s="582" t="s">
        <v>10</v>
      </c>
    </row>
    <row r="66" spans="1:7" x14ac:dyDescent="0.25">
      <c r="C66" s="582" t="s">
        <v>8</v>
      </c>
      <c r="E66" s="582" t="s">
        <v>329</v>
      </c>
    </row>
    <row r="67" spans="1:7" x14ac:dyDescent="0.25">
      <c r="A67" s="53" t="s">
        <v>360</v>
      </c>
      <c r="C67" s="3" t="s">
        <v>250</v>
      </c>
      <c r="E67" s="3" t="s">
        <v>3</v>
      </c>
      <c r="F67" s="3" t="s">
        <v>198</v>
      </c>
    </row>
    <row r="68" spans="1:7" x14ac:dyDescent="0.25">
      <c r="A68" s="582">
        <f>A59+1</f>
        <v>21</v>
      </c>
      <c r="C68" t="s">
        <v>251</v>
      </c>
      <c r="E68" s="7">
        <f>'14-IncentivePlant'!G60</f>
        <v>0</v>
      </c>
      <c r="F68" s="550" t="str">
        <f>"14-IncentivePlant, L "&amp;'14-IncentivePlant'!A60&amp;", Col. 3"</f>
        <v>14-IncentivePlant, L 19, Col. 3</v>
      </c>
      <c r="G68" s="14"/>
    </row>
    <row r="69" spans="1:7" x14ac:dyDescent="0.25">
      <c r="A69" s="582">
        <f t="shared" ref="A69:A71" si="0">A68+1</f>
        <v>22</v>
      </c>
      <c r="C69" t="s">
        <v>252</v>
      </c>
      <c r="E69" s="7">
        <f>'14-IncentivePlant'!G61</f>
        <v>0</v>
      </c>
      <c r="F69" s="550" t="str">
        <f>"14-IncentivePlant, L "&amp;'14-IncentivePlant'!A61&amp;", Col. 3"</f>
        <v>14-IncentivePlant, L 20, Col. 3</v>
      </c>
      <c r="G69" s="14"/>
    </row>
    <row r="70" spans="1:7" x14ac:dyDescent="0.25">
      <c r="A70" s="582">
        <f t="shared" si="0"/>
        <v>23</v>
      </c>
      <c r="C70" s="551" t="s">
        <v>2773</v>
      </c>
      <c r="E70" s="7">
        <f>'14-IncentivePlant'!G62</f>
        <v>0</v>
      </c>
      <c r="F70" s="550" t="str">
        <f>"14-IncentivePlant, L "&amp;'14-IncentivePlant'!A62&amp;", Col. 3"</f>
        <v>14-IncentivePlant, L 21, Col. 3</v>
      </c>
      <c r="G70" s="14"/>
    </row>
    <row r="71" spans="1:7" x14ac:dyDescent="0.25">
      <c r="A71" s="582">
        <f t="shared" si="0"/>
        <v>24</v>
      </c>
      <c r="C71" s="126"/>
      <c r="F71" s="550"/>
      <c r="G71" s="14"/>
    </row>
    <row r="72" spans="1:7" x14ac:dyDescent="0.25">
      <c r="C72" s="583" t="s">
        <v>565</v>
      </c>
      <c r="F72" s="14"/>
      <c r="G72" s="14"/>
    </row>
    <row r="73" spans="1:7" x14ac:dyDescent="0.25">
      <c r="C73" s="583"/>
      <c r="F73" s="14"/>
      <c r="G73" s="14"/>
    </row>
    <row r="74" spans="1:7" x14ac:dyDescent="0.25">
      <c r="C74" s="1" t="s">
        <v>1725</v>
      </c>
      <c r="F74" s="14"/>
      <c r="G74" s="14"/>
    </row>
    <row r="75" spans="1:7" x14ac:dyDescent="0.25">
      <c r="C75" s="1"/>
      <c r="F75" s="14"/>
      <c r="G75" s="14"/>
    </row>
    <row r="76" spans="1:7" x14ac:dyDescent="0.25">
      <c r="E76" s="3" t="s">
        <v>394</v>
      </c>
      <c r="F76" s="135" t="s">
        <v>378</v>
      </c>
      <c r="G76" s="14"/>
    </row>
    <row r="77" spans="1:7" x14ac:dyDescent="0.25">
      <c r="E77" s="3"/>
      <c r="F77" s="121" t="s">
        <v>1726</v>
      </c>
      <c r="G77" s="14"/>
    </row>
    <row r="78" spans="1:7" x14ac:dyDescent="0.25">
      <c r="E78" s="582" t="s">
        <v>307</v>
      </c>
      <c r="F78" s="121" t="s">
        <v>307</v>
      </c>
      <c r="G78" s="14"/>
    </row>
    <row r="79" spans="1:7" x14ac:dyDescent="0.25">
      <c r="C79" s="582" t="s">
        <v>8</v>
      </c>
      <c r="E79" s="582" t="s">
        <v>8</v>
      </c>
      <c r="F79" s="121" t="s">
        <v>8</v>
      </c>
      <c r="G79" s="14"/>
    </row>
    <row r="80" spans="1:7" x14ac:dyDescent="0.25">
      <c r="A80" s="53" t="s">
        <v>360</v>
      </c>
      <c r="C80" s="3" t="s">
        <v>250</v>
      </c>
      <c r="E80" s="3" t="s">
        <v>304</v>
      </c>
      <c r="F80" s="135" t="s">
        <v>304</v>
      </c>
      <c r="G80" s="135" t="s">
        <v>198</v>
      </c>
    </row>
    <row r="81" spans="1:7" x14ac:dyDescent="0.25">
      <c r="A81" s="582">
        <f>A71+1</f>
        <v>25</v>
      </c>
      <c r="C81" t="s">
        <v>251</v>
      </c>
      <c r="E81" s="7" t="e">
        <f>(E68/1000000)*(F54*$G$17)</f>
        <v>#DIV/0!</v>
      </c>
      <c r="F81" s="65" t="e">
        <f>E81*(1-$G$16)</f>
        <v>#DIV/0!</v>
      </c>
      <c r="G81" s="550" t="s">
        <v>236</v>
      </c>
    </row>
    <row r="82" spans="1:7" x14ac:dyDescent="0.25">
      <c r="A82" s="582">
        <f t="shared" ref="A82:A86" si="1">A81+1</f>
        <v>26</v>
      </c>
      <c r="C82" t="s">
        <v>252</v>
      </c>
      <c r="E82" s="7" t="e">
        <f>(E69/1000000)*(F55*$G$17)</f>
        <v>#DIV/0!</v>
      </c>
      <c r="F82" s="65" t="e">
        <f>E82*(1-$G$16)</f>
        <v>#DIV/0!</v>
      </c>
      <c r="G82" s="550" t="s">
        <v>236</v>
      </c>
    </row>
    <row r="83" spans="1:7" x14ac:dyDescent="0.25">
      <c r="A83" s="582">
        <f t="shared" si="1"/>
        <v>27</v>
      </c>
      <c r="C83" s="551" t="s">
        <v>2773</v>
      </c>
      <c r="E83" s="7" t="e">
        <f>(E70/1000000)*(F56*$G$17)</f>
        <v>#DIV/0!</v>
      </c>
      <c r="F83" s="65" t="e">
        <f>E83*(1-$G$16)</f>
        <v>#DIV/0!</v>
      </c>
      <c r="G83" s="550" t="s">
        <v>236</v>
      </c>
    </row>
    <row r="84" spans="1:7" x14ac:dyDescent="0.25">
      <c r="A84" s="582">
        <f t="shared" si="1"/>
        <v>28</v>
      </c>
      <c r="C84" s="126"/>
      <c r="E84" s="7"/>
      <c r="F84" s="65"/>
      <c r="G84" s="550" t="s">
        <v>236</v>
      </c>
    </row>
    <row r="85" spans="1:7" x14ac:dyDescent="0.25">
      <c r="A85" s="582">
        <f t="shared" si="1"/>
        <v>29</v>
      </c>
      <c r="C85" s="583" t="s">
        <v>565</v>
      </c>
      <c r="E85" s="7"/>
      <c r="F85" s="65"/>
      <c r="G85" s="14"/>
    </row>
    <row r="86" spans="1:7" x14ac:dyDescent="0.25">
      <c r="A86" s="582">
        <f t="shared" si="1"/>
        <v>30</v>
      </c>
      <c r="E86" s="549" t="s">
        <v>4</v>
      </c>
      <c r="F86" s="65" t="e">
        <f>SUM(F81:F85)</f>
        <v>#DIV/0!</v>
      </c>
      <c r="G86" s="14"/>
    </row>
    <row r="87" spans="1:7" x14ac:dyDescent="0.25">
      <c r="F87" s="14"/>
      <c r="G87" s="14"/>
    </row>
    <row r="88" spans="1:7" x14ac:dyDescent="0.25">
      <c r="C88" s="1" t="s">
        <v>1727</v>
      </c>
      <c r="F88" s="14"/>
      <c r="G88" s="14"/>
    </row>
    <row r="89" spans="1:7" x14ac:dyDescent="0.25">
      <c r="A89" s="53" t="s">
        <v>360</v>
      </c>
      <c r="F89" s="135" t="s">
        <v>194</v>
      </c>
      <c r="G89" s="135" t="s">
        <v>198</v>
      </c>
    </row>
    <row r="90" spans="1:7" x14ac:dyDescent="0.25">
      <c r="A90" s="582">
        <f>A86+1</f>
        <v>31</v>
      </c>
      <c r="E90" s="549" t="s">
        <v>1728</v>
      </c>
      <c r="F90" s="65" t="e">
        <f>'4-TUTRR'!J29</f>
        <v>#DIV/0!</v>
      </c>
      <c r="G90" s="550" t="str">
        <f>"4-TUTRR, Line "&amp;'4-TUTRR'!A29&amp;""</f>
        <v>4-TUTRR, Line 17</v>
      </c>
    </row>
    <row r="91" spans="1:7" x14ac:dyDescent="0.25">
      <c r="A91" s="582">
        <f t="shared" ref="A91:A94" si="2">A90+1</f>
        <v>32</v>
      </c>
      <c r="E91" s="549" t="s">
        <v>1729</v>
      </c>
      <c r="F91" s="122">
        <f>'4-TUTRR'!J24</f>
        <v>0</v>
      </c>
      <c r="G91" s="550" t="str">
        <f>"4-TUTRR, Line "&amp;'4-TUTRR'!A24&amp;""</f>
        <v>4-TUTRR, Line 14</v>
      </c>
    </row>
    <row r="92" spans="1:7" x14ac:dyDescent="0.25">
      <c r="A92" s="582">
        <f t="shared" si="2"/>
        <v>33</v>
      </c>
      <c r="E92" s="549" t="s">
        <v>1730</v>
      </c>
      <c r="F92" s="65" t="e">
        <f>F90-F91</f>
        <v>#DIV/0!</v>
      </c>
      <c r="G92" s="124" t="str">
        <f>"Line "&amp;A90&amp;" - Line "&amp;A91&amp;""</f>
        <v>Line 31 - Line 32</v>
      </c>
    </row>
    <row r="93" spans="1:7" x14ac:dyDescent="0.25">
      <c r="A93" s="582">
        <f t="shared" si="2"/>
        <v>34</v>
      </c>
      <c r="E93" s="549" t="s">
        <v>1731</v>
      </c>
      <c r="F93" s="72" t="e">
        <f>'1-BaseTRR'!K80</f>
        <v>#DIV/0!</v>
      </c>
      <c r="G93" s="550" t="str">
        <f>"1-BaseTRR, Line "&amp;'1-BaseTRR'!A80&amp;""</f>
        <v>1-BaseTRR, Line 46</v>
      </c>
    </row>
    <row r="94" spans="1:7" x14ac:dyDescent="0.25">
      <c r="A94" s="582">
        <f t="shared" si="2"/>
        <v>35</v>
      </c>
      <c r="E94" s="549" t="s">
        <v>1732</v>
      </c>
      <c r="F94" s="7" t="e">
        <f>F92*F93</f>
        <v>#DIV/0!</v>
      </c>
      <c r="G94" s="16" t="str">
        <f>"Line "&amp;A92&amp;" * Line "&amp;A93&amp;""</f>
        <v>Line 33 * Line 34</v>
      </c>
    </row>
    <row r="96" spans="1:7" x14ac:dyDescent="0.25">
      <c r="C96" s="1" t="s">
        <v>1733</v>
      </c>
    </row>
    <row r="97" spans="1:8" x14ac:dyDescent="0.25">
      <c r="A97" s="53" t="s">
        <v>360</v>
      </c>
    </row>
    <row r="98" spans="1:8" x14ac:dyDescent="0.25">
      <c r="A98" s="582">
        <f>A94+1</f>
        <v>36</v>
      </c>
      <c r="E98" s="549" t="s">
        <v>1734</v>
      </c>
      <c r="F98" s="43" t="e">
        <f>F86/F94</f>
        <v>#DIV/0!</v>
      </c>
      <c r="G98" s="124" t="str">
        <f>"Line "&amp;A86&amp;" / Line "&amp;A94&amp;""</f>
        <v>Line 30 / Line 35</v>
      </c>
      <c r="H98" s="14"/>
    </row>
    <row r="99" spans="1:8" x14ac:dyDescent="0.25">
      <c r="A99" s="582">
        <f t="shared" ref="A99:A101" si="3">A98+1</f>
        <v>37</v>
      </c>
      <c r="E99" s="549" t="s">
        <v>1735</v>
      </c>
      <c r="G99" s="14"/>
      <c r="H99" s="14"/>
    </row>
    <row r="100" spans="1:8" x14ac:dyDescent="0.25">
      <c r="A100" s="582">
        <f t="shared" si="3"/>
        <v>38</v>
      </c>
      <c r="E100" s="549" t="s">
        <v>1736</v>
      </c>
      <c r="F100" s="584">
        <f>'1-BaseTRR'!K85</f>
        <v>9.8000000000000004E-2</v>
      </c>
      <c r="G100" s="550" t="str">
        <f>"1-BaseTRR, Line "&amp;'1-BaseTRR'!A85&amp;""</f>
        <v>1-BaseTRR, Line 49</v>
      </c>
      <c r="H100" s="14"/>
    </row>
    <row r="101" spans="1:8" x14ac:dyDescent="0.25">
      <c r="A101" s="582">
        <f t="shared" si="3"/>
        <v>39</v>
      </c>
      <c r="E101" s="549" t="s">
        <v>1737</v>
      </c>
      <c r="F101" s="43" t="e">
        <f>F98+F100</f>
        <v>#DIV/0!</v>
      </c>
      <c r="G101" s="124" t="str">
        <f>"Line "&amp;A98&amp;" + Line "&amp;A100&amp;""</f>
        <v>Line 36 + Line 38</v>
      </c>
      <c r="H101" s="14"/>
    </row>
    <row r="103" spans="1:8" x14ac:dyDescent="0.25">
      <c r="B103" s="1" t="s">
        <v>420</v>
      </c>
    </row>
    <row r="104" spans="1:8" x14ac:dyDescent="0.25">
      <c r="B104" s="551" t="s">
        <v>589</v>
      </c>
    </row>
    <row r="105" spans="1:8" x14ac:dyDescent="0.25">
      <c r="B105" s="551" t="s">
        <v>590</v>
      </c>
    </row>
    <row r="107" spans="1:8" x14ac:dyDescent="0.25">
      <c r="B107" s="1" t="s">
        <v>256</v>
      </c>
    </row>
    <row r="108" spans="1:8" x14ac:dyDescent="0.25">
      <c r="B108" s="551" t="str">
        <f>"1) Column 1: The True Up Incentive Adder for each Incentive Project equals the IREF on Line "&amp;A17&amp;","</f>
        <v>1) Column 1: The True Up Incentive Adder for each Incentive Project equals the IREF on Line 3,</v>
      </c>
    </row>
    <row r="109" spans="1:8" x14ac:dyDescent="0.25">
      <c r="B109" s="551" t="str">
        <f>"times the applicable Multiplicative Factor on Lines "&amp;A54&amp;" to "&amp;A57&amp;", times the million $ of"</f>
        <v>times the applicable Multiplicative Factor on Lines 15 to 18, times the million $ of</v>
      </c>
    </row>
    <row r="110" spans="1:8" x14ac:dyDescent="0.25">
      <c r="B110" s="551" t="str">
        <f>"TIP Net Plant In Service on Lines "&amp;A68&amp;" to "&amp;A71&amp;"."</f>
        <v>TIP Net Plant In Service on Lines 21 to 24.</v>
      </c>
    </row>
    <row r="111" spans="1:8" x14ac:dyDescent="0.25">
      <c r="B111" s="551" t="s">
        <v>1738</v>
      </c>
    </row>
    <row r="112" spans="1:8" x14ac:dyDescent="0.25">
      <c r="B112" s="551" t="str">
        <f>"Column 1 by (1 - CTR) (Where the CTR is on Line "&amp;A16&amp;")."</f>
        <v>Column 1 by (1 - CTR) (Where the CTR is on Line 2).</v>
      </c>
    </row>
  </sheetData>
  <phoneticPr fontId="12" type="noConversion"/>
  <pageMargins left="0.75" right="0.75" top="1" bottom="1" header="0.5" footer="0.5"/>
  <pageSetup scale="75" orientation="portrait" cellComments="asDisplayed" r:id="rId1"/>
  <headerFooter alignWithMargins="0">
    <oddHeader>&amp;CSchedule 15
Incentive Adders
&amp;"Arial,Bold"Attachment 5</oddHeader>
    <oddFooter>&amp;R&amp;A</oddFooter>
  </headerFooter>
  <rowBreaks count="1" manualBreakCount="1">
    <brk id="60"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04"/>
  <sheetViews>
    <sheetView zoomScale="85" zoomScaleNormal="85" workbookViewId="0"/>
  </sheetViews>
  <sheetFormatPr defaultColWidth="9.109375" defaultRowHeight="13.2" x14ac:dyDescent="0.25"/>
  <cols>
    <col min="1" max="1" width="4.6640625" style="778" customWidth="1"/>
    <col min="2" max="2" width="6" style="778" customWidth="1"/>
    <col min="3" max="3" width="15.6640625" style="778" customWidth="1"/>
    <col min="4" max="4" width="9.109375" style="778" customWidth="1"/>
    <col min="5" max="6" width="14.6640625" style="778" customWidth="1"/>
    <col min="7" max="7" width="16" style="778" bestFit="1" customWidth="1"/>
    <col min="8" max="8" width="18.33203125" style="778" customWidth="1"/>
    <col min="9" max="10" width="15.6640625" style="778" customWidth="1"/>
    <col min="11" max="11" width="16.88671875" style="778" customWidth="1"/>
    <col min="12" max="16" width="15.6640625" style="778" customWidth="1"/>
    <col min="17" max="17" width="2.88671875" style="778" customWidth="1"/>
    <col min="18" max="21" width="18.6640625" style="778" customWidth="1"/>
    <col min="22" max="22" width="15.6640625" style="778" customWidth="1"/>
    <col min="23" max="23" width="20.88671875" style="778" bestFit="1" customWidth="1"/>
    <col min="24" max="40" width="15.6640625" style="778" customWidth="1"/>
    <col min="41" max="16384" width="9.109375" style="778"/>
  </cols>
  <sheetData>
    <row r="1" spans="1:40" x14ac:dyDescent="0.25">
      <c r="A1" s="730" t="s">
        <v>1622</v>
      </c>
    </row>
    <row r="2" spans="1:40" x14ac:dyDescent="0.25">
      <c r="F2" s="779" t="s">
        <v>384</v>
      </c>
      <c r="G2" s="779"/>
    </row>
    <row r="3" spans="1:40" x14ac:dyDescent="0.25">
      <c r="B3" s="730" t="s">
        <v>1623</v>
      </c>
    </row>
    <row r="4" spans="1:40" x14ac:dyDescent="0.25">
      <c r="B4" s="730" t="s">
        <v>2378</v>
      </c>
    </row>
    <row r="5" spans="1:40" x14ac:dyDescent="0.25">
      <c r="B5" s="730" t="s">
        <v>2379</v>
      </c>
    </row>
    <row r="6" spans="1:40" x14ac:dyDescent="0.25">
      <c r="B6" s="730"/>
    </row>
    <row r="7" spans="1:40" x14ac:dyDescent="0.25">
      <c r="B7" s="729" t="s">
        <v>2380</v>
      </c>
      <c r="H7" s="730"/>
      <c r="I7" s="730"/>
    </row>
    <row r="8" spans="1:40" x14ac:dyDescent="0.25">
      <c r="B8" s="730"/>
      <c r="E8" s="780" t="s">
        <v>394</v>
      </c>
      <c r="F8" s="780" t="s">
        <v>378</v>
      </c>
      <c r="G8" s="780" t="s">
        <v>379</v>
      </c>
      <c r="H8" s="780" t="s">
        <v>380</v>
      </c>
      <c r="I8" s="780" t="s">
        <v>381</v>
      </c>
      <c r="J8" s="780" t="s">
        <v>382</v>
      </c>
      <c r="K8" s="780" t="s">
        <v>383</v>
      </c>
      <c r="L8" s="780" t="s">
        <v>597</v>
      </c>
      <c r="M8" s="780" t="s">
        <v>1046</v>
      </c>
      <c r="N8" s="780" t="s">
        <v>1062</v>
      </c>
      <c r="O8" s="780" t="s">
        <v>1065</v>
      </c>
      <c r="P8" s="780" t="s">
        <v>1083</v>
      </c>
      <c r="T8" s="780"/>
      <c r="U8" s="780"/>
      <c r="X8" s="781"/>
      <c r="Y8" s="781"/>
      <c r="Z8" s="781"/>
      <c r="AA8" s="781"/>
      <c r="AB8" s="781"/>
      <c r="AC8" s="781"/>
      <c r="AD8" s="781"/>
      <c r="AE8" s="781"/>
      <c r="AF8" s="781"/>
      <c r="AG8" s="781"/>
      <c r="AH8" s="781"/>
      <c r="AI8" s="781"/>
      <c r="AJ8" s="781"/>
      <c r="AK8" s="781"/>
      <c r="AL8" s="781"/>
      <c r="AM8" s="781"/>
      <c r="AN8" s="781"/>
    </row>
    <row r="9" spans="1:40" x14ac:dyDescent="0.25">
      <c r="B9" s="730"/>
      <c r="E9" s="782" t="s">
        <v>235</v>
      </c>
      <c r="F9" s="782" t="s">
        <v>235</v>
      </c>
      <c r="G9" s="782" t="s">
        <v>235</v>
      </c>
      <c r="H9" s="782" t="s">
        <v>235</v>
      </c>
      <c r="I9" s="782" t="s">
        <v>235</v>
      </c>
      <c r="J9" s="782" t="s">
        <v>235</v>
      </c>
      <c r="K9" s="782" t="s">
        <v>235</v>
      </c>
      <c r="L9" s="782" t="s">
        <v>235</v>
      </c>
      <c r="M9" s="782" t="s">
        <v>235</v>
      </c>
      <c r="N9" s="782" t="s">
        <v>235</v>
      </c>
      <c r="O9" s="782" t="s">
        <v>235</v>
      </c>
      <c r="P9" s="782" t="s">
        <v>235</v>
      </c>
      <c r="Q9" s="784"/>
    </row>
    <row r="10" spans="1:40" x14ac:dyDescent="0.25">
      <c r="C10" s="785" t="s">
        <v>217</v>
      </c>
      <c r="E10" s="785" t="s">
        <v>2343</v>
      </c>
      <c r="F10" s="785"/>
      <c r="G10" s="785"/>
      <c r="H10" s="786"/>
      <c r="I10" s="786" t="s">
        <v>2328</v>
      </c>
      <c r="J10" s="786"/>
      <c r="K10" s="786"/>
      <c r="L10" s="786"/>
      <c r="M10" s="786"/>
      <c r="O10" s="785" t="s">
        <v>2343</v>
      </c>
      <c r="P10" s="785" t="s">
        <v>2381</v>
      </c>
      <c r="T10" s="786"/>
      <c r="U10" s="786"/>
      <c r="X10" s="786"/>
      <c r="Y10" s="786"/>
      <c r="Z10" s="786"/>
      <c r="AA10" s="786"/>
      <c r="AB10" s="786"/>
      <c r="AC10" s="786"/>
      <c r="AD10" s="786"/>
      <c r="AE10" s="786"/>
      <c r="AF10" s="786"/>
      <c r="AG10" s="786"/>
      <c r="AH10" s="786"/>
      <c r="AI10" s="786"/>
      <c r="AJ10" s="786"/>
      <c r="AK10" s="786"/>
      <c r="AL10" s="786"/>
      <c r="AM10" s="786"/>
      <c r="AN10" s="786"/>
    </row>
    <row r="11" spans="1:40" x14ac:dyDescent="0.25">
      <c r="B11" s="729"/>
      <c r="C11" s="785" t="s">
        <v>218</v>
      </c>
      <c r="E11" s="785" t="s">
        <v>215</v>
      </c>
      <c r="F11" s="785" t="s">
        <v>2345</v>
      </c>
      <c r="G11" s="786" t="s">
        <v>2346</v>
      </c>
      <c r="H11" s="786" t="s">
        <v>2329</v>
      </c>
      <c r="I11" s="786" t="s">
        <v>2382</v>
      </c>
      <c r="J11" s="786"/>
      <c r="K11" s="786" t="s">
        <v>327</v>
      </c>
      <c r="L11" s="786" t="s">
        <v>1206</v>
      </c>
      <c r="M11" s="786" t="s">
        <v>327</v>
      </c>
      <c r="O11" s="786" t="s">
        <v>1845</v>
      </c>
      <c r="P11" s="786" t="s">
        <v>1845</v>
      </c>
      <c r="T11" s="786"/>
      <c r="U11" s="786"/>
      <c r="X11" s="786"/>
      <c r="Y11" s="786"/>
      <c r="Z11" s="786"/>
      <c r="AA11" s="786"/>
      <c r="AB11" s="786"/>
      <c r="AC11" s="786"/>
      <c r="AD11" s="786"/>
      <c r="AE11" s="786"/>
      <c r="AF11" s="786"/>
      <c r="AG11" s="786"/>
      <c r="AH11" s="786"/>
      <c r="AI11" s="786"/>
      <c r="AJ11" s="786"/>
      <c r="AK11" s="786"/>
      <c r="AL11" s="786"/>
      <c r="AM11" s="786"/>
      <c r="AN11" s="786"/>
    </row>
    <row r="12" spans="1:40" x14ac:dyDescent="0.25">
      <c r="A12" s="787" t="s">
        <v>360</v>
      </c>
      <c r="C12" s="768" t="s">
        <v>211</v>
      </c>
      <c r="D12" s="768" t="s">
        <v>212</v>
      </c>
      <c r="E12" s="781" t="s">
        <v>2349</v>
      </c>
      <c r="F12" s="781" t="s">
        <v>2350</v>
      </c>
      <c r="G12" s="788" t="s">
        <v>2351</v>
      </c>
      <c r="H12" s="788" t="s">
        <v>1118</v>
      </c>
      <c r="I12" s="788" t="s">
        <v>1104</v>
      </c>
      <c r="J12" s="788" t="s">
        <v>2328</v>
      </c>
      <c r="K12" s="788" t="s">
        <v>508</v>
      </c>
      <c r="L12" s="788" t="s">
        <v>2334</v>
      </c>
      <c r="M12" s="788" t="s">
        <v>1508</v>
      </c>
      <c r="N12" s="788" t="s">
        <v>1093</v>
      </c>
      <c r="O12" s="788" t="s">
        <v>1104</v>
      </c>
      <c r="P12" s="788" t="s">
        <v>1104</v>
      </c>
      <c r="T12" s="788"/>
      <c r="U12" s="788"/>
      <c r="V12" s="788"/>
      <c r="W12" s="788"/>
      <c r="X12" s="788"/>
      <c r="Y12" s="788"/>
      <c r="Z12" s="788"/>
      <c r="AA12" s="788"/>
      <c r="AB12" s="788"/>
      <c r="AC12" s="788"/>
      <c r="AD12" s="788"/>
      <c r="AE12" s="788"/>
      <c r="AF12" s="788"/>
      <c r="AG12" s="788"/>
      <c r="AH12" s="788"/>
      <c r="AI12" s="788"/>
      <c r="AJ12" s="788"/>
      <c r="AK12" s="788"/>
      <c r="AL12" s="788"/>
      <c r="AM12" s="788"/>
      <c r="AN12" s="788"/>
    </row>
    <row r="13" spans="1:40" x14ac:dyDescent="0.25">
      <c r="A13" s="785">
        <v>1</v>
      </c>
      <c r="C13" s="778" t="str">
        <f>C45</f>
        <v>January</v>
      </c>
      <c r="D13" s="1145"/>
      <c r="E13" s="727">
        <f t="shared" ref="E13:P13" si="0">E45+E76</f>
        <v>0</v>
      </c>
      <c r="F13" s="727">
        <f t="shared" si="0"/>
        <v>0</v>
      </c>
      <c r="G13" s="727">
        <f t="shared" si="0"/>
        <v>0</v>
      </c>
      <c r="H13" s="727">
        <f t="shared" si="0"/>
        <v>0</v>
      </c>
      <c r="I13" s="727">
        <f t="shared" si="0"/>
        <v>0</v>
      </c>
      <c r="J13" s="727">
        <f t="shared" si="0"/>
        <v>0</v>
      </c>
      <c r="K13" s="727">
        <f t="shared" si="0"/>
        <v>0</v>
      </c>
      <c r="L13" s="727">
        <f t="shared" si="0"/>
        <v>0</v>
      </c>
      <c r="M13" s="727">
        <f t="shared" si="0"/>
        <v>0</v>
      </c>
      <c r="N13" s="727">
        <f t="shared" si="0"/>
        <v>0</v>
      </c>
      <c r="O13" s="727">
        <f t="shared" si="0"/>
        <v>0</v>
      </c>
      <c r="P13" s="727">
        <f t="shared" si="0"/>
        <v>0</v>
      </c>
      <c r="T13" s="789"/>
      <c r="U13" s="789"/>
      <c r="V13" s="790"/>
      <c r="W13" s="789"/>
      <c r="X13" s="791"/>
      <c r="Y13" s="563"/>
      <c r="Z13" s="789"/>
      <c r="AA13" s="789"/>
      <c r="AB13" s="789"/>
      <c r="AC13" s="789"/>
      <c r="AD13" s="789"/>
      <c r="AE13" s="789"/>
      <c r="AF13" s="789"/>
      <c r="AG13" s="789"/>
      <c r="AH13" s="789"/>
      <c r="AI13" s="789"/>
      <c r="AJ13" s="789"/>
      <c r="AK13" s="789"/>
      <c r="AL13" s="789"/>
      <c r="AM13" s="789"/>
      <c r="AN13" s="789"/>
    </row>
    <row r="14" spans="1:40" x14ac:dyDescent="0.25">
      <c r="A14" s="785">
        <f>A13+1</f>
        <v>2</v>
      </c>
      <c r="C14" s="778" t="str">
        <f t="shared" ref="C14:C29" si="1">C46</f>
        <v>February</v>
      </c>
      <c r="D14" s="1145"/>
      <c r="E14" s="727">
        <f t="shared" ref="E14:P14" si="2">E46+E77</f>
        <v>0</v>
      </c>
      <c r="F14" s="727">
        <f t="shared" si="2"/>
        <v>0</v>
      </c>
      <c r="G14" s="727">
        <f t="shared" si="2"/>
        <v>0</v>
      </c>
      <c r="H14" s="727">
        <f t="shared" si="2"/>
        <v>0</v>
      </c>
      <c r="I14" s="727">
        <f t="shared" si="2"/>
        <v>0</v>
      </c>
      <c r="J14" s="727">
        <f t="shared" si="2"/>
        <v>0</v>
      </c>
      <c r="K14" s="727">
        <f t="shared" si="2"/>
        <v>0</v>
      </c>
      <c r="L14" s="727" t="e">
        <f t="shared" si="2"/>
        <v>#DIV/0!</v>
      </c>
      <c r="M14" s="727" t="e">
        <f t="shared" si="2"/>
        <v>#DIV/0!</v>
      </c>
      <c r="N14" s="727" t="e">
        <f t="shared" si="2"/>
        <v>#DIV/0!</v>
      </c>
      <c r="O14" s="727">
        <f t="shared" si="2"/>
        <v>0</v>
      </c>
      <c r="P14" s="727">
        <f t="shared" si="2"/>
        <v>0</v>
      </c>
      <c r="T14" s="789"/>
      <c r="U14" s="789"/>
      <c r="V14" s="790"/>
      <c r="W14" s="789"/>
      <c r="X14" s="791"/>
      <c r="Y14" s="563"/>
      <c r="Z14" s="789"/>
      <c r="AA14" s="789"/>
      <c r="AB14" s="789"/>
      <c r="AC14" s="789"/>
      <c r="AD14" s="789"/>
      <c r="AE14" s="789"/>
      <c r="AF14" s="789"/>
      <c r="AG14" s="789"/>
      <c r="AH14" s="789"/>
      <c r="AI14" s="789"/>
      <c r="AJ14" s="789"/>
      <c r="AK14" s="789"/>
      <c r="AL14" s="789"/>
      <c r="AM14" s="789"/>
      <c r="AN14" s="789"/>
    </row>
    <row r="15" spans="1:40" x14ac:dyDescent="0.25">
      <c r="A15" s="785">
        <f t="shared" ref="A15:A37" si="3">A14+1</f>
        <v>3</v>
      </c>
      <c r="C15" s="778" t="str">
        <f t="shared" si="1"/>
        <v>March</v>
      </c>
      <c r="D15" s="1145"/>
      <c r="E15" s="727">
        <f t="shared" ref="E15:P15" si="4">E47+E78</f>
        <v>0</v>
      </c>
      <c r="F15" s="727">
        <f t="shared" si="4"/>
        <v>0</v>
      </c>
      <c r="G15" s="727">
        <f t="shared" si="4"/>
        <v>0</v>
      </c>
      <c r="H15" s="727">
        <f t="shared" si="4"/>
        <v>0</v>
      </c>
      <c r="I15" s="727">
        <f t="shared" si="4"/>
        <v>0</v>
      </c>
      <c r="J15" s="727">
        <f t="shared" si="4"/>
        <v>0</v>
      </c>
      <c r="K15" s="727">
        <f t="shared" si="4"/>
        <v>0</v>
      </c>
      <c r="L15" s="727" t="e">
        <f t="shared" si="4"/>
        <v>#DIV/0!</v>
      </c>
      <c r="M15" s="727" t="e">
        <f t="shared" si="4"/>
        <v>#DIV/0!</v>
      </c>
      <c r="N15" s="727" t="e">
        <f t="shared" si="4"/>
        <v>#DIV/0!</v>
      </c>
      <c r="O15" s="727">
        <f t="shared" si="4"/>
        <v>0</v>
      </c>
      <c r="P15" s="727">
        <f t="shared" si="4"/>
        <v>0</v>
      </c>
      <c r="T15" s="789"/>
      <c r="U15" s="789"/>
      <c r="V15" s="790"/>
      <c r="W15" s="789"/>
      <c r="X15" s="791"/>
      <c r="Y15" s="563"/>
      <c r="Z15" s="789"/>
      <c r="AA15" s="789"/>
      <c r="AB15" s="789"/>
      <c r="AC15" s="789"/>
      <c r="AD15" s="789"/>
      <c r="AE15" s="789"/>
      <c r="AF15" s="789"/>
      <c r="AG15" s="789"/>
      <c r="AH15" s="789"/>
      <c r="AI15" s="789"/>
      <c r="AJ15" s="789"/>
      <c r="AK15" s="789"/>
      <c r="AL15" s="789"/>
      <c r="AM15" s="789"/>
      <c r="AN15" s="789"/>
    </row>
    <row r="16" spans="1:40" x14ac:dyDescent="0.25">
      <c r="A16" s="785">
        <f t="shared" si="3"/>
        <v>4</v>
      </c>
      <c r="C16" s="778" t="str">
        <f t="shared" si="1"/>
        <v>April</v>
      </c>
      <c r="D16" s="1145"/>
      <c r="E16" s="727">
        <f t="shared" ref="E16:P16" si="5">E48+E79</f>
        <v>0</v>
      </c>
      <c r="F16" s="727">
        <f t="shared" si="5"/>
        <v>0</v>
      </c>
      <c r="G16" s="727">
        <f t="shared" si="5"/>
        <v>0</v>
      </c>
      <c r="H16" s="727">
        <f t="shared" si="5"/>
        <v>0</v>
      </c>
      <c r="I16" s="727">
        <f t="shared" si="5"/>
        <v>0</v>
      </c>
      <c r="J16" s="727">
        <f t="shared" si="5"/>
        <v>0</v>
      </c>
      <c r="K16" s="727">
        <f t="shared" si="5"/>
        <v>0</v>
      </c>
      <c r="L16" s="727" t="e">
        <f t="shared" si="5"/>
        <v>#DIV/0!</v>
      </c>
      <c r="M16" s="727" t="e">
        <f t="shared" si="5"/>
        <v>#DIV/0!</v>
      </c>
      <c r="N16" s="727" t="e">
        <f t="shared" si="5"/>
        <v>#DIV/0!</v>
      </c>
      <c r="O16" s="727">
        <f t="shared" si="5"/>
        <v>0</v>
      </c>
      <c r="P16" s="727">
        <f t="shared" si="5"/>
        <v>0</v>
      </c>
      <c r="T16" s="789"/>
      <c r="U16" s="789"/>
      <c r="V16" s="790"/>
      <c r="W16" s="789"/>
      <c r="X16" s="791"/>
      <c r="Y16" s="563"/>
      <c r="Z16" s="789"/>
      <c r="AA16" s="789"/>
      <c r="AB16" s="789"/>
      <c r="AC16" s="789"/>
      <c r="AD16" s="789"/>
      <c r="AE16" s="789"/>
      <c r="AF16" s="789"/>
      <c r="AG16" s="789"/>
      <c r="AH16" s="789"/>
      <c r="AI16" s="789"/>
      <c r="AJ16" s="789"/>
      <c r="AK16" s="789"/>
      <c r="AL16" s="789"/>
      <c r="AM16" s="789"/>
      <c r="AN16" s="789"/>
    </row>
    <row r="17" spans="1:40" x14ac:dyDescent="0.25">
      <c r="A17" s="785">
        <f t="shared" si="3"/>
        <v>5</v>
      </c>
      <c r="C17" s="778" t="str">
        <f t="shared" si="1"/>
        <v>May</v>
      </c>
      <c r="D17" s="1145"/>
      <c r="E17" s="727">
        <f t="shared" ref="E17:P17" si="6">E49+E80</f>
        <v>0</v>
      </c>
      <c r="F17" s="727">
        <f t="shared" si="6"/>
        <v>0</v>
      </c>
      <c r="G17" s="727">
        <f t="shared" si="6"/>
        <v>0</v>
      </c>
      <c r="H17" s="727">
        <f t="shared" si="6"/>
        <v>0</v>
      </c>
      <c r="I17" s="727">
        <f t="shared" si="6"/>
        <v>0</v>
      </c>
      <c r="J17" s="727">
        <f t="shared" si="6"/>
        <v>0</v>
      </c>
      <c r="K17" s="727">
        <f t="shared" si="6"/>
        <v>0</v>
      </c>
      <c r="L17" s="727" t="e">
        <f t="shared" si="6"/>
        <v>#DIV/0!</v>
      </c>
      <c r="M17" s="727" t="e">
        <f t="shared" si="6"/>
        <v>#DIV/0!</v>
      </c>
      <c r="N17" s="727" t="e">
        <f t="shared" si="6"/>
        <v>#DIV/0!</v>
      </c>
      <c r="O17" s="727">
        <f t="shared" si="6"/>
        <v>0</v>
      </c>
      <c r="P17" s="727">
        <f t="shared" si="6"/>
        <v>0</v>
      </c>
      <c r="T17" s="789"/>
      <c r="U17" s="789"/>
      <c r="V17" s="790"/>
      <c r="W17" s="789"/>
      <c r="X17" s="791"/>
      <c r="Y17" s="563"/>
      <c r="Z17" s="789"/>
      <c r="AA17" s="789"/>
      <c r="AB17" s="789"/>
      <c r="AC17" s="789"/>
      <c r="AD17" s="789"/>
      <c r="AE17" s="789"/>
      <c r="AF17" s="789"/>
      <c r="AG17" s="789"/>
      <c r="AH17" s="789"/>
      <c r="AI17" s="789"/>
      <c r="AJ17" s="789"/>
      <c r="AK17" s="789"/>
      <c r="AL17" s="789"/>
      <c r="AM17" s="789"/>
      <c r="AN17" s="789"/>
    </row>
    <row r="18" spans="1:40" x14ac:dyDescent="0.25">
      <c r="A18" s="785">
        <f t="shared" si="3"/>
        <v>6</v>
      </c>
      <c r="C18" s="778" t="str">
        <f t="shared" si="1"/>
        <v xml:space="preserve">June </v>
      </c>
      <c r="D18" s="1145"/>
      <c r="E18" s="727">
        <f t="shared" ref="E18:P18" si="7">E50+E81</f>
        <v>0</v>
      </c>
      <c r="F18" s="727">
        <f t="shared" si="7"/>
        <v>0</v>
      </c>
      <c r="G18" s="727">
        <f t="shared" si="7"/>
        <v>0</v>
      </c>
      <c r="H18" s="727">
        <f t="shared" si="7"/>
        <v>0</v>
      </c>
      <c r="I18" s="727">
        <f t="shared" si="7"/>
        <v>0</v>
      </c>
      <c r="J18" s="727">
        <f t="shared" si="7"/>
        <v>0</v>
      </c>
      <c r="K18" s="727">
        <f t="shared" si="7"/>
        <v>0</v>
      </c>
      <c r="L18" s="727" t="e">
        <f t="shared" si="7"/>
        <v>#DIV/0!</v>
      </c>
      <c r="M18" s="727" t="e">
        <f t="shared" si="7"/>
        <v>#DIV/0!</v>
      </c>
      <c r="N18" s="727" t="e">
        <f t="shared" si="7"/>
        <v>#DIV/0!</v>
      </c>
      <c r="O18" s="727">
        <f t="shared" si="7"/>
        <v>0</v>
      </c>
      <c r="P18" s="727">
        <f t="shared" si="7"/>
        <v>0</v>
      </c>
      <c r="T18" s="789"/>
      <c r="U18" s="789"/>
      <c r="V18" s="790"/>
      <c r="W18" s="789"/>
      <c r="X18" s="791"/>
      <c r="Y18" s="563"/>
      <c r="Z18" s="789"/>
      <c r="AA18" s="789"/>
      <c r="AB18" s="789"/>
      <c r="AC18" s="789"/>
      <c r="AD18" s="789"/>
      <c r="AE18" s="789"/>
      <c r="AF18" s="789"/>
      <c r="AG18" s="789"/>
      <c r="AH18" s="789"/>
      <c r="AI18" s="789"/>
      <c r="AJ18" s="789"/>
      <c r="AK18" s="789"/>
      <c r="AL18" s="789"/>
      <c r="AM18" s="789"/>
      <c r="AN18" s="789"/>
    </row>
    <row r="19" spans="1:40" x14ac:dyDescent="0.25">
      <c r="A19" s="785">
        <f t="shared" si="3"/>
        <v>7</v>
      </c>
      <c r="C19" s="778" t="str">
        <f t="shared" si="1"/>
        <v>July</v>
      </c>
      <c r="D19" s="1145"/>
      <c r="E19" s="727">
        <f t="shared" ref="E19:P19" si="8">E51+E82</f>
        <v>0</v>
      </c>
      <c r="F19" s="727">
        <f t="shared" si="8"/>
        <v>0</v>
      </c>
      <c r="G19" s="727">
        <f t="shared" si="8"/>
        <v>0</v>
      </c>
      <c r="H19" s="727">
        <f t="shared" si="8"/>
        <v>0</v>
      </c>
      <c r="I19" s="727">
        <f t="shared" si="8"/>
        <v>0</v>
      </c>
      <c r="J19" s="727">
        <f t="shared" si="8"/>
        <v>0</v>
      </c>
      <c r="K19" s="727">
        <f t="shared" si="8"/>
        <v>0</v>
      </c>
      <c r="L19" s="727" t="e">
        <f t="shared" si="8"/>
        <v>#DIV/0!</v>
      </c>
      <c r="M19" s="727" t="e">
        <f t="shared" si="8"/>
        <v>#DIV/0!</v>
      </c>
      <c r="N19" s="727" t="e">
        <f t="shared" si="8"/>
        <v>#DIV/0!</v>
      </c>
      <c r="O19" s="727">
        <f t="shared" si="8"/>
        <v>0</v>
      </c>
      <c r="P19" s="727">
        <f t="shared" si="8"/>
        <v>0</v>
      </c>
      <c r="T19" s="789"/>
      <c r="U19" s="789"/>
      <c r="V19" s="790"/>
      <c r="W19" s="789"/>
      <c r="X19" s="791"/>
      <c r="Y19" s="563"/>
      <c r="Z19" s="789"/>
      <c r="AA19" s="789"/>
      <c r="AB19" s="789"/>
      <c r="AC19" s="789"/>
      <c r="AD19" s="789"/>
      <c r="AE19" s="789"/>
      <c r="AF19" s="789"/>
      <c r="AG19" s="789"/>
      <c r="AH19" s="789"/>
      <c r="AI19" s="789"/>
      <c r="AJ19" s="789"/>
      <c r="AK19" s="789"/>
      <c r="AL19" s="789"/>
      <c r="AM19" s="789"/>
      <c r="AN19" s="789"/>
    </row>
    <row r="20" spans="1:40" x14ac:dyDescent="0.25">
      <c r="A20" s="785">
        <f t="shared" si="3"/>
        <v>8</v>
      </c>
      <c r="C20" s="778" t="str">
        <f t="shared" si="1"/>
        <v>August</v>
      </c>
      <c r="D20" s="1145"/>
      <c r="E20" s="727">
        <f t="shared" ref="E20:P20" si="9">E52+E83</f>
        <v>0</v>
      </c>
      <c r="F20" s="727">
        <f t="shared" si="9"/>
        <v>0</v>
      </c>
      <c r="G20" s="727">
        <f t="shared" si="9"/>
        <v>0</v>
      </c>
      <c r="H20" s="727">
        <f t="shared" si="9"/>
        <v>0</v>
      </c>
      <c r="I20" s="727">
        <f t="shared" si="9"/>
        <v>0</v>
      </c>
      <c r="J20" s="727">
        <f t="shared" si="9"/>
        <v>0</v>
      </c>
      <c r="K20" s="727">
        <f t="shared" si="9"/>
        <v>0</v>
      </c>
      <c r="L20" s="727" t="e">
        <f t="shared" si="9"/>
        <v>#DIV/0!</v>
      </c>
      <c r="M20" s="727" t="e">
        <f t="shared" si="9"/>
        <v>#DIV/0!</v>
      </c>
      <c r="N20" s="727" t="e">
        <f t="shared" si="9"/>
        <v>#DIV/0!</v>
      </c>
      <c r="O20" s="727">
        <f t="shared" si="9"/>
        <v>0</v>
      </c>
      <c r="P20" s="727">
        <f t="shared" si="9"/>
        <v>0</v>
      </c>
      <c r="T20" s="789"/>
      <c r="U20" s="789"/>
      <c r="V20" s="790"/>
      <c r="W20" s="789"/>
      <c r="X20" s="791"/>
      <c r="Y20" s="563"/>
      <c r="Z20" s="789"/>
      <c r="AA20" s="789"/>
      <c r="AB20" s="789"/>
      <c r="AC20" s="789"/>
      <c r="AD20" s="789"/>
      <c r="AE20" s="789"/>
      <c r="AF20" s="789"/>
      <c r="AG20" s="789"/>
      <c r="AH20" s="789"/>
      <c r="AI20" s="789"/>
      <c r="AJ20" s="789"/>
      <c r="AK20" s="789"/>
      <c r="AL20" s="789"/>
      <c r="AM20" s="789"/>
      <c r="AN20" s="789"/>
    </row>
    <row r="21" spans="1:40" x14ac:dyDescent="0.25">
      <c r="A21" s="785">
        <f t="shared" si="3"/>
        <v>9</v>
      </c>
      <c r="C21" s="778" t="str">
        <f t="shared" si="1"/>
        <v>September</v>
      </c>
      <c r="D21" s="1145"/>
      <c r="E21" s="727">
        <f t="shared" ref="E21:P21" si="10">E53+E84</f>
        <v>0</v>
      </c>
      <c r="F21" s="727">
        <f t="shared" si="10"/>
        <v>0</v>
      </c>
      <c r="G21" s="727">
        <f t="shared" si="10"/>
        <v>0</v>
      </c>
      <c r="H21" s="727">
        <f t="shared" si="10"/>
        <v>0</v>
      </c>
      <c r="I21" s="727">
        <f t="shared" si="10"/>
        <v>0</v>
      </c>
      <c r="J21" s="727">
        <f t="shared" si="10"/>
        <v>0</v>
      </c>
      <c r="K21" s="727">
        <f t="shared" si="10"/>
        <v>0</v>
      </c>
      <c r="L21" s="727" t="e">
        <f t="shared" si="10"/>
        <v>#DIV/0!</v>
      </c>
      <c r="M21" s="727" t="e">
        <f t="shared" si="10"/>
        <v>#DIV/0!</v>
      </c>
      <c r="N21" s="727" t="e">
        <f t="shared" si="10"/>
        <v>#DIV/0!</v>
      </c>
      <c r="O21" s="727">
        <f t="shared" si="10"/>
        <v>0</v>
      </c>
      <c r="P21" s="727">
        <f t="shared" si="10"/>
        <v>0</v>
      </c>
      <c r="T21" s="789"/>
      <c r="U21" s="789"/>
      <c r="V21" s="790"/>
      <c r="W21" s="789"/>
      <c r="X21" s="791"/>
      <c r="Y21" s="563"/>
      <c r="Z21" s="789"/>
      <c r="AA21" s="789"/>
      <c r="AB21" s="789"/>
      <c r="AC21" s="789"/>
      <c r="AD21" s="789"/>
      <c r="AE21" s="789"/>
      <c r="AF21" s="789"/>
      <c r="AG21" s="789"/>
      <c r="AH21" s="789"/>
      <c r="AI21" s="789"/>
      <c r="AJ21" s="789"/>
      <c r="AK21" s="789"/>
      <c r="AL21" s="789"/>
      <c r="AM21" s="789"/>
      <c r="AN21" s="789"/>
    </row>
    <row r="22" spans="1:40" x14ac:dyDescent="0.25">
      <c r="A22" s="785">
        <f t="shared" si="3"/>
        <v>10</v>
      </c>
      <c r="C22" s="778" t="str">
        <f t="shared" si="1"/>
        <v xml:space="preserve">October </v>
      </c>
      <c r="D22" s="1145"/>
      <c r="E22" s="727">
        <f t="shared" ref="E22:P22" si="11">E54+E85</f>
        <v>0</v>
      </c>
      <c r="F22" s="727">
        <f t="shared" si="11"/>
        <v>0</v>
      </c>
      <c r="G22" s="727">
        <f t="shared" si="11"/>
        <v>0</v>
      </c>
      <c r="H22" s="727">
        <f t="shared" si="11"/>
        <v>0</v>
      </c>
      <c r="I22" s="727">
        <f t="shared" si="11"/>
        <v>0</v>
      </c>
      <c r="J22" s="727">
        <f t="shared" si="11"/>
        <v>0</v>
      </c>
      <c r="K22" s="727">
        <f t="shared" si="11"/>
        <v>0</v>
      </c>
      <c r="L22" s="727" t="e">
        <f t="shared" si="11"/>
        <v>#DIV/0!</v>
      </c>
      <c r="M22" s="727" t="e">
        <f t="shared" si="11"/>
        <v>#DIV/0!</v>
      </c>
      <c r="N22" s="727" t="e">
        <f t="shared" si="11"/>
        <v>#DIV/0!</v>
      </c>
      <c r="O22" s="727">
        <f t="shared" si="11"/>
        <v>0</v>
      </c>
      <c r="P22" s="727">
        <f t="shared" si="11"/>
        <v>0</v>
      </c>
      <c r="T22" s="789"/>
      <c r="U22" s="789"/>
      <c r="V22" s="790"/>
      <c r="W22" s="789"/>
      <c r="X22" s="791"/>
      <c r="Y22" s="563"/>
      <c r="Z22" s="789"/>
      <c r="AA22" s="789"/>
      <c r="AB22" s="789"/>
      <c r="AC22" s="789"/>
      <c r="AD22" s="789"/>
      <c r="AE22" s="789"/>
      <c r="AF22" s="789"/>
      <c r="AG22" s="789"/>
      <c r="AH22" s="789"/>
      <c r="AI22" s="789"/>
      <c r="AJ22" s="789"/>
      <c r="AK22" s="789"/>
      <c r="AL22" s="789"/>
      <c r="AM22" s="789"/>
      <c r="AN22" s="789"/>
    </row>
    <row r="23" spans="1:40" x14ac:dyDescent="0.25">
      <c r="A23" s="785">
        <f t="shared" si="3"/>
        <v>11</v>
      </c>
      <c r="C23" s="778" t="str">
        <f t="shared" si="1"/>
        <v>November</v>
      </c>
      <c r="D23" s="1145"/>
      <c r="E23" s="727">
        <f t="shared" ref="E23:P23" si="12">E55+E86</f>
        <v>0</v>
      </c>
      <c r="F23" s="727">
        <f t="shared" si="12"/>
        <v>0</v>
      </c>
      <c r="G23" s="727">
        <f t="shared" si="12"/>
        <v>0</v>
      </c>
      <c r="H23" s="727">
        <f t="shared" si="12"/>
        <v>0</v>
      </c>
      <c r="I23" s="727">
        <f t="shared" si="12"/>
        <v>0</v>
      </c>
      <c r="J23" s="727">
        <f t="shared" si="12"/>
        <v>0</v>
      </c>
      <c r="K23" s="727">
        <f t="shared" si="12"/>
        <v>0</v>
      </c>
      <c r="L23" s="727" t="e">
        <f t="shared" si="12"/>
        <v>#DIV/0!</v>
      </c>
      <c r="M23" s="727" t="e">
        <f t="shared" si="12"/>
        <v>#DIV/0!</v>
      </c>
      <c r="N23" s="727" t="e">
        <f t="shared" si="12"/>
        <v>#DIV/0!</v>
      </c>
      <c r="O23" s="727">
        <f t="shared" si="12"/>
        <v>0</v>
      </c>
      <c r="P23" s="727">
        <f t="shared" si="12"/>
        <v>0</v>
      </c>
      <c r="T23" s="789"/>
      <c r="U23" s="789"/>
      <c r="V23" s="790"/>
      <c r="W23" s="789"/>
      <c r="X23" s="791"/>
      <c r="Y23" s="563"/>
      <c r="Z23" s="789"/>
      <c r="AA23" s="789"/>
      <c r="AB23" s="789"/>
      <c r="AC23" s="789"/>
      <c r="AD23" s="789"/>
      <c r="AE23" s="789"/>
      <c r="AF23" s="789"/>
      <c r="AG23" s="789"/>
      <c r="AH23" s="789"/>
      <c r="AI23" s="789"/>
      <c r="AJ23" s="789"/>
      <c r="AK23" s="789"/>
      <c r="AL23" s="789"/>
      <c r="AM23" s="789"/>
      <c r="AN23" s="789"/>
    </row>
    <row r="24" spans="1:40" x14ac:dyDescent="0.25">
      <c r="A24" s="785">
        <f t="shared" si="3"/>
        <v>12</v>
      </c>
      <c r="C24" s="778" t="str">
        <f t="shared" si="1"/>
        <v>December</v>
      </c>
      <c r="D24" s="1145"/>
      <c r="E24" s="727">
        <f t="shared" ref="E24:P24" si="13">E56+E87</f>
        <v>0</v>
      </c>
      <c r="F24" s="727">
        <f t="shared" si="13"/>
        <v>0</v>
      </c>
      <c r="G24" s="727">
        <f t="shared" si="13"/>
        <v>0</v>
      </c>
      <c r="H24" s="727">
        <f t="shared" si="13"/>
        <v>0</v>
      </c>
      <c r="I24" s="727">
        <f t="shared" si="13"/>
        <v>0</v>
      </c>
      <c r="J24" s="727">
        <f t="shared" si="13"/>
        <v>0</v>
      </c>
      <c r="K24" s="727">
        <f t="shared" si="13"/>
        <v>0</v>
      </c>
      <c r="L24" s="727" t="e">
        <f t="shared" si="13"/>
        <v>#DIV/0!</v>
      </c>
      <c r="M24" s="727" t="e">
        <f t="shared" si="13"/>
        <v>#DIV/0!</v>
      </c>
      <c r="N24" s="727" t="e">
        <f t="shared" si="13"/>
        <v>#DIV/0!</v>
      </c>
      <c r="O24" s="727">
        <f t="shared" si="13"/>
        <v>0</v>
      </c>
      <c r="P24" s="727">
        <f t="shared" si="13"/>
        <v>0</v>
      </c>
      <c r="T24" s="789"/>
      <c r="U24" s="789"/>
      <c r="V24" s="790"/>
      <c r="W24" s="789"/>
      <c r="X24" s="791"/>
      <c r="Y24" s="563"/>
      <c r="Z24" s="789"/>
      <c r="AA24" s="789"/>
      <c r="AB24" s="789"/>
      <c r="AC24" s="789"/>
      <c r="AD24" s="789"/>
      <c r="AE24" s="789"/>
      <c r="AF24" s="789"/>
      <c r="AG24" s="789"/>
      <c r="AH24" s="789"/>
      <c r="AI24" s="789"/>
      <c r="AJ24" s="789"/>
      <c r="AK24" s="789"/>
      <c r="AL24" s="789"/>
      <c r="AM24" s="789"/>
      <c r="AN24" s="789"/>
    </row>
    <row r="25" spans="1:40" x14ac:dyDescent="0.25">
      <c r="A25" s="785">
        <f t="shared" si="3"/>
        <v>13</v>
      </c>
      <c r="C25" s="778" t="str">
        <f t="shared" si="1"/>
        <v>January</v>
      </c>
      <c r="D25" s="1145"/>
      <c r="E25" s="727">
        <f t="shared" ref="E25:P25" si="14">E57+E88</f>
        <v>0</v>
      </c>
      <c r="F25" s="727">
        <f t="shared" si="14"/>
        <v>0</v>
      </c>
      <c r="G25" s="727">
        <f t="shared" si="14"/>
        <v>0</v>
      </c>
      <c r="H25" s="727">
        <f t="shared" si="14"/>
        <v>0</v>
      </c>
      <c r="I25" s="727">
        <f t="shared" si="14"/>
        <v>0</v>
      </c>
      <c r="J25" s="727">
        <f t="shared" si="14"/>
        <v>0</v>
      </c>
      <c r="K25" s="727">
        <f t="shared" si="14"/>
        <v>0</v>
      </c>
      <c r="L25" s="727" t="e">
        <f t="shared" si="14"/>
        <v>#DIV/0!</v>
      </c>
      <c r="M25" s="727" t="e">
        <f t="shared" si="14"/>
        <v>#DIV/0!</v>
      </c>
      <c r="N25" s="727" t="e">
        <f t="shared" si="14"/>
        <v>#DIV/0!</v>
      </c>
      <c r="O25" s="727">
        <f t="shared" si="14"/>
        <v>0</v>
      </c>
      <c r="P25" s="727">
        <f t="shared" si="14"/>
        <v>0</v>
      </c>
      <c r="T25" s="789"/>
      <c r="U25" s="789"/>
      <c r="V25" s="790"/>
      <c r="W25" s="789"/>
      <c r="X25" s="791"/>
      <c r="Y25" s="563"/>
      <c r="Z25" s="789"/>
      <c r="AA25" s="789"/>
      <c r="AB25" s="789"/>
      <c r="AC25" s="789"/>
      <c r="AD25" s="789"/>
      <c r="AE25" s="789"/>
      <c r="AF25" s="789"/>
      <c r="AG25" s="789"/>
      <c r="AH25" s="789"/>
      <c r="AI25" s="789"/>
      <c r="AJ25" s="789"/>
      <c r="AK25" s="789"/>
      <c r="AL25" s="789"/>
      <c r="AM25" s="789"/>
      <c r="AN25" s="789"/>
    </row>
    <row r="26" spans="1:40" x14ac:dyDescent="0.25">
      <c r="A26" s="785">
        <f t="shared" si="3"/>
        <v>14</v>
      </c>
      <c r="C26" s="778" t="str">
        <f t="shared" si="1"/>
        <v>February</v>
      </c>
      <c r="D26" s="1145"/>
      <c r="E26" s="727">
        <f t="shared" ref="E26:P26" si="15">E58+E89</f>
        <v>0</v>
      </c>
      <c r="F26" s="727">
        <f t="shared" si="15"/>
        <v>0</v>
      </c>
      <c r="G26" s="727">
        <f t="shared" si="15"/>
        <v>0</v>
      </c>
      <c r="H26" s="727">
        <f t="shared" si="15"/>
        <v>0</v>
      </c>
      <c r="I26" s="727">
        <f t="shared" si="15"/>
        <v>0</v>
      </c>
      <c r="J26" s="727">
        <f t="shared" si="15"/>
        <v>0</v>
      </c>
      <c r="K26" s="727">
        <f t="shared" si="15"/>
        <v>0</v>
      </c>
      <c r="L26" s="727" t="e">
        <f t="shared" si="15"/>
        <v>#DIV/0!</v>
      </c>
      <c r="M26" s="727" t="e">
        <f t="shared" si="15"/>
        <v>#DIV/0!</v>
      </c>
      <c r="N26" s="727" t="e">
        <f t="shared" si="15"/>
        <v>#DIV/0!</v>
      </c>
      <c r="O26" s="727">
        <f t="shared" si="15"/>
        <v>0</v>
      </c>
      <c r="P26" s="727">
        <f t="shared" si="15"/>
        <v>0</v>
      </c>
      <c r="T26" s="789"/>
      <c r="U26" s="789"/>
      <c r="V26" s="790"/>
      <c r="W26" s="789"/>
      <c r="X26" s="791"/>
      <c r="Y26" s="563"/>
      <c r="Z26" s="789"/>
      <c r="AA26" s="789"/>
      <c r="AB26" s="789"/>
      <c r="AC26" s="789"/>
      <c r="AD26" s="789"/>
      <c r="AE26" s="789"/>
      <c r="AF26" s="789"/>
      <c r="AG26" s="789"/>
      <c r="AH26" s="789"/>
      <c r="AI26" s="789"/>
      <c r="AJ26" s="789"/>
      <c r="AK26" s="789"/>
      <c r="AL26" s="789"/>
      <c r="AM26" s="789"/>
      <c r="AN26" s="789"/>
    </row>
    <row r="27" spans="1:40" x14ac:dyDescent="0.25">
      <c r="A27" s="785">
        <f t="shared" si="3"/>
        <v>15</v>
      </c>
      <c r="C27" s="778" t="str">
        <f t="shared" si="1"/>
        <v>March</v>
      </c>
      <c r="D27" s="1145"/>
      <c r="E27" s="727">
        <f t="shared" ref="E27:P27" si="16">E59+E90</f>
        <v>0</v>
      </c>
      <c r="F27" s="727">
        <f t="shared" si="16"/>
        <v>0</v>
      </c>
      <c r="G27" s="727">
        <f t="shared" si="16"/>
        <v>0</v>
      </c>
      <c r="H27" s="727">
        <f t="shared" si="16"/>
        <v>0</v>
      </c>
      <c r="I27" s="727">
        <f t="shared" si="16"/>
        <v>0</v>
      </c>
      <c r="J27" s="727">
        <f t="shared" si="16"/>
        <v>0</v>
      </c>
      <c r="K27" s="727">
        <f t="shared" si="16"/>
        <v>0</v>
      </c>
      <c r="L27" s="727" t="e">
        <f t="shared" si="16"/>
        <v>#DIV/0!</v>
      </c>
      <c r="M27" s="727" t="e">
        <f t="shared" si="16"/>
        <v>#DIV/0!</v>
      </c>
      <c r="N27" s="727" t="e">
        <f t="shared" si="16"/>
        <v>#DIV/0!</v>
      </c>
      <c r="O27" s="727">
        <f t="shared" si="16"/>
        <v>0</v>
      </c>
      <c r="P27" s="727">
        <f t="shared" si="16"/>
        <v>0</v>
      </c>
      <c r="T27" s="789"/>
      <c r="U27" s="789"/>
      <c r="V27" s="790"/>
      <c r="W27" s="789"/>
      <c r="X27" s="791"/>
      <c r="Y27" s="563"/>
      <c r="Z27" s="789"/>
      <c r="AA27" s="789"/>
      <c r="AB27" s="789"/>
      <c r="AC27" s="789"/>
      <c r="AD27" s="789"/>
      <c r="AE27" s="789"/>
      <c r="AF27" s="789"/>
      <c r="AG27" s="789"/>
      <c r="AH27" s="789"/>
      <c r="AI27" s="789"/>
      <c r="AJ27" s="789"/>
      <c r="AK27" s="789"/>
      <c r="AL27" s="789"/>
      <c r="AM27" s="789"/>
      <c r="AN27" s="789"/>
    </row>
    <row r="28" spans="1:40" x14ac:dyDescent="0.25">
      <c r="A28" s="785">
        <f t="shared" si="3"/>
        <v>16</v>
      </c>
      <c r="C28" s="778" t="str">
        <f t="shared" si="1"/>
        <v>April</v>
      </c>
      <c r="D28" s="1145"/>
      <c r="E28" s="727">
        <f t="shared" ref="E28:P28" si="17">E60+E91</f>
        <v>0</v>
      </c>
      <c r="F28" s="727">
        <f t="shared" si="17"/>
        <v>0</v>
      </c>
      <c r="G28" s="727">
        <f t="shared" si="17"/>
        <v>0</v>
      </c>
      <c r="H28" s="727">
        <f t="shared" si="17"/>
        <v>0</v>
      </c>
      <c r="I28" s="727">
        <f t="shared" si="17"/>
        <v>0</v>
      </c>
      <c r="J28" s="727">
        <f t="shared" si="17"/>
        <v>0</v>
      </c>
      <c r="K28" s="727">
        <f t="shared" si="17"/>
        <v>0</v>
      </c>
      <c r="L28" s="727" t="e">
        <f t="shared" si="17"/>
        <v>#DIV/0!</v>
      </c>
      <c r="M28" s="727" t="e">
        <f t="shared" si="17"/>
        <v>#DIV/0!</v>
      </c>
      <c r="N28" s="727" t="e">
        <f t="shared" si="17"/>
        <v>#DIV/0!</v>
      </c>
      <c r="O28" s="727">
        <f t="shared" si="17"/>
        <v>0</v>
      </c>
      <c r="P28" s="727">
        <f t="shared" si="17"/>
        <v>0</v>
      </c>
      <c r="T28" s="789"/>
      <c r="U28" s="789"/>
      <c r="V28" s="790"/>
      <c r="W28" s="789"/>
      <c r="X28" s="791"/>
      <c r="Y28" s="563"/>
      <c r="Z28" s="789"/>
      <c r="AA28" s="789"/>
      <c r="AB28" s="789"/>
      <c r="AC28" s="789"/>
      <c r="AD28" s="789"/>
      <c r="AE28" s="789"/>
      <c r="AF28" s="789"/>
      <c r="AG28" s="789"/>
      <c r="AH28" s="789"/>
      <c r="AI28" s="789"/>
      <c r="AJ28" s="789"/>
      <c r="AK28" s="789"/>
      <c r="AL28" s="789"/>
      <c r="AM28" s="789"/>
      <c r="AN28" s="789"/>
    </row>
    <row r="29" spans="1:40" x14ac:dyDescent="0.25">
      <c r="A29" s="785">
        <f t="shared" si="3"/>
        <v>17</v>
      </c>
      <c r="C29" s="778" t="str">
        <f t="shared" si="1"/>
        <v>May</v>
      </c>
      <c r="D29" s="1145"/>
      <c r="E29" s="727">
        <f t="shared" ref="E29:P29" si="18">E61+E92</f>
        <v>0</v>
      </c>
      <c r="F29" s="727">
        <f t="shared" si="18"/>
        <v>0</v>
      </c>
      <c r="G29" s="727">
        <f t="shared" si="18"/>
        <v>0</v>
      </c>
      <c r="H29" s="727">
        <f t="shared" si="18"/>
        <v>0</v>
      </c>
      <c r="I29" s="727">
        <f t="shared" si="18"/>
        <v>0</v>
      </c>
      <c r="J29" s="727">
        <f t="shared" si="18"/>
        <v>0</v>
      </c>
      <c r="K29" s="727">
        <f t="shared" si="18"/>
        <v>0</v>
      </c>
      <c r="L29" s="727" t="e">
        <f t="shared" si="18"/>
        <v>#DIV/0!</v>
      </c>
      <c r="M29" s="727" t="e">
        <f t="shared" si="18"/>
        <v>#DIV/0!</v>
      </c>
      <c r="N29" s="727" t="e">
        <f t="shared" si="18"/>
        <v>#DIV/0!</v>
      </c>
      <c r="O29" s="727">
        <f t="shared" si="18"/>
        <v>0</v>
      </c>
      <c r="P29" s="727">
        <f t="shared" si="18"/>
        <v>0</v>
      </c>
      <c r="T29" s="789"/>
      <c r="U29" s="789"/>
      <c r="V29" s="790"/>
      <c r="W29" s="789"/>
      <c r="X29" s="791"/>
      <c r="Y29" s="563"/>
      <c r="Z29" s="789"/>
      <c r="AA29" s="789"/>
      <c r="AB29" s="789"/>
      <c r="AC29" s="789"/>
      <c r="AD29" s="789"/>
      <c r="AE29" s="789"/>
      <c r="AF29" s="789"/>
      <c r="AG29" s="789"/>
      <c r="AH29" s="789"/>
      <c r="AI29" s="789"/>
      <c r="AJ29" s="789"/>
      <c r="AK29" s="789"/>
      <c r="AL29" s="789"/>
      <c r="AM29" s="789"/>
      <c r="AN29" s="789"/>
    </row>
    <row r="30" spans="1:40" x14ac:dyDescent="0.25">
      <c r="A30" s="785">
        <f t="shared" si="3"/>
        <v>18</v>
      </c>
      <c r="C30" s="778" t="str">
        <f t="shared" ref="C30:C33" si="19">C62</f>
        <v xml:space="preserve">June </v>
      </c>
      <c r="D30" s="1145"/>
      <c r="E30" s="727">
        <f t="shared" ref="E30:P30" si="20">E62+E93</f>
        <v>0</v>
      </c>
      <c r="F30" s="727">
        <f t="shared" si="20"/>
        <v>0</v>
      </c>
      <c r="G30" s="727">
        <f t="shared" si="20"/>
        <v>0</v>
      </c>
      <c r="H30" s="727">
        <f t="shared" si="20"/>
        <v>0</v>
      </c>
      <c r="I30" s="727">
        <f t="shared" si="20"/>
        <v>0</v>
      </c>
      <c r="J30" s="727">
        <f t="shared" si="20"/>
        <v>0</v>
      </c>
      <c r="K30" s="727">
        <f t="shared" si="20"/>
        <v>0</v>
      </c>
      <c r="L30" s="727" t="e">
        <f t="shared" si="20"/>
        <v>#DIV/0!</v>
      </c>
      <c r="M30" s="727" t="e">
        <f t="shared" si="20"/>
        <v>#DIV/0!</v>
      </c>
      <c r="N30" s="727" t="e">
        <f t="shared" si="20"/>
        <v>#DIV/0!</v>
      </c>
      <c r="O30" s="727">
        <f t="shared" si="20"/>
        <v>0</v>
      </c>
      <c r="P30" s="727">
        <f t="shared" si="20"/>
        <v>0</v>
      </c>
      <c r="T30" s="789"/>
      <c r="U30" s="789"/>
      <c r="V30" s="790"/>
      <c r="W30" s="789"/>
      <c r="X30" s="791"/>
      <c r="Y30" s="563"/>
      <c r="Z30" s="789"/>
      <c r="AA30" s="789"/>
      <c r="AB30" s="789"/>
      <c r="AC30" s="789"/>
      <c r="AD30" s="789"/>
      <c r="AE30" s="789"/>
      <c r="AF30" s="789"/>
      <c r="AG30" s="789"/>
      <c r="AH30" s="789"/>
      <c r="AI30" s="789"/>
      <c r="AJ30" s="789"/>
      <c r="AK30" s="789"/>
      <c r="AL30" s="789"/>
      <c r="AM30" s="789"/>
      <c r="AN30" s="789"/>
    </row>
    <row r="31" spans="1:40" x14ac:dyDescent="0.25">
      <c r="A31" s="785">
        <f t="shared" si="3"/>
        <v>19</v>
      </c>
      <c r="C31" s="778" t="str">
        <f t="shared" si="19"/>
        <v>July</v>
      </c>
      <c r="D31" s="1145"/>
      <c r="E31" s="727">
        <f t="shared" ref="E31:P31" si="21">E63+E94</f>
        <v>0</v>
      </c>
      <c r="F31" s="727">
        <f t="shared" si="21"/>
        <v>0</v>
      </c>
      <c r="G31" s="727">
        <f t="shared" si="21"/>
        <v>0</v>
      </c>
      <c r="H31" s="727">
        <f t="shared" si="21"/>
        <v>0</v>
      </c>
      <c r="I31" s="727">
        <f t="shared" si="21"/>
        <v>0</v>
      </c>
      <c r="J31" s="727">
        <f t="shared" si="21"/>
        <v>0</v>
      </c>
      <c r="K31" s="727">
        <f t="shared" si="21"/>
        <v>0</v>
      </c>
      <c r="L31" s="727" t="e">
        <f t="shared" si="21"/>
        <v>#DIV/0!</v>
      </c>
      <c r="M31" s="727" t="e">
        <f t="shared" si="21"/>
        <v>#DIV/0!</v>
      </c>
      <c r="N31" s="727" t="e">
        <f t="shared" si="21"/>
        <v>#DIV/0!</v>
      </c>
      <c r="O31" s="727">
        <f t="shared" si="21"/>
        <v>0</v>
      </c>
      <c r="P31" s="727">
        <f t="shared" si="21"/>
        <v>0</v>
      </c>
      <c r="T31" s="789"/>
      <c r="U31" s="789"/>
      <c r="V31" s="790"/>
      <c r="W31" s="789"/>
      <c r="X31" s="791"/>
      <c r="Y31" s="563"/>
      <c r="Z31" s="789"/>
      <c r="AA31" s="789"/>
      <c r="AB31" s="789"/>
      <c r="AC31" s="789"/>
      <c r="AD31" s="789"/>
      <c r="AE31" s="789"/>
      <c r="AF31" s="789"/>
      <c r="AG31" s="789"/>
      <c r="AH31" s="789"/>
      <c r="AI31" s="789"/>
      <c r="AJ31" s="789"/>
      <c r="AK31" s="789"/>
      <c r="AL31" s="789"/>
      <c r="AM31" s="789"/>
      <c r="AN31" s="789"/>
    </row>
    <row r="32" spans="1:40" x14ac:dyDescent="0.25">
      <c r="A32" s="785">
        <f t="shared" si="3"/>
        <v>20</v>
      </c>
      <c r="C32" s="778" t="str">
        <f t="shared" si="19"/>
        <v>August</v>
      </c>
      <c r="D32" s="1145"/>
      <c r="E32" s="727">
        <f t="shared" ref="E32:P32" si="22">E64+E95</f>
        <v>0</v>
      </c>
      <c r="F32" s="727">
        <f t="shared" si="22"/>
        <v>0</v>
      </c>
      <c r="G32" s="727">
        <f t="shared" si="22"/>
        <v>0</v>
      </c>
      <c r="H32" s="727">
        <f t="shared" si="22"/>
        <v>0</v>
      </c>
      <c r="I32" s="727">
        <f t="shared" si="22"/>
        <v>0</v>
      </c>
      <c r="J32" s="727">
        <f t="shared" si="22"/>
        <v>0</v>
      </c>
      <c r="K32" s="727">
        <f t="shared" si="22"/>
        <v>0</v>
      </c>
      <c r="L32" s="727" t="e">
        <f t="shared" si="22"/>
        <v>#DIV/0!</v>
      </c>
      <c r="M32" s="727" t="e">
        <f t="shared" si="22"/>
        <v>#DIV/0!</v>
      </c>
      <c r="N32" s="727" t="e">
        <f t="shared" si="22"/>
        <v>#DIV/0!</v>
      </c>
      <c r="O32" s="727">
        <f t="shared" si="22"/>
        <v>0</v>
      </c>
      <c r="P32" s="727">
        <f t="shared" si="22"/>
        <v>0</v>
      </c>
      <c r="T32" s="789"/>
      <c r="U32" s="789"/>
      <c r="V32" s="790"/>
      <c r="W32" s="789"/>
      <c r="X32" s="791"/>
      <c r="Y32" s="563"/>
      <c r="Z32" s="789"/>
      <c r="AA32" s="789"/>
      <c r="AB32" s="789"/>
      <c r="AC32" s="789"/>
      <c r="AD32" s="789"/>
      <c r="AE32" s="789"/>
      <c r="AF32" s="789"/>
      <c r="AG32" s="789"/>
      <c r="AH32" s="789"/>
      <c r="AI32" s="789"/>
      <c r="AJ32" s="789"/>
      <c r="AK32" s="789"/>
      <c r="AL32" s="789"/>
      <c r="AM32" s="789"/>
      <c r="AN32" s="789"/>
    </row>
    <row r="33" spans="1:40" x14ac:dyDescent="0.25">
      <c r="A33" s="785">
        <f t="shared" si="3"/>
        <v>21</v>
      </c>
      <c r="C33" s="778" t="str">
        <f t="shared" si="19"/>
        <v>September</v>
      </c>
      <c r="D33" s="1145"/>
      <c r="E33" s="727">
        <f t="shared" ref="E33:P33" si="23">E65+E96</f>
        <v>0</v>
      </c>
      <c r="F33" s="727">
        <f t="shared" si="23"/>
        <v>0</v>
      </c>
      <c r="G33" s="727">
        <f t="shared" si="23"/>
        <v>0</v>
      </c>
      <c r="H33" s="727">
        <f t="shared" si="23"/>
        <v>0</v>
      </c>
      <c r="I33" s="727">
        <f t="shared" si="23"/>
        <v>0</v>
      </c>
      <c r="J33" s="727">
        <f t="shared" si="23"/>
        <v>0</v>
      </c>
      <c r="K33" s="747">
        <f t="shared" si="23"/>
        <v>0</v>
      </c>
      <c r="L33" s="747" t="e">
        <f t="shared" si="23"/>
        <v>#DIV/0!</v>
      </c>
      <c r="M33" s="747" t="e">
        <f t="shared" si="23"/>
        <v>#DIV/0!</v>
      </c>
      <c r="N33" s="747" t="e">
        <f t="shared" si="23"/>
        <v>#DIV/0!</v>
      </c>
      <c r="O33" s="747">
        <f t="shared" si="23"/>
        <v>0</v>
      </c>
      <c r="P33" s="747">
        <f t="shared" si="23"/>
        <v>0</v>
      </c>
      <c r="T33" s="789"/>
      <c r="U33" s="789"/>
      <c r="V33" s="790"/>
      <c r="W33" s="789"/>
      <c r="X33" s="791"/>
      <c r="Y33" s="563"/>
      <c r="Z33" s="789"/>
      <c r="AA33" s="789"/>
      <c r="AB33" s="789"/>
      <c r="AC33" s="789"/>
      <c r="AD33" s="789"/>
      <c r="AE33" s="789"/>
      <c r="AF33" s="789"/>
      <c r="AG33" s="789"/>
      <c r="AH33" s="789"/>
      <c r="AI33" s="789"/>
      <c r="AJ33" s="789"/>
      <c r="AK33" s="789"/>
      <c r="AL33" s="789"/>
      <c r="AM33" s="789"/>
      <c r="AN33" s="789"/>
    </row>
    <row r="34" spans="1:40" x14ac:dyDescent="0.25">
      <c r="A34" s="786">
        <f t="shared" si="3"/>
        <v>22</v>
      </c>
      <c r="C34" s="778" t="str">
        <f t="shared" ref="C34" si="24">C66</f>
        <v>October</v>
      </c>
      <c r="D34" s="1145"/>
      <c r="E34" s="727">
        <f t="shared" ref="E34:P34" si="25">E66+E97</f>
        <v>0</v>
      </c>
      <c r="F34" s="727">
        <f t="shared" si="25"/>
        <v>0</v>
      </c>
      <c r="G34" s="727">
        <f t="shared" si="25"/>
        <v>0</v>
      </c>
      <c r="H34" s="727">
        <f t="shared" si="25"/>
        <v>0</v>
      </c>
      <c r="I34" s="727">
        <f t="shared" si="25"/>
        <v>0</v>
      </c>
      <c r="J34" s="727">
        <f t="shared" si="25"/>
        <v>0</v>
      </c>
      <c r="K34" s="747">
        <f t="shared" si="25"/>
        <v>0</v>
      </c>
      <c r="L34" s="747" t="e">
        <f t="shared" si="25"/>
        <v>#DIV/0!</v>
      </c>
      <c r="M34" s="747" t="e">
        <f t="shared" si="25"/>
        <v>#DIV/0!</v>
      </c>
      <c r="N34" s="747" t="e">
        <f t="shared" si="25"/>
        <v>#DIV/0!</v>
      </c>
      <c r="O34" s="747">
        <f t="shared" si="25"/>
        <v>0</v>
      </c>
      <c r="P34" s="747">
        <f t="shared" si="25"/>
        <v>0</v>
      </c>
      <c r="T34" s="789"/>
      <c r="U34" s="789"/>
      <c r="V34" s="790"/>
      <c r="W34" s="789"/>
      <c r="X34" s="791"/>
      <c r="Y34" s="563"/>
      <c r="Z34" s="789"/>
      <c r="AA34" s="789"/>
      <c r="AB34" s="789"/>
      <c r="AC34" s="789"/>
      <c r="AD34" s="789"/>
      <c r="AE34" s="789"/>
      <c r="AF34" s="789"/>
      <c r="AG34" s="789"/>
      <c r="AH34" s="789"/>
      <c r="AI34" s="789"/>
      <c r="AJ34" s="789"/>
      <c r="AK34" s="789"/>
      <c r="AL34" s="789"/>
      <c r="AM34" s="789"/>
      <c r="AN34" s="789"/>
    </row>
    <row r="35" spans="1:40" x14ac:dyDescent="0.25">
      <c r="A35" s="786">
        <f t="shared" si="3"/>
        <v>23</v>
      </c>
      <c r="C35" s="778" t="str">
        <f t="shared" ref="C35" si="26">C67</f>
        <v>November</v>
      </c>
      <c r="D35" s="1145"/>
      <c r="E35" s="727">
        <f t="shared" ref="E35:P35" si="27">E67+E98</f>
        <v>0</v>
      </c>
      <c r="F35" s="727">
        <f t="shared" si="27"/>
        <v>0</v>
      </c>
      <c r="G35" s="727">
        <f t="shared" si="27"/>
        <v>0</v>
      </c>
      <c r="H35" s="727">
        <f t="shared" si="27"/>
        <v>0</v>
      </c>
      <c r="I35" s="727">
        <f t="shared" si="27"/>
        <v>0</v>
      </c>
      <c r="J35" s="727">
        <f t="shared" si="27"/>
        <v>0</v>
      </c>
      <c r="K35" s="747">
        <f t="shared" si="27"/>
        <v>0</v>
      </c>
      <c r="L35" s="747" t="e">
        <f t="shared" si="27"/>
        <v>#DIV/0!</v>
      </c>
      <c r="M35" s="747" t="e">
        <f t="shared" si="27"/>
        <v>#DIV/0!</v>
      </c>
      <c r="N35" s="747" t="e">
        <f t="shared" si="27"/>
        <v>#DIV/0!</v>
      </c>
      <c r="O35" s="747">
        <f t="shared" si="27"/>
        <v>0</v>
      </c>
      <c r="P35" s="747">
        <f t="shared" si="27"/>
        <v>0</v>
      </c>
      <c r="T35" s="789"/>
      <c r="U35" s="789"/>
      <c r="V35" s="790"/>
      <c r="W35" s="789"/>
      <c r="X35" s="791"/>
      <c r="Y35" s="563"/>
      <c r="Z35" s="789"/>
      <c r="AA35" s="789"/>
      <c r="AB35" s="789"/>
      <c r="AC35" s="789"/>
      <c r="AD35" s="789"/>
      <c r="AE35" s="789"/>
      <c r="AF35" s="789"/>
      <c r="AG35" s="789"/>
      <c r="AH35" s="789"/>
      <c r="AI35" s="789"/>
      <c r="AJ35" s="789"/>
      <c r="AK35" s="789"/>
      <c r="AL35" s="789"/>
      <c r="AM35" s="789"/>
      <c r="AN35" s="789"/>
    </row>
    <row r="36" spans="1:40" x14ac:dyDescent="0.25">
      <c r="A36" s="786">
        <f t="shared" si="3"/>
        <v>24</v>
      </c>
      <c r="C36" s="778" t="str">
        <f t="shared" ref="C36" si="28">C68</f>
        <v>December</v>
      </c>
      <c r="D36" s="1145"/>
      <c r="E36" s="727">
        <f t="shared" ref="E36:P36" si="29">E68+E99</f>
        <v>0</v>
      </c>
      <c r="F36" s="727">
        <f t="shared" si="29"/>
        <v>0</v>
      </c>
      <c r="G36" s="727">
        <f t="shared" si="29"/>
        <v>0</v>
      </c>
      <c r="H36" s="727">
        <f t="shared" si="29"/>
        <v>0</v>
      </c>
      <c r="I36" s="727">
        <f t="shared" si="29"/>
        <v>0</v>
      </c>
      <c r="J36" s="727">
        <f t="shared" si="29"/>
        <v>0</v>
      </c>
      <c r="K36" s="792">
        <f t="shared" si="29"/>
        <v>0</v>
      </c>
      <c r="L36" s="747" t="e">
        <f t="shared" si="29"/>
        <v>#DIV/0!</v>
      </c>
      <c r="M36" s="747" t="e">
        <f t="shared" si="29"/>
        <v>#DIV/0!</v>
      </c>
      <c r="N36" s="792" t="e">
        <f t="shared" si="29"/>
        <v>#DIV/0!</v>
      </c>
      <c r="O36" s="747">
        <f t="shared" si="29"/>
        <v>0</v>
      </c>
      <c r="P36" s="792">
        <f t="shared" si="29"/>
        <v>0</v>
      </c>
      <c r="T36" s="789"/>
      <c r="U36" s="789"/>
      <c r="V36" s="790"/>
      <c r="W36" s="789"/>
      <c r="X36" s="791"/>
      <c r="Y36" s="563"/>
      <c r="Z36" s="789"/>
      <c r="AA36" s="789"/>
      <c r="AB36" s="789"/>
      <c r="AC36" s="789"/>
      <c r="AD36" s="789"/>
      <c r="AE36" s="789"/>
      <c r="AF36" s="789"/>
      <c r="AG36" s="789"/>
      <c r="AH36" s="789"/>
      <c r="AI36" s="789"/>
      <c r="AJ36" s="789"/>
      <c r="AK36" s="789"/>
      <c r="AL36" s="789"/>
      <c r="AM36" s="789"/>
      <c r="AN36" s="789"/>
    </row>
    <row r="37" spans="1:40" s="729" customFormat="1" x14ac:dyDescent="0.25">
      <c r="A37" s="786">
        <f t="shared" si="3"/>
        <v>25</v>
      </c>
      <c r="D37" s="824" t="s">
        <v>1846</v>
      </c>
      <c r="K37" s="1191">
        <f>AVERAGE(K24:K36)</f>
        <v>0</v>
      </c>
      <c r="M37" s="825"/>
      <c r="N37" s="825" t="e">
        <f>AVERAGE(N24:N36)</f>
        <v>#DIV/0!</v>
      </c>
      <c r="O37" s="825"/>
      <c r="P37" s="825">
        <f>AVERAGE(P24:P36)</f>
        <v>0</v>
      </c>
      <c r="Q37" s="826"/>
      <c r="T37" s="803"/>
      <c r="U37" s="803"/>
    </row>
    <row r="38" spans="1:40" x14ac:dyDescent="0.25">
      <c r="A38" s="785"/>
      <c r="T38" s="727"/>
      <c r="U38" s="727"/>
      <c r="Z38" s="727"/>
    </row>
    <row r="39" spans="1:40" x14ac:dyDescent="0.25">
      <c r="A39" s="785"/>
      <c r="B39" s="729" t="s">
        <v>2383</v>
      </c>
      <c r="G39" s="785"/>
      <c r="K39" s="563"/>
      <c r="M39" s="563"/>
      <c r="N39" s="563"/>
      <c r="O39" s="563"/>
      <c r="P39" s="563"/>
    </row>
    <row r="40" spans="1:40" x14ac:dyDescent="0.25">
      <c r="A40" s="785"/>
      <c r="B40" s="729"/>
      <c r="E40" s="781" t="s">
        <v>394</v>
      </c>
      <c r="F40" s="781" t="s">
        <v>378</v>
      </c>
      <c r="G40" s="781" t="s">
        <v>379</v>
      </c>
      <c r="H40" s="781" t="s">
        <v>380</v>
      </c>
      <c r="I40" s="781" t="s">
        <v>381</v>
      </c>
      <c r="J40" s="781" t="s">
        <v>382</v>
      </c>
      <c r="K40" s="827" t="s">
        <v>383</v>
      </c>
      <c r="L40" s="781" t="s">
        <v>597</v>
      </c>
      <c r="M40" s="827" t="s">
        <v>1046</v>
      </c>
      <c r="N40" s="827" t="s">
        <v>1062</v>
      </c>
      <c r="O40" s="827" t="s">
        <v>1065</v>
      </c>
      <c r="P40" s="827" t="s">
        <v>1083</v>
      </c>
    </row>
    <row r="41" spans="1:40" ht="26.4" x14ac:dyDescent="0.25">
      <c r="A41" s="785"/>
      <c r="B41" s="729"/>
      <c r="E41" s="828" t="s">
        <v>2622</v>
      </c>
      <c r="F41" s="828" t="s">
        <v>2623</v>
      </c>
      <c r="G41" s="828" t="s">
        <v>2624</v>
      </c>
      <c r="H41" s="829" t="s">
        <v>2384</v>
      </c>
      <c r="I41" s="829" t="s">
        <v>2384</v>
      </c>
      <c r="J41" s="784" t="s">
        <v>2384</v>
      </c>
      <c r="K41" s="830" t="s">
        <v>2385</v>
      </c>
      <c r="L41" s="831" t="s">
        <v>2625</v>
      </c>
      <c r="M41" s="832" t="s">
        <v>2386</v>
      </c>
      <c r="N41" s="799" t="s">
        <v>2325</v>
      </c>
      <c r="O41" s="799"/>
      <c r="P41" s="832" t="s">
        <v>2626</v>
      </c>
    </row>
    <row r="42" spans="1:40" x14ac:dyDescent="0.25">
      <c r="A42" s="785"/>
      <c r="C42" s="785" t="str">
        <f>C10</f>
        <v>Forecast</v>
      </c>
      <c r="E42" s="785" t="str">
        <f>E10</f>
        <v>Unloaded</v>
      </c>
      <c r="F42" s="785"/>
      <c r="G42" s="785"/>
      <c r="I42" s="786" t="str">
        <f>I10</f>
        <v>AFUDC</v>
      </c>
      <c r="J42" s="786"/>
      <c r="K42" s="786"/>
      <c r="L42" s="786"/>
      <c r="M42" s="786"/>
      <c r="N42" s="786"/>
      <c r="O42" s="785" t="str">
        <f t="shared" ref="O42:P44" si="30">O10</f>
        <v>Unloaded</v>
      </c>
      <c r="P42" s="785" t="str">
        <f t="shared" si="30"/>
        <v>Loaded</v>
      </c>
    </row>
    <row r="43" spans="1:40" x14ac:dyDescent="0.25">
      <c r="A43" s="785"/>
      <c r="B43" s="729"/>
      <c r="C43" s="785" t="str">
        <f>C11</f>
        <v>Period</v>
      </c>
      <c r="E43" s="785" t="str">
        <f>E11</f>
        <v>Total</v>
      </c>
      <c r="F43" s="785" t="str">
        <f t="shared" ref="F43:H44" si="31">F11</f>
        <v>Prior Period</v>
      </c>
      <c r="G43" s="786" t="str">
        <f t="shared" si="31"/>
        <v>Over Heads</v>
      </c>
      <c r="H43" s="786" t="str">
        <f t="shared" si="31"/>
        <v xml:space="preserve">Cost of </v>
      </c>
      <c r="I43" s="786" t="str">
        <f>I11</f>
        <v>Eligible Plant</v>
      </c>
      <c r="J43" s="786"/>
      <c r="K43" s="786" t="str">
        <f>K11</f>
        <v>Incremental</v>
      </c>
      <c r="L43" s="786" t="str">
        <f>L11</f>
        <v>Depreciation</v>
      </c>
      <c r="M43" s="786"/>
      <c r="N43" s="786"/>
      <c r="O43" s="786" t="str">
        <f t="shared" si="30"/>
        <v>Low Voltage</v>
      </c>
      <c r="P43" s="786" t="str">
        <f t="shared" si="30"/>
        <v>Low Voltage</v>
      </c>
    </row>
    <row r="44" spans="1:40" x14ac:dyDescent="0.25">
      <c r="A44" s="787" t="s">
        <v>360</v>
      </c>
      <c r="C44" s="768" t="str">
        <f t="shared" ref="C44:D44" si="32">C12</f>
        <v>Month</v>
      </c>
      <c r="D44" s="768" t="str">
        <f t="shared" si="32"/>
        <v>Year</v>
      </c>
      <c r="E44" s="781" t="str">
        <f>E12</f>
        <v>Plant Adds</v>
      </c>
      <c r="F44" s="781" t="str">
        <f t="shared" si="31"/>
        <v>CWIP Closed</v>
      </c>
      <c r="G44" s="788" t="str">
        <f t="shared" si="31"/>
        <v>Closed to PIS</v>
      </c>
      <c r="H44" s="788" t="str">
        <f t="shared" si="31"/>
        <v>Removal</v>
      </c>
      <c r="I44" s="788" t="str">
        <f>I12</f>
        <v>Additions</v>
      </c>
      <c r="J44" s="788" t="str">
        <f>J12</f>
        <v>AFUDC</v>
      </c>
      <c r="K44" s="788" t="str">
        <f>K12</f>
        <v>Gross Plant</v>
      </c>
      <c r="L44" s="788" t="str">
        <f>L12</f>
        <v>Accrual</v>
      </c>
      <c r="M44" s="788" t="str">
        <f>M12</f>
        <v>Reserve</v>
      </c>
      <c r="N44" s="788" t="str">
        <f>N12</f>
        <v>Net Plant</v>
      </c>
      <c r="O44" s="788" t="str">
        <f t="shared" si="30"/>
        <v>Additions</v>
      </c>
      <c r="P44" s="788" t="str">
        <f t="shared" si="30"/>
        <v>Additions</v>
      </c>
      <c r="T44" s="788"/>
      <c r="U44" s="788"/>
      <c r="V44" s="788"/>
      <c r="W44" s="788"/>
      <c r="X44" s="788"/>
      <c r="Y44" s="788"/>
    </row>
    <row r="45" spans="1:40" x14ac:dyDescent="0.25">
      <c r="A45" s="785">
        <f>A37+1</f>
        <v>26</v>
      </c>
      <c r="C45" s="769" t="s">
        <v>200</v>
      </c>
      <c r="D45" s="770"/>
      <c r="E45" s="796">
        <f>'10-CWIP'!G55</f>
        <v>0</v>
      </c>
      <c r="F45" s="796">
        <f>'10-CWIP'!H55</f>
        <v>0</v>
      </c>
      <c r="G45" s="796">
        <f>'10-CWIP'!I55</f>
        <v>0</v>
      </c>
      <c r="H45" s="833">
        <v>0</v>
      </c>
      <c r="I45" s="789">
        <v>0</v>
      </c>
      <c r="J45" s="834">
        <v>0</v>
      </c>
      <c r="K45" s="727">
        <f>0+E45+G45</f>
        <v>0</v>
      </c>
      <c r="L45" s="727">
        <v>0</v>
      </c>
      <c r="M45" s="727">
        <f>L45</f>
        <v>0</v>
      </c>
      <c r="N45" s="727">
        <f t="shared" ref="N45:N65" si="33">K45-M45</f>
        <v>0</v>
      </c>
      <c r="O45" s="835"/>
      <c r="P45" s="834">
        <f t="shared" ref="P45:P68" si="34">O45*(1-$E$107)*(1+$E$103+$E$111)</f>
        <v>0</v>
      </c>
      <c r="S45" s="727"/>
      <c r="T45" s="795"/>
      <c r="U45" s="791"/>
      <c r="V45" s="563"/>
      <c r="W45" s="795"/>
      <c r="X45" s="791"/>
      <c r="Y45" s="563"/>
    </row>
    <row r="46" spans="1:40" x14ac:dyDescent="0.25">
      <c r="A46" s="785">
        <f t="shared" ref="A46:A99" si="35">A45+1</f>
        <v>27</v>
      </c>
      <c r="C46" s="772" t="s">
        <v>201</v>
      </c>
      <c r="D46" s="770"/>
      <c r="E46" s="796">
        <f>'10-CWIP'!G56</f>
        <v>0</v>
      </c>
      <c r="F46" s="796">
        <f>'10-CWIP'!H56</f>
        <v>0</v>
      </c>
      <c r="G46" s="796">
        <f>'10-CWIP'!I56</f>
        <v>0</v>
      </c>
      <c r="H46" s="833">
        <v>0</v>
      </c>
      <c r="I46" s="789">
        <v>0</v>
      </c>
      <c r="J46" s="834">
        <v>0</v>
      </c>
      <c r="K46" s="727">
        <f>K45+E46+G46</f>
        <v>0</v>
      </c>
      <c r="L46" s="727" t="e">
        <f t="shared" ref="L46:L68" si="36">K45*$E$133/12</f>
        <v>#DIV/0!</v>
      </c>
      <c r="M46" s="727" t="e">
        <f>M45+L46</f>
        <v>#DIV/0!</v>
      </c>
      <c r="N46" s="727" t="e">
        <f t="shared" si="33"/>
        <v>#DIV/0!</v>
      </c>
      <c r="O46" s="835"/>
      <c r="P46" s="834">
        <f t="shared" si="34"/>
        <v>0</v>
      </c>
      <c r="S46" s="727"/>
      <c r="T46" s="795"/>
      <c r="U46" s="791"/>
      <c r="V46" s="563"/>
      <c r="W46" s="795"/>
      <c r="X46" s="791"/>
      <c r="Y46" s="563"/>
    </row>
    <row r="47" spans="1:40" x14ac:dyDescent="0.25">
      <c r="A47" s="785">
        <f t="shared" si="35"/>
        <v>28</v>
      </c>
      <c r="C47" s="772" t="s">
        <v>214</v>
      </c>
      <c r="D47" s="770"/>
      <c r="E47" s="796">
        <f>'10-CWIP'!G57</f>
        <v>0</v>
      </c>
      <c r="F47" s="796">
        <f>'10-CWIP'!H57</f>
        <v>0</v>
      </c>
      <c r="G47" s="796">
        <f>'10-CWIP'!I57</f>
        <v>0</v>
      </c>
      <c r="H47" s="833">
        <v>0</v>
      </c>
      <c r="I47" s="789">
        <v>0</v>
      </c>
      <c r="J47" s="834">
        <v>0</v>
      </c>
      <c r="K47" s="727">
        <f t="shared" ref="K47:K65" si="37">K46+E47+G47</f>
        <v>0</v>
      </c>
      <c r="L47" s="727" t="e">
        <f t="shared" si="36"/>
        <v>#DIV/0!</v>
      </c>
      <c r="M47" s="727" t="e">
        <f t="shared" ref="M47:M65" si="38">M46+L47</f>
        <v>#DIV/0!</v>
      </c>
      <c r="N47" s="727" t="e">
        <f t="shared" si="33"/>
        <v>#DIV/0!</v>
      </c>
      <c r="O47" s="835"/>
      <c r="P47" s="834">
        <f t="shared" si="34"/>
        <v>0</v>
      </c>
      <c r="S47" s="727"/>
      <c r="T47" s="795"/>
      <c r="U47" s="791"/>
      <c r="V47" s="563"/>
      <c r="W47" s="795"/>
      <c r="X47" s="791"/>
      <c r="Y47" s="563"/>
    </row>
    <row r="48" spans="1:40" x14ac:dyDescent="0.25">
      <c r="A48" s="785">
        <f t="shared" si="35"/>
        <v>29</v>
      </c>
      <c r="C48" s="769" t="s">
        <v>202</v>
      </c>
      <c r="D48" s="770"/>
      <c r="E48" s="796">
        <f>'10-CWIP'!G58</f>
        <v>0</v>
      </c>
      <c r="F48" s="796">
        <f>'10-CWIP'!H58</f>
        <v>0</v>
      </c>
      <c r="G48" s="796">
        <f>'10-CWIP'!I58</f>
        <v>0</v>
      </c>
      <c r="H48" s="833">
        <v>0</v>
      </c>
      <c r="I48" s="789">
        <v>0</v>
      </c>
      <c r="J48" s="834">
        <v>0</v>
      </c>
      <c r="K48" s="727">
        <f t="shared" si="37"/>
        <v>0</v>
      </c>
      <c r="L48" s="727" t="e">
        <f t="shared" si="36"/>
        <v>#DIV/0!</v>
      </c>
      <c r="M48" s="727" t="e">
        <f t="shared" si="38"/>
        <v>#DIV/0!</v>
      </c>
      <c r="N48" s="727" t="e">
        <f t="shared" si="33"/>
        <v>#DIV/0!</v>
      </c>
      <c r="O48" s="835"/>
      <c r="P48" s="834">
        <f t="shared" si="34"/>
        <v>0</v>
      </c>
      <c r="S48" s="727"/>
      <c r="T48" s="795"/>
      <c r="U48" s="791"/>
      <c r="V48" s="563"/>
      <c r="W48" s="795"/>
      <c r="X48" s="791"/>
      <c r="Y48" s="563"/>
    </row>
    <row r="49" spans="1:25" x14ac:dyDescent="0.25">
      <c r="A49" s="785">
        <f t="shared" si="35"/>
        <v>30</v>
      </c>
      <c r="C49" s="772" t="s">
        <v>203</v>
      </c>
      <c r="D49" s="770"/>
      <c r="E49" s="796">
        <f>'10-CWIP'!G59</f>
        <v>0</v>
      </c>
      <c r="F49" s="796">
        <f>'10-CWIP'!H59</f>
        <v>0</v>
      </c>
      <c r="G49" s="796">
        <f>'10-CWIP'!I59</f>
        <v>0</v>
      </c>
      <c r="H49" s="833">
        <v>0</v>
      </c>
      <c r="I49" s="789">
        <v>0</v>
      </c>
      <c r="J49" s="834">
        <v>0</v>
      </c>
      <c r="K49" s="727">
        <f t="shared" si="37"/>
        <v>0</v>
      </c>
      <c r="L49" s="727" t="e">
        <f t="shared" si="36"/>
        <v>#DIV/0!</v>
      </c>
      <c r="M49" s="727" t="e">
        <f t="shared" si="38"/>
        <v>#DIV/0!</v>
      </c>
      <c r="N49" s="727" t="e">
        <f t="shared" si="33"/>
        <v>#DIV/0!</v>
      </c>
      <c r="O49" s="835"/>
      <c r="P49" s="834">
        <f t="shared" si="34"/>
        <v>0</v>
      </c>
      <c r="S49" s="727"/>
      <c r="T49" s="795"/>
      <c r="U49" s="791"/>
      <c r="V49" s="563"/>
      <c r="W49" s="795"/>
      <c r="X49" s="791"/>
      <c r="Y49" s="563"/>
    </row>
    <row r="50" spans="1:25" x14ac:dyDescent="0.25">
      <c r="A50" s="785">
        <f t="shared" si="35"/>
        <v>31</v>
      </c>
      <c r="C50" s="772" t="s">
        <v>204</v>
      </c>
      <c r="D50" s="770"/>
      <c r="E50" s="796">
        <f>'10-CWIP'!G60</f>
        <v>0</v>
      </c>
      <c r="F50" s="796">
        <f>'10-CWIP'!H60</f>
        <v>0</v>
      </c>
      <c r="G50" s="796">
        <f>'10-CWIP'!I60</f>
        <v>0</v>
      </c>
      <c r="H50" s="833">
        <v>0</v>
      </c>
      <c r="I50" s="789">
        <v>0</v>
      </c>
      <c r="J50" s="834">
        <v>0</v>
      </c>
      <c r="K50" s="727">
        <f t="shared" si="37"/>
        <v>0</v>
      </c>
      <c r="L50" s="727" t="e">
        <f t="shared" si="36"/>
        <v>#DIV/0!</v>
      </c>
      <c r="M50" s="727" t="e">
        <f t="shared" si="38"/>
        <v>#DIV/0!</v>
      </c>
      <c r="N50" s="727" t="e">
        <f t="shared" si="33"/>
        <v>#DIV/0!</v>
      </c>
      <c r="O50" s="835"/>
      <c r="P50" s="834">
        <f t="shared" si="34"/>
        <v>0</v>
      </c>
      <c r="S50" s="727"/>
      <c r="T50" s="795"/>
      <c r="U50" s="791"/>
      <c r="V50" s="563"/>
      <c r="W50" s="795"/>
      <c r="X50" s="791"/>
      <c r="Y50" s="563"/>
    </row>
    <row r="51" spans="1:25" x14ac:dyDescent="0.25">
      <c r="A51" s="785">
        <f t="shared" si="35"/>
        <v>32</v>
      </c>
      <c r="C51" s="769" t="s">
        <v>205</v>
      </c>
      <c r="D51" s="770"/>
      <c r="E51" s="796">
        <f>'10-CWIP'!G61</f>
        <v>0</v>
      </c>
      <c r="F51" s="796">
        <f>'10-CWIP'!H61</f>
        <v>0</v>
      </c>
      <c r="G51" s="796">
        <f>'10-CWIP'!I61</f>
        <v>0</v>
      </c>
      <c r="H51" s="833">
        <v>0</v>
      </c>
      <c r="I51" s="789">
        <v>0</v>
      </c>
      <c r="J51" s="834">
        <v>0</v>
      </c>
      <c r="K51" s="727">
        <f t="shared" si="37"/>
        <v>0</v>
      </c>
      <c r="L51" s="727" t="e">
        <f t="shared" si="36"/>
        <v>#DIV/0!</v>
      </c>
      <c r="M51" s="727" t="e">
        <f t="shared" si="38"/>
        <v>#DIV/0!</v>
      </c>
      <c r="N51" s="727" t="e">
        <f t="shared" si="33"/>
        <v>#DIV/0!</v>
      </c>
      <c r="O51" s="835"/>
      <c r="P51" s="834">
        <f t="shared" si="34"/>
        <v>0</v>
      </c>
      <c r="S51" s="727"/>
      <c r="T51" s="795"/>
      <c r="U51" s="791"/>
      <c r="V51" s="563"/>
      <c r="W51" s="795"/>
      <c r="X51" s="791"/>
      <c r="Y51" s="563"/>
    </row>
    <row r="52" spans="1:25" x14ac:dyDescent="0.25">
      <c r="A52" s="785">
        <f t="shared" si="35"/>
        <v>33</v>
      </c>
      <c r="C52" s="772" t="s">
        <v>206</v>
      </c>
      <c r="D52" s="770"/>
      <c r="E52" s="796">
        <f>'10-CWIP'!G62</f>
        <v>0</v>
      </c>
      <c r="F52" s="796">
        <f>'10-CWIP'!H62</f>
        <v>0</v>
      </c>
      <c r="G52" s="796">
        <f>'10-CWIP'!I62</f>
        <v>0</v>
      </c>
      <c r="H52" s="833">
        <v>0</v>
      </c>
      <c r="I52" s="789">
        <v>0</v>
      </c>
      <c r="J52" s="834">
        <v>0</v>
      </c>
      <c r="K52" s="727">
        <f t="shared" si="37"/>
        <v>0</v>
      </c>
      <c r="L52" s="727" t="e">
        <f t="shared" si="36"/>
        <v>#DIV/0!</v>
      </c>
      <c r="M52" s="727" t="e">
        <f t="shared" si="38"/>
        <v>#DIV/0!</v>
      </c>
      <c r="N52" s="727" t="e">
        <f t="shared" si="33"/>
        <v>#DIV/0!</v>
      </c>
      <c r="O52" s="835"/>
      <c r="P52" s="834">
        <f t="shared" si="34"/>
        <v>0</v>
      </c>
      <c r="S52" s="727"/>
      <c r="T52" s="795"/>
      <c r="U52" s="791"/>
      <c r="V52" s="563"/>
      <c r="W52" s="795"/>
      <c r="X52" s="791"/>
      <c r="Y52" s="563"/>
    </row>
    <row r="53" spans="1:25" x14ac:dyDescent="0.25">
      <c r="A53" s="785">
        <f t="shared" si="35"/>
        <v>34</v>
      </c>
      <c r="C53" s="772" t="s">
        <v>207</v>
      </c>
      <c r="D53" s="770"/>
      <c r="E53" s="796">
        <f>'10-CWIP'!G63</f>
        <v>0</v>
      </c>
      <c r="F53" s="796">
        <f>'10-CWIP'!H63</f>
        <v>0</v>
      </c>
      <c r="G53" s="796">
        <f>'10-CWIP'!I63</f>
        <v>0</v>
      </c>
      <c r="H53" s="833">
        <v>0</v>
      </c>
      <c r="I53" s="789">
        <v>0</v>
      </c>
      <c r="J53" s="834">
        <v>0</v>
      </c>
      <c r="K53" s="727">
        <f t="shared" si="37"/>
        <v>0</v>
      </c>
      <c r="L53" s="727" t="e">
        <f t="shared" si="36"/>
        <v>#DIV/0!</v>
      </c>
      <c r="M53" s="727" t="e">
        <f t="shared" si="38"/>
        <v>#DIV/0!</v>
      </c>
      <c r="N53" s="727" t="e">
        <f t="shared" si="33"/>
        <v>#DIV/0!</v>
      </c>
      <c r="O53" s="835"/>
      <c r="P53" s="834">
        <f t="shared" si="34"/>
        <v>0</v>
      </c>
      <c r="S53" s="727"/>
      <c r="T53" s="795"/>
      <c r="U53" s="791"/>
      <c r="V53" s="563"/>
      <c r="W53" s="795"/>
      <c r="X53" s="791"/>
      <c r="Y53" s="563"/>
    </row>
    <row r="54" spans="1:25" x14ac:dyDescent="0.25">
      <c r="A54" s="785">
        <f t="shared" si="35"/>
        <v>35</v>
      </c>
      <c r="C54" s="769" t="s">
        <v>208</v>
      </c>
      <c r="D54" s="770"/>
      <c r="E54" s="796">
        <f>'10-CWIP'!G64</f>
        <v>0</v>
      </c>
      <c r="F54" s="796">
        <f>'10-CWIP'!H64</f>
        <v>0</v>
      </c>
      <c r="G54" s="796">
        <f>'10-CWIP'!I64</f>
        <v>0</v>
      </c>
      <c r="H54" s="833">
        <v>0</v>
      </c>
      <c r="I54" s="789">
        <v>0</v>
      </c>
      <c r="J54" s="834">
        <v>0</v>
      </c>
      <c r="K54" s="727">
        <f t="shared" si="37"/>
        <v>0</v>
      </c>
      <c r="L54" s="727" t="e">
        <f t="shared" si="36"/>
        <v>#DIV/0!</v>
      </c>
      <c r="M54" s="727" t="e">
        <f t="shared" si="38"/>
        <v>#DIV/0!</v>
      </c>
      <c r="N54" s="727" t="e">
        <f t="shared" si="33"/>
        <v>#DIV/0!</v>
      </c>
      <c r="O54" s="835"/>
      <c r="P54" s="834">
        <f t="shared" si="34"/>
        <v>0</v>
      </c>
      <c r="S54" s="727"/>
      <c r="T54" s="795"/>
      <c r="U54" s="791"/>
      <c r="V54" s="563"/>
      <c r="W54" s="795"/>
      <c r="X54" s="791"/>
      <c r="Y54" s="563"/>
    </row>
    <row r="55" spans="1:25" x14ac:dyDescent="0.25">
      <c r="A55" s="785">
        <f t="shared" si="35"/>
        <v>36</v>
      </c>
      <c r="C55" s="769" t="s">
        <v>209</v>
      </c>
      <c r="D55" s="770"/>
      <c r="E55" s="796">
        <f>'10-CWIP'!G65</f>
        <v>0</v>
      </c>
      <c r="F55" s="796">
        <f>'10-CWIP'!H65</f>
        <v>0</v>
      </c>
      <c r="G55" s="796">
        <f>'10-CWIP'!I65</f>
        <v>0</v>
      </c>
      <c r="H55" s="833">
        <v>0</v>
      </c>
      <c r="I55" s="789">
        <v>0</v>
      </c>
      <c r="J55" s="834">
        <v>0</v>
      </c>
      <c r="K55" s="727">
        <f t="shared" si="37"/>
        <v>0</v>
      </c>
      <c r="L55" s="727" t="e">
        <f t="shared" si="36"/>
        <v>#DIV/0!</v>
      </c>
      <c r="M55" s="727" t="e">
        <f t="shared" si="38"/>
        <v>#DIV/0!</v>
      </c>
      <c r="N55" s="727" t="e">
        <f t="shared" si="33"/>
        <v>#DIV/0!</v>
      </c>
      <c r="O55" s="835"/>
      <c r="P55" s="834">
        <f t="shared" si="34"/>
        <v>0</v>
      </c>
      <c r="S55" s="727"/>
      <c r="T55" s="795"/>
      <c r="U55" s="791"/>
      <c r="V55" s="563"/>
      <c r="W55" s="795"/>
      <c r="X55" s="791"/>
      <c r="Y55" s="563"/>
    </row>
    <row r="56" spans="1:25" x14ac:dyDescent="0.25">
      <c r="A56" s="785">
        <f t="shared" si="35"/>
        <v>37</v>
      </c>
      <c r="C56" s="769" t="s">
        <v>199</v>
      </c>
      <c r="D56" s="770"/>
      <c r="E56" s="796">
        <f>'10-CWIP'!G66</f>
        <v>0</v>
      </c>
      <c r="F56" s="796">
        <f>'10-CWIP'!H66</f>
        <v>0</v>
      </c>
      <c r="G56" s="796">
        <f>'10-CWIP'!I66</f>
        <v>0</v>
      </c>
      <c r="H56" s="833">
        <v>0</v>
      </c>
      <c r="I56" s="789">
        <v>0</v>
      </c>
      <c r="J56" s="834">
        <v>0</v>
      </c>
      <c r="K56" s="727">
        <f t="shared" si="37"/>
        <v>0</v>
      </c>
      <c r="L56" s="727" t="e">
        <f t="shared" si="36"/>
        <v>#DIV/0!</v>
      </c>
      <c r="M56" s="727" t="e">
        <f t="shared" si="38"/>
        <v>#DIV/0!</v>
      </c>
      <c r="N56" s="727" t="e">
        <f t="shared" si="33"/>
        <v>#DIV/0!</v>
      </c>
      <c r="O56" s="835"/>
      <c r="P56" s="834">
        <f t="shared" si="34"/>
        <v>0</v>
      </c>
      <c r="S56" s="727"/>
      <c r="T56" s="795"/>
      <c r="U56" s="791"/>
      <c r="V56" s="563"/>
      <c r="W56" s="795"/>
      <c r="X56" s="791"/>
      <c r="Y56" s="563"/>
    </row>
    <row r="57" spans="1:25" x14ac:dyDescent="0.25">
      <c r="A57" s="785">
        <f t="shared" si="35"/>
        <v>38</v>
      </c>
      <c r="C57" s="769" t="s">
        <v>200</v>
      </c>
      <c r="D57" s="770"/>
      <c r="E57" s="796">
        <f>'10-CWIP'!G67</f>
        <v>0</v>
      </c>
      <c r="F57" s="796">
        <f>'10-CWIP'!H67</f>
        <v>0</v>
      </c>
      <c r="G57" s="796">
        <f>'10-CWIP'!I67</f>
        <v>0</v>
      </c>
      <c r="H57" s="833">
        <v>0</v>
      </c>
      <c r="I57" s="789">
        <v>0</v>
      </c>
      <c r="J57" s="834">
        <v>0</v>
      </c>
      <c r="K57" s="727">
        <f t="shared" si="37"/>
        <v>0</v>
      </c>
      <c r="L57" s="727" t="e">
        <f t="shared" si="36"/>
        <v>#DIV/0!</v>
      </c>
      <c r="M57" s="727" t="e">
        <f t="shared" si="38"/>
        <v>#DIV/0!</v>
      </c>
      <c r="N57" s="727" t="e">
        <f t="shared" si="33"/>
        <v>#DIV/0!</v>
      </c>
      <c r="O57" s="835"/>
      <c r="P57" s="834">
        <f t="shared" si="34"/>
        <v>0</v>
      </c>
      <c r="S57" s="727"/>
      <c r="T57" s="795"/>
      <c r="U57" s="791"/>
      <c r="V57" s="563"/>
      <c r="W57" s="795"/>
      <c r="X57" s="791"/>
      <c r="Y57" s="563"/>
    </row>
    <row r="58" spans="1:25" x14ac:dyDescent="0.25">
      <c r="A58" s="785">
        <f t="shared" si="35"/>
        <v>39</v>
      </c>
      <c r="C58" s="772" t="s">
        <v>201</v>
      </c>
      <c r="D58" s="770"/>
      <c r="E58" s="796">
        <f>'10-CWIP'!G68</f>
        <v>0</v>
      </c>
      <c r="F58" s="796">
        <f>'10-CWIP'!H68</f>
        <v>0</v>
      </c>
      <c r="G58" s="796">
        <f>'10-CWIP'!I68</f>
        <v>0</v>
      </c>
      <c r="H58" s="833">
        <v>0</v>
      </c>
      <c r="I58" s="789">
        <v>0</v>
      </c>
      <c r="J58" s="834">
        <v>0</v>
      </c>
      <c r="K58" s="727">
        <f t="shared" si="37"/>
        <v>0</v>
      </c>
      <c r="L58" s="727" t="e">
        <f t="shared" si="36"/>
        <v>#DIV/0!</v>
      </c>
      <c r="M58" s="727" t="e">
        <f t="shared" si="38"/>
        <v>#DIV/0!</v>
      </c>
      <c r="N58" s="727" t="e">
        <f t="shared" si="33"/>
        <v>#DIV/0!</v>
      </c>
      <c r="O58" s="835"/>
      <c r="P58" s="834">
        <f t="shared" si="34"/>
        <v>0</v>
      </c>
      <c r="S58" s="727"/>
      <c r="T58" s="795"/>
      <c r="U58" s="791"/>
      <c r="V58" s="563"/>
      <c r="W58" s="795"/>
      <c r="X58" s="791"/>
      <c r="Y58" s="563"/>
    </row>
    <row r="59" spans="1:25" x14ac:dyDescent="0.25">
      <c r="A59" s="785">
        <f t="shared" si="35"/>
        <v>40</v>
      </c>
      <c r="C59" s="772" t="s">
        <v>214</v>
      </c>
      <c r="D59" s="770"/>
      <c r="E59" s="796">
        <f>'10-CWIP'!G69</f>
        <v>0</v>
      </c>
      <c r="F59" s="796">
        <f>'10-CWIP'!H69</f>
        <v>0</v>
      </c>
      <c r="G59" s="796">
        <f>'10-CWIP'!I69</f>
        <v>0</v>
      </c>
      <c r="H59" s="833">
        <v>0</v>
      </c>
      <c r="I59" s="789">
        <v>0</v>
      </c>
      <c r="J59" s="834">
        <v>0</v>
      </c>
      <c r="K59" s="727">
        <f t="shared" si="37"/>
        <v>0</v>
      </c>
      <c r="L59" s="727" t="e">
        <f t="shared" si="36"/>
        <v>#DIV/0!</v>
      </c>
      <c r="M59" s="727" t="e">
        <f t="shared" si="38"/>
        <v>#DIV/0!</v>
      </c>
      <c r="N59" s="727" t="e">
        <f t="shared" si="33"/>
        <v>#DIV/0!</v>
      </c>
      <c r="O59" s="835"/>
      <c r="P59" s="834">
        <f t="shared" si="34"/>
        <v>0</v>
      </c>
      <c r="S59" s="727"/>
      <c r="T59" s="795"/>
      <c r="U59" s="791"/>
      <c r="V59" s="563"/>
      <c r="W59" s="795"/>
      <c r="X59" s="791"/>
      <c r="Y59" s="563"/>
    </row>
    <row r="60" spans="1:25" x14ac:dyDescent="0.25">
      <c r="A60" s="785">
        <f t="shared" si="35"/>
        <v>41</v>
      </c>
      <c r="C60" s="769" t="s">
        <v>202</v>
      </c>
      <c r="D60" s="770"/>
      <c r="E60" s="796">
        <f>'10-CWIP'!G70</f>
        <v>0</v>
      </c>
      <c r="F60" s="796">
        <f>'10-CWIP'!H70</f>
        <v>0</v>
      </c>
      <c r="G60" s="796">
        <f>'10-CWIP'!I70</f>
        <v>0</v>
      </c>
      <c r="H60" s="833">
        <v>0</v>
      </c>
      <c r="I60" s="789">
        <v>0</v>
      </c>
      <c r="J60" s="834">
        <v>0</v>
      </c>
      <c r="K60" s="727">
        <f t="shared" si="37"/>
        <v>0</v>
      </c>
      <c r="L60" s="727" t="e">
        <f t="shared" si="36"/>
        <v>#DIV/0!</v>
      </c>
      <c r="M60" s="727" t="e">
        <f t="shared" si="38"/>
        <v>#DIV/0!</v>
      </c>
      <c r="N60" s="727" t="e">
        <f t="shared" si="33"/>
        <v>#DIV/0!</v>
      </c>
      <c r="O60" s="835"/>
      <c r="P60" s="834">
        <f t="shared" si="34"/>
        <v>0</v>
      </c>
      <c r="S60" s="727"/>
      <c r="T60" s="795"/>
      <c r="U60" s="791"/>
      <c r="V60" s="563"/>
      <c r="W60" s="795"/>
      <c r="X60" s="791"/>
      <c r="Y60" s="563"/>
    </row>
    <row r="61" spans="1:25" x14ac:dyDescent="0.25">
      <c r="A61" s="785">
        <f t="shared" si="35"/>
        <v>42</v>
      </c>
      <c r="C61" s="772" t="s">
        <v>203</v>
      </c>
      <c r="D61" s="770"/>
      <c r="E61" s="796">
        <f>'10-CWIP'!G71</f>
        <v>0</v>
      </c>
      <c r="F61" s="796">
        <f>'10-CWIP'!H71</f>
        <v>0</v>
      </c>
      <c r="G61" s="796">
        <f>'10-CWIP'!I71</f>
        <v>0</v>
      </c>
      <c r="H61" s="833">
        <v>0</v>
      </c>
      <c r="I61" s="789">
        <v>0</v>
      </c>
      <c r="J61" s="834">
        <v>0</v>
      </c>
      <c r="K61" s="727">
        <f t="shared" si="37"/>
        <v>0</v>
      </c>
      <c r="L61" s="727" t="e">
        <f t="shared" si="36"/>
        <v>#DIV/0!</v>
      </c>
      <c r="M61" s="727" t="e">
        <f t="shared" si="38"/>
        <v>#DIV/0!</v>
      </c>
      <c r="N61" s="727" t="e">
        <f t="shared" si="33"/>
        <v>#DIV/0!</v>
      </c>
      <c r="O61" s="835"/>
      <c r="P61" s="834">
        <f t="shared" si="34"/>
        <v>0</v>
      </c>
      <c r="S61" s="727"/>
      <c r="T61" s="795"/>
      <c r="U61" s="791"/>
      <c r="V61" s="563"/>
      <c r="W61" s="795"/>
      <c r="X61" s="791"/>
      <c r="Y61" s="563"/>
    </row>
    <row r="62" spans="1:25" x14ac:dyDescent="0.25">
      <c r="A62" s="785">
        <f t="shared" si="35"/>
        <v>43</v>
      </c>
      <c r="C62" s="772" t="s">
        <v>204</v>
      </c>
      <c r="D62" s="770"/>
      <c r="E62" s="796">
        <f>'10-CWIP'!G72</f>
        <v>0</v>
      </c>
      <c r="F62" s="796">
        <f>'10-CWIP'!H72</f>
        <v>0</v>
      </c>
      <c r="G62" s="796">
        <f>'10-CWIP'!I72</f>
        <v>0</v>
      </c>
      <c r="H62" s="833">
        <v>0</v>
      </c>
      <c r="I62" s="789">
        <v>0</v>
      </c>
      <c r="J62" s="834">
        <v>0</v>
      </c>
      <c r="K62" s="727">
        <f t="shared" si="37"/>
        <v>0</v>
      </c>
      <c r="L62" s="727" t="e">
        <f t="shared" si="36"/>
        <v>#DIV/0!</v>
      </c>
      <c r="M62" s="727" t="e">
        <f t="shared" si="38"/>
        <v>#DIV/0!</v>
      </c>
      <c r="N62" s="727" t="e">
        <f t="shared" si="33"/>
        <v>#DIV/0!</v>
      </c>
      <c r="O62" s="835"/>
      <c r="P62" s="834">
        <f t="shared" si="34"/>
        <v>0</v>
      </c>
      <c r="S62" s="727"/>
      <c r="T62" s="795"/>
      <c r="U62" s="791"/>
      <c r="V62" s="563"/>
      <c r="W62" s="795"/>
      <c r="X62" s="791"/>
      <c r="Y62" s="563"/>
    </row>
    <row r="63" spans="1:25" x14ac:dyDescent="0.25">
      <c r="A63" s="785">
        <f t="shared" si="35"/>
        <v>44</v>
      </c>
      <c r="C63" s="769" t="s">
        <v>205</v>
      </c>
      <c r="D63" s="770"/>
      <c r="E63" s="796">
        <f>'10-CWIP'!G73</f>
        <v>0</v>
      </c>
      <c r="F63" s="796">
        <f>'10-CWIP'!H73</f>
        <v>0</v>
      </c>
      <c r="G63" s="796">
        <f>'10-CWIP'!I73</f>
        <v>0</v>
      </c>
      <c r="H63" s="833">
        <v>0</v>
      </c>
      <c r="I63" s="789">
        <v>0</v>
      </c>
      <c r="J63" s="834">
        <v>0</v>
      </c>
      <c r="K63" s="727">
        <f t="shared" si="37"/>
        <v>0</v>
      </c>
      <c r="L63" s="727" t="e">
        <f t="shared" si="36"/>
        <v>#DIV/0!</v>
      </c>
      <c r="M63" s="727" t="e">
        <f t="shared" si="38"/>
        <v>#DIV/0!</v>
      </c>
      <c r="N63" s="727" t="e">
        <f t="shared" si="33"/>
        <v>#DIV/0!</v>
      </c>
      <c r="O63" s="835"/>
      <c r="P63" s="834">
        <f t="shared" si="34"/>
        <v>0</v>
      </c>
      <c r="S63" s="727"/>
      <c r="T63" s="795"/>
      <c r="U63" s="791"/>
      <c r="V63" s="563"/>
      <c r="W63" s="795"/>
      <c r="X63" s="791"/>
      <c r="Y63" s="563"/>
    </row>
    <row r="64" spans="1:25" x14ac:dyDescent="0.25">
      <c r="A64" s="785">
        <f t="shared" si="35"/>
        <v>45</v>
      </c>
      <c r="C64" s="772" t="s">
        <v>206</v>
      </c>
      <c r="D64" s="770"/>
      <c r="E64" s="796">
        <f>'10-CWIP'!G74</f>
        <v>0</v>
      </c>
      <c r="F64" s="796">
        <f>'10-CWIP'!H74</f>
        <v>0</v>
      </c>
      <c r="G64" s="796">
        <f>'10-CWIP'!I74</f>
        <v>0</v>
      </c>
      <c r="H64" s="833">
        <v>0</v>
      </c>
      <c r="I64" s="789">
        <v>0</v>
      </c>
      <c r="J64" s="834">
        <v>0</v>
      </c>
      <c r="K64" s="727">
        <f t="shared" si="37"/>
        <v>0</v>
      </c>
      <c r="L64" s="727" t="e">
        <f t="shared" si="36"/>
        <v>#DIV/0!</v>
      </c>
      <c r="M64" s="727" t="e">
        <f t="shared" si="38"/>
        <v>#DIV/0!</v>
      </c>
      <c r="N64" s="727" t="e">
        <f t="shared" si="33"/>
        <v>#DIV/0!</v>
      </c>
      <c r="O64" s="835"/>
      <c r="P64" s="834">
        <f t="shared" si="34"/>
        <v>0</v>
      </c>
      <c r="S64" s="727"/>
      <c r="T64" s="795"/>
      <c r="U64" s="791"/>
      <c r="V64" s="563"/>
      <c r="W64" s="795"/>
      <c r="X64" s="791"/>
      <c r="Y64" s="563"/>
    </row>
    <row r="65" spans="1:25" x14ac:dyDescent="0.25">
      <c r="A65" s="785">
        <f t="shared" si="35"/>
        <v>46</v>
      </c>
      <c r="C65" s="772" t="s">
        <v>207</v>
      </c>
      <c r="D65" s="770"/>
      <c r="E65" s="796">
        <f>'10-CWIP'!G75</f>
        <v>0</v>
      </c>
      <c r="F65" s="796">
        <f>'10-CWIP'!H75</f>
        <v>0</v>
      </c>
      <c r="G65" s="796">
        <f>'10-CWIP'!I75</f>
        <v>0</v>
      </c>
      <c r="H65" s="833">
        <v>0</v>
      </c>
      <c r="I65" s="789">
        <v>0</v>
      </c>
      <c r="J65" s="834">
        <v>0</v>
      </c>
      <c r="K65" s="727">
        <f t="shared" si="37"/>
        <v>0</v>
      </c>
      <c r="L65" s="727" t="e">
        <f t="shared" si="36"/>
        <v>#DIV/0!</v>
      </c>
      <c r="M65" s="727" t="e">
        <f t="shared" si="38"/>
        <v>#DIV/0!</v>
      </c>
      <c r="N65" s="727" t="e">
        <f t="shared" si="33"/>
        <v>#DIV/0!</v>
      </c>
      <c r="O65" s="835"/>
      <c r="P65" s="834">
        <f t="shared" si="34"/>
        <v>0</v>
      </c>
      <c r="S65" s="727"/>
      <c r="T65" s="795"/>
      <c r="U65" s="791"/>
      <c r="V65" s="563"/>
      <c r="W65" s="795"/>
      <c r="X65" s="791"/>
      <c r="Y65" s="563"/>
    </row>
    <row r="66" spans="1:25" x14ac:dyDescent="0.25">
      <c r="A66" s="786">
        <f t="shared" si="35"/>
        <v>47</v>
      </c>
      <c r="C66" s="772" t="s">
        <v>210</v>
      </c>
      <c r="D66" s="770"/>
      <c r="E66" s="796">
        <f>'10-CWIP'!G76</f>
        <v>0</v>
      </c>
      <c r="F66" s="796">
        <f>'10-CWIP'!H76</f>
        <v>0</v>
      </c>
      <c r="G66" s="796">
        <f>'10-CWIP'!I76</f>
        <v>0</v>
      </c>
      <c r="H66" s="833">
        <v>0</v>
      </c>
      <c r="I66" s="789">
        <v>0</v>
      </c>
      <c r="J66" s="834">
        <v>0</v>
      </c>
      <c r="K66" s="727">
        <f t="shared" ref="K66:K68" si="39">K65+E66+G66</f>
        <v>0</v>
      </c>
      <c r="L66" s="727" t="e">
        <f t="shared" si="36"/>
        <v>#DIV/0!</v>
      </c>
      <c r="M66" s="727" t="e">
        <f t="shared" ref="M66:M68" si="40">M65+L66</f>
        <v>#DIV/0!</v>
      </c>
      <c r="N66" s="727" t="e">
        <f t="shared" ref="N66:N68" si="41">K66-M66</f>
        <v>#DIV/0!</v>
      </c>
      <c r="O66" s="835"/>
      <c r="P66" s="834">
        <f t="shared" si="34"/>
        <v>0</v>
      </c>
      <c r="S66" s="727"/>
      <c r="T66" s="795"/>
      <c r="U66" s="791"/>
      <c r="V66" s="563"/>
      <c r="W66" s="795"/>
      <c r="X66" s="791"/>
      <c r="Y66" s="563"/>
    </row>
    <row r="67" spans="1:25" x14ac:dyDescent="0.25">
      <c r="A67" s="786">
        <f t="shared" si="35"/>
        <v>48</v>
      </c>
      <c r="C67" s="772" t="s">
        <v>209</v>
      </c>
      <c r="D67" s="770"/>
      <c r="E67" s="796">
        <f>'10-CWIP'!G77</f>
        <v>0</v>
      </c>
      <c r="F67" s="796">
        <f>'10-CWIP'!H77</f>
        <v>0</v>
      </c>
      <c r="G67" s="796">
        <f>'10-CWIP'!I77</f>
        <v>0</v>
      </c>
      <c r="H67" s="833">
        <v>0</v>
      </c>
      <c r="I67" s="789">
        <v>0</v>
      </c>
      <c r="J67" s="834">
        <v>0</v>
      </c>
      <c r="K67" s="727">
        <f t="shared" si="39"/>
        <v>0</v>
      </c>
      <c r="L67" s="727" t="e">
        <f t="shared" si="36"/>
        <v>#DIV/0!</v>
      </c>
      <c r="M67" s="727" t="e">
        <f t="shared" si="40"/>
        <v>#DIV/0!</v>
      </c>
      <c r="N67" s="727" t="e">
        <f t="shared" si="41"/>
        <v>#DIV/0!</v>
      </c>
      <c r="O67" s="835"/>
      <c r="P67" s="834">
        <f t="shared" si="34"/>
        <v>0</v>
      </c>
      <c r="S67" s="727"/>
      <c r="T67" s="795"/>
      <c r="U67" s="791"/>
      <c r="V67" s="563"/>
      <c r="W67" s="795"/>
      <c r="X67" s="791"/>
      <c r="Y67" s="563"/>
    </row>
    <row r="68" spans="1:25" x14ac:dyDescent="0.25">
      <c r="A68" s="786">
        <f t="shared" si="35"/>
        <v>49</v>
      </c>
      <c r="C68" s="772" t="s">
        <v>199</v>
      </c>
      <c r="D68" s="770"/>
      <c r="E68" s="796">
        <f>'10-CWIP'!G78</f>
        <v>0</v>
      </c>
      <c r="F68" s="796">
        <f>'10-CWIP'!H78</f>
        <v>0</v>
      </c>
      <c r="G68" s="796">
        <f>'10-CWIP'!I78</f>
        <v>0</v>
      </c>
      <c r="H68" s="833">
        <v>0</v>
      </c>
      <c r="I68" s="789">
        <v>0</v>
      </c>
      <c r="J68" s="834">
        <v>0</v>
      </c>
      <c r="K68" s="727">
        <f t="shared" si="39"/>
        <v>0</v>
      </c>
      <c r="L68" s="727" t="e">
        <f t="shared" si="36"/>
        <v>#DIV/0!</v>
      </c>
      <c r="M68" s="727" t="e">
        <f t="shared" si="40"/>
        <v>#DIV/0!</v>
      </c>
      <c r="N68" s="727" t="e">
        <f t="shared" si="41"/>
        <v>#DIV/0!</v>
      </c>
      <c r="O68" s="835"/>
      <c r="P68" s="834">
        <f t="shared" si="34"/>
        <v>0</v>
      </c>
      <c r="S68" s="727"/>
      <c r="T68" s="795"/>
      <c r="U68" s="791"/>
      <c r="V68" s="563"/>
      <c r="W68" s="795"/>
      <c r="X68" s="791"/>
      <c r="Y68" s="563"/>
    </row>
    <row r="69" spans="1:25" x14ac:dyDescent="0.25">
      <c r="A69" s="785"/>
      <c r="D69" s="794"/>
      <c r="G69" s="727"/>
      <c r="M69" s="724"/>
      <c r="N69" s="789"/>
    </row>
    <row r="70" spans="1:25" x14ac:dyDescent="0.25">
      <c r="A70" s="785"/>
      <c r="B70" s="729" t="s">
        <v>2387</v>
      </c>
      <c r="D70" s="794"/>
      <c r="G70" s="836"/>
      <c r="M70" s="724"/>
      <c r="N70" s="789"/>
    </row>
    <row r="71" spans="1:25" x14ac:dyDescent="0.25">
      <c r="A71" s="785"/>
      <c r="E71" s="780" t="s">
        <v>394</v>
      </c>
      <c r="F71" s="780" t="s">
        <v>378</v>
      </c>
      <c r="G71" s="780" t="s">
        <v>379</v>
      </c>
      <c r="H71" s="780" t="s">
        <v>380</v>
      </c>
      <c r="I71" s="780" t="s">
        <v>381</v>
      </c>
      <c r="J71" s="780" t="s">
        <v>382</v>
      </c>
      <c r="K71" s="780" t="s">
        <v>383</v>
      </c>
      <c r="L71" s="780" t="s">
        <v>597</v>
      </c>
      <c r="M71" s="780" t="s">
        <v>1046</v>
      </c>
      <c r="N71" s="780" t="s">
        <v>1062</v>
      </c>
      <c r="O71" s="780" t="s">
        <v>1065</v>
      </c>
      <c r="P71" s="780" t="s">
        <v>1083</v>
      </c>
    </row>
    <row r="72" spans="1:25" ht="26.4" x14ac:dyDescent="0.25">
      <c r="A72" s="785"/>
      <c r="E72" s="782"/>
      <c r="F72" s="782"/>
      <c r="G72" s="783" t="str">
        <f>"=(C"&amp;RIGHT(E71)&amp;"-C"&amp;RIGHT(F71)&amp;")*L"&amp;$A$103</f>
        <v>=(C1-C2)*L74</v>
      </c>
      <c r="H72" s="782" t="str">
        <f>"=(C"&amp;RIGHT(E71)&amp;"-C"&amp;RIGHT(F71)&amp;"+C"&amp;RIGHT(G71)&amp;")*L"&amp;$A$107</f>
        <v>=(C1-C2+C3)*L75</v>
      </c>
      <c r="I72" s="782" t="str">
        <f>"=C"&amp;RIGHT(E71)&amp;"-C"&amp;RIGHT(F71)&amp;"+C"&amp;RIGHT(G71)&amp;"-C"&amp;RIGHT(H71)</f>
        <v>=C1-C2+C3-C4</v>
      </c>
      <c r="J72" s="783" t="str">
        <f>"=C"&amp;RIGHT(I71)&amp;"*L"&amp;$A$111</f>
        <v>=C5*L76</v>
      </c>
      <c r="K72" s="830" t="s">
        <v>2388</v>
      </c>
      <c r="L72" s="831" t="s">
        <v>2625</v>
      </c>
      <c r="M72" s="832" t="s">
        <v>2386</v>
      </c>
      <c r="N72" s="782" t="str">
        <f>"=C"&amp;RIGHT(K71)&amp;"-C"&amp;RIGHT(M71)</f>
        <v>=C7-C9</v>
      </c>
      <c r="P72" s="832" t="s">
        <v>2626</v>
      </c>
    </row>
    <row r="73" spans="1:25" x14ac:dyDescent="0.25">
      <c r="A73" s="785"/>
      <c r="C73" s="785" t="str">
        <f>C10</f>
        <v>Forecast</v>
      </c>
      <c r="E73" s="785" t="str">
        <f>E10</f>
        <v>Unloaded</v>
      </c>
      <c r="F73" s="785"/>
      <c r="G73" s="785"/>
      <c r="H73" s="786"/>
      <c r="I73" s="786" t="str">
        <f>I10</f>
        <v>AFUDC</v>
      </c>
      <c r="J73" s="786"/>
      <c r="K73" s="786"/>
      <c r="L73" s="786"/>
      <c r="M73" s="786"/>
      <c r="O73" s="785" t="str">
        <f>O10</f>
        <v>Unloaded</v>
      </c>
      <c r="P73" s="785" t="str">
        <f>P10</f>
        <v>Loaded</v>
      </c>
    </row>
    <row r="74" spans="1:25" x14ac:dyDescent="0.25">
      <c r="A74" s="785"/>
      <c r="C74" s="785" t="str">
        <f>C11</f>
        <v>Period</v>
      </c>
      <c r="E74" s="785" t="str">
        <f>E11</f>
        <v>Total</v>
      </c>
      <c r="F74" s="785" t="str">
        <f t="shared" ref="F74:H75" si="42">F11</f>
        <v>Prior Period</v>
      </c>
      <c r="G74" s="786" t="str">
        <f t="shared" si="42"/>
        <v>Over Heads</v>
      </c>
      <c r="H74" s="786" t="str">
        <f t="shared" si="42"/>
        <v xml:space="preserve">Cost of </v>
      </c>
      <c r="I74" s="786" t="str">
        <f>I11</f>
        <v>Eligible Plant</v>
      </c>
      <c r="J74" s="786"/>
      <c r="K74" s="786" t="str">
        <f t="shared" ref="K74:M74" si="43">K11</f>
        <v>Incremental</v>
      </c>
      <c r="L74" s="786" t="str">
        <f t="shared" si="43"/>
        <v>Depreciation</v>
      </c>
      <c r="M74" s="786" t="str">
        <f t="shared" si="43"/>
        <v>Incremental</v>
      </c>
      <c r="O74" s="786" t="str">
        <f>O11</f>
        <v>Low Voltage</v>
      </c>
      <c r="P74" s="786" t="str">
        <f>P11</f>
        <v>Low Voltage</v>
      </c>
      <c r="Q74" s="785"/>
    </row>
    <row r="75" spans="1:25" x14ac:dyDescent="0.25">
      <c r="A75" s="787" t="s">
        <v>360</v>
      </c>
      <c r="C75" s="768" t="str">
        <f>C12</f>
        <v>Month</v>
      </c>
      <c r="D75" s="768" t="str">
        <f>D12</f>
        <v>Year</v>
      </c>
      <c r="E75" s="781" t="str">
        <f>E12</f>
        <v>Plant Adds</v>
      </c>
      <c r="F75" s="781" t="str">
        <f t="shared" si="42"/>
        <v>CWIP Closed</v>
      </c>
      <c r="G75" s="788" t="str">
        <f t="shared" si="42"/>
        <v>Closed to PIS</v>
      </c>
      <c r="H75" s="788" t="str">
        <f t="shared" si="42"/>
        <v>Removal</v>
      </c>
      <c r="I75" s="788" t="str">
        <f>I12</f>
        <v>Additions</v>
      </c>
      <c r="J75" s="788" t="str">
        <f t="shared" ref="J75:P75" si="44">J12</f>
        <v>AFUDC</v>
      </c>
      <c r="K75" s="788" t="str">
        <f t="shared" si="44"/>
        <v>Gross Plant</v>
      </c>
      <c r="L75" s="788" t="str">
        <f t="shared" si="44"/>
        <v>Accrual</v>
      </c>
      <c r="M75" s="788" t="str">
        <f t="shared" si="44"/>
        <v>Reserve</v>
      </c>
      <c r="N75" s="788" t="str">
        <f t="shared" si="44"/>
        <v>Net Plant</v>
      </c>
      <c r="O75" s="788" t="str">
        <f t="shared" si="44"/>
        <v>Additions</v>
      </c>
      <c r="P75" s="788" t="str">
        <f t="shared" si="44"/>
        <v>Additions</v>
      </c>
      <c r="Q75" s="788"/>
      <c r="S75" s="837"/>
      <c r="T75" s="788"/>
      <c r="U75" s="788"/>
      <c r="V75" s="788"/>
      <c r="W75" s="788"/>
      <c r="X75" s="788"/>
      <c r="Y75" s="788"/>
    </row>
    <row r="76" spans="1:25" x14ac:dyDescent="0.25">
      <c r="A76" s="785">
        <f>A68+1</f>
        <v>50</v>
      </c>
      <c r="C76" s="769" t="str">
        <f t="shared" ref="C76:C96" si="45">C45</f>
        <v>January</v>
      </c>
      <c r="D76" s="770"/>
      <c r="E76" s="797"/>
      <c r="F76" s="797"/>
      <c r="G76" s="789">
        <f t="shared" ref="G76:G96" si="46">(E76-F76)*$E$103</f>
        <v>0</v>
      </c>
      <c r="H76" s="727">
        <f t="shared" ref="H76:H96" si="47">(E76-F76+G76)*$E$107</f>
        <v>0</v>
      </c>
      <c r="I76" s="789">
        <f>E76-F76+G76-H76</f>
        <v>0</v>
      </c>
      <c r="J76" s="789">
        <f t="shared" ref="J76:J96" si="48">I76*$E$111</f>
        <v>0</v>
      </c>
      <c r="K76" s="727">
        <f>F76+I76+J76</f>
        <v>0</v>
      </c>
      <c r="L76" s="727">
        <v>0</v>
      </c>
      <c r="M76" s="727">
        <f>L76</f>
        <v>0</v>
      </c>
      <c r="N76" s="727">
        <f t="shared" ref="N76:N96" si="49">K76-M76</f>
        <v>0</v>
      </c>
      <c r="O76" s="835"/>
      <c r="P76" s="727">
        <f t="shared" ref="P76:P96" si="50">O76*(1-$E$107)*(1+$E$103+$E$111)</f>
        <v>0</v>
      </c>
      <c r="Q76" s="795"/>
      <c r="R76" s="791"/>
      <c r="S76" s="795"/>
      <c r="T76" s="795"/>
      <c r="U76" s="791"/>
      <c r="V76" s="563"/>
      <c r="W76" s="795"/>
      <c r="X76" s="791"/>
      <c r="Y76" s="563"/>
    </row>
    <row r="77" spans="1:25" x14ac:dyDescent="0.25">
      <c r="A77" s="785">
        <f t="shared" si="35"/>
        <v>51</v>
      </c>
      <c r="C77" s="769" t="str">
        <f t="shared" si="45"/>
        <v>February</v>
      </c>
      <c r="D77" s="770"/>
      <c r="E77" s="797"/>
      <c r="F77" s="797"/>
      <c r="G77" s="789">
        <f t="shared" si="46"/>
        <v>0</v>
      </c>
      <c r="H77" s="727">
        <f t="shared" si="47"/>
        <v>0</v>
      </c>
      <c r="I77" s="789">
        <f t="shared" ref="I77:I96" si="51">E77-F77+G77-H77</f>
        <v>0</v>
      </c>
      <c r="J77" s="789">
        <f t="shared" si="48"/>
        <v>0</v>
      </c>
      <c r="K77" s="727">
        <f>K76+J77+I77+F77</f>
        <v>0</v>
      </c>
      <c r="L77" s="727" t="e">
        <f t="shared" ref="L77:L96" si="52">K76*$E$133/12</f>
        <v>#DIV/0!</v>
      </c>
      <c r="M77" s="727" t="e">
        <f>M76+L77</f>
        <v>#DIV/0!</v>
      </c>
      <c r="N77" s="727" t="e">
        <f t="shared" si="49"/>
        <v>#DIV/0!</v>
      </c>
      <c r="O77" s="835"/>
      <c r="P77" s="727">
        <f t="shared" si="50"/>
        <v>0</v>
      </c>
      <c r="Q77" s="795"/>
      <c r="R77" s="791"/>
      <c r="S77" s="795"/>
      <c r="T77" s="795"/>
      <c r="U77" s="791"/>
      <c r="V77" s="563"/>
      <c r="W77" s="795"/>
      <c r="X77" s="791"/>
      <c r="Y77" s="563"/>
    </row>
    <row r="78" spans="1:25" x14ac:dyDescent="0.25">
      <c r="A78" s="785">
        <f t="shared" si="35"/>
        <v>52</v>
      </c>
      <c r="C78" s="769" t="str">
        <f t="shared" si="45"/>
        <v>March</v>
      </c>
      <c r="D78" s="770"/>
      <c r="E78" s="797"/>
      <c r="F78" s="797"/>
      <c r="G78" s="789">
        <f t="shared" si="46"/>
        <v>0</v>
      </c>
      <c r="H78" s="727">
        <f t="shared" si="47"/>
        <v>0</v>
      </c>
      <c r="I78" s="789">
        <f t="shared" si="51"/>
        <v>0</v>
      </c>
      <c r="J78" s="789">
        <f t="shared" si="48"/>
        <v>0</v>
      </c>
      <c r="K78" s="727">
        <f t="shared" ref="K78:K96" si="53">K77+J78+I78+F78</f>
        <v>0</v>
      </c>
      <c r="L78" s="727" t="e">
        <f t="shared" si="52"/>
        <v>#DIV/0!</v>
      </c>
      <c r="M78" s="727" t="e">
        <f t="shared" ref="M78:M96" si="54">M77+L78</f>
        <v>#DIV/0!</v>
      </c>
      <c r="N78" s="727" t="e">
        <f t="shared" si="49"/>
        <v>#DIV/0!</v>
      </c>
      <c r="O78" s="835"/>
      <c r="P78" s="727">
        <f t="shared" si="50"/>
        <v>0</v>
      </c>
      <c r="Q78" s="795"/>
      <c r="R78" s="791"/>
      <c r="S78" s="795"/>
      <c r="T78" s="795"/>
      <c r="U78" s="791"/>
      <c r="V78" s="563"/>
      <c r="W78" s="795"/>
      <c r="X78" s="791"/>
      <c r="Y78" s="563"/>
    </row>
    <row r="79" spans="1:25" x14ac:dyDescent="0.25">
      <c r="A79" s="785">
        <f t="shared" si="35"/>
        <v>53</v>
      </c>
      <c r="C79" s="769" t="str">
        <f t="shared" si="45"/>
        <v>April</v>
      </c>
      <c r="D79" s="770"/>
      <c r="E79" s="797"/>
      <c r="F79" s="797"/>
      <c r="G79" s="789">
        <f t="shared" si="46"/>
        <v>0</v>
      </c>
      <c r="H79" s="727">
        <f t="shared" si="47"/>
        <v>0</v>
      </c>
      <c r="I79" s="789">
        <f t="shared" si="51"/>
        <v>0</v>
      </c>
      <c r="J79" s="789">
        <f t="shared" si="48"/>
        <v>0</v>
      </c>
      <c r="K79" s="727">
        <f t="shared" si="53"/>
        <v>0</v>
      </c>
      <c r="L79" s="727" t="e">
        <f t="shared" si="52"/>
        <v>#DIV/0!</v>
      </c>
      <c r="M79" s="727" t="e">
        <f t="shared" si="54"/>
        <v>#DIV/0!</v>
      </c>
      <c r="N79" s="727" t="e">
        <f t="shared" si="49"/>
        <v>#DIV/0!</v>
      </c>
      <c r="O79" s="835"/>
      <c r="P79" s="727">
        <f t="shared" si="50"/>
        <v>0</v>
      </c>
      <c r="Q79" s="795"/>
      <c r="R79" s="791"/>
      <c r="S79" s="795"/>
      <c r="T79" s="795"/>
      <c r="U79" s="791"/>
      <c r="V79" s="563"/>
      <c r="W79" s="795"/>
      <c r="X79" s="791"/>
      <c r="Y79" s="563"/>
    </row>
    <row r="80" spans="1:25" x14ac:dyDescent="0.25">
      <c r="A80" s="785">
        <f t="shared" si="35"/>
        <v>54</v>
      </c>
      <c r="C80" s="769" t="str">
        <f t="shared" si="45"/>
        <v>May</v>
      </c>
      <c r="D80" s="770"/>
      <c r="E80" s="797"/>
      <c r="F80" s="797"/>
      <c r="G80" s="789">
        <f t="shared" si="46"/>
        <v>0</v>
      </c>
      <c r="H80" s="727">
        <f t="shared" si="47"/>
        <v>0</v>
      </c>
      <c r="I80" s="789">
        <f t="shared" si="51"/>
        <v>0</v>
      </c>
      <c r="J80" s="789">
        <f t="shared" si="48"/>
        <v>0</v>
      </c>
      <c r="K80" s="727">
        <f t="shared" si="53"/>
        <v>0</v>
      </c>
      <c r="L80" s="727" t="e">
        <f t="shared" si="52"/>
        <v>#DIV/0!</v>
      </c>
      <c r="M80" s="727" t="e">
        <f t="shared" si="54"/>
        <v>#DIV/0!</v>
      </c>
      <c r="N80" s="727" t="e">
        <f t="shared" si="49"/>
        <v>#DIV/0!</v>
      </c>
      <c r="O80" s="835"/>
      <c r="P80" s="727">
        <f t="shared" si="50"/>
        <v>0</v>
      </c>
      <c r="Q80" s="795"/>
      <c r="R80" s="791"/>
      <c r="S80" s="795"/>
      <c r="T80" s="795"/>
      <c r="U80" s="791"/>
      <c r="V80" s="563"/>
      <c r="W80" s="795"/>
      <c r="X80" s="791"/>
      <c r="Y80" s="563"/>
    </row>
    <row r="81" spans="1:25" x14ac:dyDescent="0.25">
      <c r="A81" s="785">
        <f t="shared" si="35"/>
        <v>55</v>
      </c>
      <c r="C81" s="769" t="str">
        <f t="shared" si="45"/>
        <v xml:space="preserve">June </v>
      </c>
      <c r="D81" s="770"/>
      <c r="E81" s="797"/>
      <c r="F81" s="797"/>
      <c r="G81" s="789">
        <f t="shared" si="46"/>
        <v>0</v>
      </c>
      <c r="H81" s="727">
        <f t="shared" si="47"/>
        <v>0</v>
      </c>
      <c r="I81" s="789">
        <f t="shared" si="51"/>
        <v>0</v>
      </c>
      <c r="J81" s="789">
        <f t="shared" si="48"/>
        <v>0</v>
      </c>
      <c r="K81" s="727">
        <f t="shared" si="53"/>
        <v>0</v>
      </c>
      <c r="L81" s="727" t="e">
        <f t="shared" si="52"/>
        <v>#DIV/0!</v>
      </c>
      <c r="M81" s="727" t="e">
        <f t="shared" si="54"/>
        <v>#DIV/0!</v>
      </c>
      <c r="N81" s="727" t="e">
        <f t="shared" si="49"/>
        <v>#DIV/0!</v>
      </c>
      <c r="O81" s="835"/>
      <c r="P81" s="727">
        <f t="shared" si="50"/>
        <v>0</v>
      </c>
      <c r="Q81" s="795"/>
      <c r="R81" s="791"/>
      <c r="S81" s="795"/>
      <c r="T81" s="795"/>
      <c r="U81" s="791"/>
      <c r="V81" s="563"/>
      <c r="W81" s="795"/>
      <c r="X81" s="791"/>
      <c r="Y81" s="563"/>
    </row>
    <row r="82" spans="1:25" x14ac:dyDescent="0.25">
      <c r="A82" s="785">
        <f t="shared" si="35"/>
        <v>56</v>
      </c>
      <c r="C82" s="769" t="str">
        <f t="shared" si="45"/>
        <v>July</v>
      </c>
      <c r="D82" s="770"/>
      <c r="E82" s="797"/>
      <c r="F82" s="797"/>
      <c r="G82" s="789">
        <f t="shared" si="46"/>
        <v>0</v>
      </c>
      <c r="H82" s="727">
        <f t="shared" si="47"/>
        <v>0</v>
      </c>
      <c r="I82" s="789">
        <f t="shared" si="51"/>
        <v>0</v>
      </c>
      <c r="J82" s="789">
        <f t="shared" si="48"/>
        <v>0</v>
      </c>
      <c r="K82" s="727">
        <f t="shared" si="53"/>
        <v>0</v>
      </c>
      <c r="L82" s="727" t="e">
        <f t="shared" si="52"/>
        <v>#DIV/0!</v>
      </c>
      <c r="M82" s="727" t="e">
        <f t="shared" si="54"/>
        <v>#DIV/0!</v>
      </c>
      <c r="N82" s="727" t="e">
        <f t="shared" si="49"/>
        <v>#DIV/0!</v>
      </c>
      <c r="O82" s="835"/>
      <c r="P82" s="727">
        <f t="shared" si="50"/>
        <v>0</v>
      </c>
      <c r="Q82" s="795"/>
      <c r="R82" s="791"/>
      <c r="S82" s="795"/>
      <c r="T82" s="795"/>
      <c r="U82" s="791"/>
      <c r="V82" s="563"/>
      <c r="W82" s="795"/>
      <c r="X82" s="791"/>
      <c r="Y82" s="563"/>
    </row>
    <row r="83" spans="1:25" x14ac:dyDescent="0.25">
      <c r="A83" s="785">
        <f t="shared" si="35"/>
        <v>57</v>
      </c>
      <c r="C83" s="769" t="str">
        <f t="shared" si="45"/>
        <v>August</v>
      </c>
      <c r="D83" s="770"/>
      <c r="E83" s="797"/>
      <c r="F83" s="797"/>
      <c r="G83" s="789">
        <f t="shared" si="46"/>
        <v>0</v>
      </c>
      <c r="H83" s="727">
        <f t="shared" si="47"/>
        <v>0</v>
      </c>
      <c r="I83" s="789">
        <f t="shared" si="51"/>
        <v>0</v>
      </c>
      <c r="J83" s="789">
        <f t="shared" si="48"/>
        <v>0</v>
      </c>
      <c r="K83" s="727">
        <f t="shared" si="53"/>
        <v>0</v>
      </c>
      <c r="L83" s="727" t="e">
        <f t="shared" si="52"/>
        <v>#DIV/0!</v>
      </c>
      <c r="M83" s="727" t="e">
        <f t="shared" si="54"/>
        <v>#DIV/0!</v>
      </c>
      <c r="N83" s="727" t="e">
        <f t="shared" si="49"/>
        <v>#DIV/0!</v>
      </c>
      <c r="O83" s="835"/>
      <c r="P83" s="727">
        <f t="shared" si="50"/>
        <v>0</v>
      </c>
      <c r="Q83" s="795"/>
      <c r="R83" s="791"/>
      <c r="S83" s="795"/>
      <c r="T83" s="795"/>
      <c r="U83" s="791"/>
      <c r="V83" s="563"/>
      <c r="W83" s="795"/>
      <c r="X83" s="791"/>
      <c r="Y83" s="563"/>
    </row>
    <row r="84" spans="1:25" x14ac:dyDescent="0.25">
      <c r="A84" s="785">
        <f t="shared" si="35"/>
        <v>58</v>
      </c>
      <c r="C84" s="769" t="str">
        <f t="shared" si="45"/>
        <v>September</v>
      </c>
      <c r="D84" s="770"/>
      <c r="E84" s="797"/>
      <c r="F84" s="797"/>
      <c r="G84" s="789">
        <f t="shared" si="46"/>
        <v>0</v>
      </c>
      <c r="H84" s="727">
        <f t="shared" si="47"/>
        <v>0</v>
      </c>
      <c r="I84" s="789">
        <f t="shared" si="51"/>
        <v>0</v>
      </c>
      <c r="J84" s="789">
        <f t="shared" si="48"/>
        <v>0</v>
      </c>
      <c r="K84" s="727">
        <f t="shared" si="53"/>
        <v>0</v>
      </c>
      <c r="L84" s="727" t="e">
        <f t="shared" si="52"/>
        <v>#DIV/0!</v>
      </c>
      <c r="M84" s="727" t="e">
        <f t="shared" si="54"/>
        <v>#DIV/0!</v>
      </c>
      <c r="N84" s="727" t="e">
        <f t="shared" si="49"/>
        <v>#DIV/0!</v>
      </c>
      <c r="O84" s="835"/>
      <c r="P84" s="727">
        <f t="shared" si="50"/>
        <v>0</v>
      </c>
      <c r="Q84" s="795"/>
      <c r="R84" s="791"/>
      <c r="S84" s="795"/>
      <c r="T84" s="795"/>
      <c r="U84" s="791"/>
      <c r="V84" s="563"/>
      <c r="W84" s="795"/>
      <c r="X84" s="791"/>
      <c r="Y84" s="563"/>
    </row>
    <row r="85" spans="1:25" x14ac:dyDescent="0.25">
      <c r="A85" s="785">
        <f t="shared" si="35"/>
        <v>59</v>
      </c>
      <c r="C85" s="769" t="str">
        <f t="shared" si="45"/>
        <v xml:space="preserve">October </v>
      </c>
      <c r="D85" s="770"/>
      <c r="E85" s="797"/>
      <c r="F85" s="797"/>
      <c r="G85" s="789">
        <f t="shared" si="46"/>
        <v>0</v>
      </c>
      <c r="H85" s="727">
        <f t="shared" si="47"/>
        <v>0</v>
      </c>
      <c r="I85" s="789">
        <f t="shared" si="51"/>
        <v>0</v>
      </c>
      <c r="J85" s="789">
        <f t="shared" si="48"/>
        <v>0</v>
      </c>
      <c r="K85" s="727">
        <f t="shared" si="53"/>
        <v>0</v>
      </c>
      <c r="L85" s="727" t="e">
        <f t="shared" si="52"/>
        <v>#DIV/0!</v>
      </c>
      <c r="M85" s="727" t="e">
        <f t="shared" si="54"/>
        <v>#DIV/0!</v>
      </c>
      <c r="N85" s="727" t="e">
        <f t="shared" si="49"/>
        <v>#DIV/0!</v>
      </c>
      <c r="O85" s="835"/>
      <c r="P85" s="727">
        <f t="shared" si="50"/>
        <v>0</v>
      </c>
      <c r="Q85" s="795"/>
      <c r="R85" s="791"/>
      <c r="S85" s="795"/>
      <c r="T85" s="795"/>
      <c r="U85" s="791"/>
      <c r="V85" s="563"/>
      <c r="W85" s="795"/>
      <c r="X85" s="791"/>
      <c r="Y85" s="563"/>
    </row>
    <row r="86" spans="1:25" x14ac:dyDescent="0.25">
      <c r="A86" s="785">
        <f t="shared" si="35"/>
        <v>60</v>
      </c>
      <c r="C86" s="769" t="str">
        <f t="shared" si="45"/>
        <v>November</v>
      </c>
      <c r="D86" s="770"/>
      <c r="E86" s="797"/>
      <c r="F86" s="797"/>
      <c r="G86" s="789">
        <f t="shared" si="46"/>
        <v>0</v>
      </c>
      <c r="H86" s="727">
        <f t="shared" si="47"/>
        <v>0</v>
      </c>
      <c r="I86" s="789">
        <f t="shared" si="51"/>
        <v>0</v>
      </c>
      <c r="J86" s="789">
        <f t="shared" si="48"/>
        <v>0</v>
      </c>
      <c r="K86" s="727">
        <f t="shared" si="53"/>
        <v>0</v>
      </c>
      <c r="L86" s="727" t="e">
        <f t="shared" si="52"/>
        <v>#DIV/0!</v>
      </c>
      <c r="M86" s="727" t="e">
        <f t="shared" si="54"/>
        <v>#DIV/0!</v>
      </c>
      <c r="N86" s="727" t="e">
        <f t="shared" si="49"/>
        <v>#DIV/0!</v>
      </c>
      <c r="O86" s="835"/>
      <c r="P86" s="727">
        <f t="shared" si="50"/>
        <v>0</v>
      </c>
      <c r="Q86" s="795"/>
      <c r="R86" s="791"/>
      <c r="S86" s="795"/>
      <c r="T86" s="795"/>
      <c r="U86" s="791"/>
      <c r="V86" s="563"/>
      <c r="W86" s="795"/>
      <c r="X86" s="791"/>
      <c r="Y86" s="563"/>
    </row>
    <row r="87" spans="1:25" x14ac:dyDescent="0.25">
      <c r="A87" s="785">
        <f t="shared" si="35"/>
        <v>61</v>
      </c>
      <c r="C87" s="769" t="str">
        <f t="shared" si="45"/>
        <v>December</v>
      </c>
      <c r="D87" s="770"/>
      <c r="E87" s="797"/>
      <c r="F87" s="797"/>
      <c r="G87" s="789">
        <f t="shared" si="46"/>
        <v>0</v>
      </c>
      <c r="H87" s="727">
        <f t="shared" si="47"/>
        <v>0</v>
      </c>
      <c r="I87" s="789">
        <f t="shared" si="51"/>
        <v>0</v>
      </c>
      <c r="J87" s="789">
        <f t="shared" si="48"/>
        <v>0</v>
      </c>
      <c r="K87" s="727">
        <f t="shared" si="53"/>
        <v>0</v>
      </c>
      <c r="L87" s="727" t="e">
        <f t="shared" si="52"/>
        <v>#DIV/0!</v>
      </c>
      <c r="M87" s="727" t="e">
        <f t="shared" si="54"/>
        <v>#DIV/0!</v>
      </c>
      <c r="N87" s="727" t="e">
        <f t="shared" si="49"/>
        <v>#DIV/0!</v>
      </c>
      <c r="O87" s="835"/>
      <c r="P87" s="727">
        <f t="shared" si="50"/>
        <v>0</v>
      </c>
      <c r="Q87" s="795"/>
      <c r="R87" s="791"/>
      <c r="S87" s="795"/>
      <c r="T87" s="795"/>
      <c r="U87" s="791"/>
      <c r="V87" s="563"/>
      <c r="W87" s="795"/>
      <c r="X87" s="791"/>
      <c r="Y87" s="563"/>
    </row>
    <row r="88" spans="1:25" x14ac:dyDescent="0.25">
      <c r="A88" s="785">
        <f t="shared" si="35"/>
        <v>62</v>
      </c>
      <c r="C88" s="769" t="str">
        <f t="shared" si="45"/>
        <v>January</v>
      </c>
      <c r="D88" s="770"/>
      <c r="E88" s="797"/>
      <c r="F88" s="797"/>
      <c r="G88" s="789">
        <f t="shared" si="46"/>
        <v>0</v>
      </c>
      <c r="H88" s="727">
        <f t="shared" si="47"/>
        <v>0</v>
      </c>
      <c r="I88" s="789">
        <f t="shared" si="51"/>
        <v>0</v>
      </c>
      <c r="J88" s="789">
        <f t="shared" si="48"/>
        <v>0</v>
      </c>
      <c r="K88" s="727">
        <f t="shared" si="53"/>
        <v>0</v>
      </c>
      <c r="L88" s="727" t="e">
        <f t="shared" si="52"/>
        <v>#DIV/0!</v>
      </c>
      <c r="M88" s="727" t="e">
        <f t="shared" si="54"/>
        <v>#DIV/0!</v>
      </c>
      <c r="N88" s="727" t="e">
        <f t="shared" si="49"/>
        <v>#DIV/0!</v>
      </c>
      <c r="O88" s="835"/>
      <c r="P88" s="727">
        <f t="shared" si="50"/>
        <v>0</v>
      </c>
      <c r="Q88" s="795"/>
      <c r="R88" s="791"/>
      <c r="S88" s="795"/>
      <c r="T88" s="795"/>
      <c r="U88" s="791"/>
      <c r="V88" s="563"/>
      <c r="W88" s="795"/>
      <c r="X88" s="791"/>
      <c r="Y88" s="563"/>
    </row>
    <row r="89" spans="1:25" x14ac:dyDescent="0.25">
      <c r="A89" s="785">
        <f t="shared" si="35"/>
        <v>63</v>
      </c>
      <c r="C89" s="769" t="str">
        <f t="shared" si="45"/>
        <v>February</v>
      </c>
      <c r="D89" s="770"/>
      <c r="E89" s="797"/>
      <c r="F89" s="797"/>
      <c r="G89" s="789">
        <f t="shared" si="46"/>
        <v>0</v>
      </c>
      <c r="H89" s="727">
        <f t="shared" si="47"/>
        <v>0</v>
      </c>
      <c r="I89" s="789">
        <f t="shared" si="51"/>
        <v>0</v>
      </c>
      <c r="J89" s="789">
        <f t="shared" si="48"/>
        <v>0</v>
      </c>
      <c r="K89" s="727">
        <f t="shared" si="53"/>
        <v>0</v>
      </c>
      <c r="L89" s="727" t="e">
        <f t="shared" si="52"/>
        <v>#DIV/0!</v>
      </c>
      <c r="M89" s="727" t="e">
        <f t="shared" si="54"/>
        <v>#DIV/0!</v>
      </c>
      <c r="N89" s="727" t="e">
        <f t="shared" si="49"/>
        <v>#DIV/0!</v>
      </c>
      <c r="O89" s="835"/>
      <c r="P89" s="727">
        <f t="shared" si="50"/>
        <v>0</v>
      </c>
      <c r="Q89" s="795"/>
      <c r="R89" s="791"/>
      <c r="S89" s="795"/>
      <c r="T89" s="795"/>
      <c r="U89" s="791"/>
      <c r="V89" s="563"/>
      <c r="W89" s="795"/>
      <c r="X89" s="791"/>
      <c r="Y89" s="563"/>
    </row>
    <row r="90" spans="1:25" x14ac:dyDescent="0.25">
      <c r="A90" s="785">
        <f t="shared" si="35"/>
        <v>64</v>
      </c>
      <c r="C90" s="769" t="str">
        <f t="shared" si="45"/>
        <v>March</v>
      </c>
      <c r="D90" s="770"/>
      <c r="E90" s="797"/>
      <c r="F90" s="797"/>
      <c r="G90" s="789">
        <f t="shared" si="46"/>
        <v>0</v>
      </c>
      <c r="H90" s="727">
        <f t="shared" si="47"/>
        <v>0</v>
      </c>
      <c r="I90" s="789">
        <f t="shared" si="51"/>
        <v>0</v>
      </c>
      <c r="J90" s="789">
        <f t="shared" si="48"/>
        <v>0</v>
      </c>
      <c r="K90" s="727">
        <f t="shared" si="53"/>
        <v>0</v>
      </c>
      <c r="L90" s="727" t="e">
        <f t="shared" si="52"/>
        <v>#DIV/0!</v>
      </c>
      <c r="M90" s="727" t="e">
        <f t="shared" si="54"/>
        <v>#DIV/0!</v>
      </c>
      <c r="N90" s="727" t="e">
        <f t="shared" si="49"/>
        <v>#DIV/0!</v>
      </c>
      <c r="O90" s="835"/>
      <c r="P90" s="727">
        <f t="shared" si="50"/>
        <v>0</v>
      </c>
      <c r="Q90" s="795"/>
      <c r="R90" s="791"/>
      <c r="S90" s="795"/>
      <c r="T90" s="795"/>
      <c r="U90" s="791"/>
      <c r="V90" s="563"/>
      <c r="W90" s="795"/>
      <c r="X90" s="791"/>
      <c r="Y90" s="563"/>
    </row>
    <row r="91" spans="1:25" x14ac:dyDescent="0.25">
      <c r="A91" s="785">
        <f t="shared" si="35"/>
        <v>65</v>
      </c>
      <c r="C91" s="769" t="str">
        <f t="shared" si="45"/>
        <v>April</v>
      </c>
      <c r="D91" s="770"/>
      <c r="E91" s="797"/>
      <c r="F91" s="797"/>
      <c r="G91" s="789">
        <f t="shared" si="46"/>
        <v>0</v>
      </c>
      <c r="H91" s="727">
        <f t="shared" si="47"/>
        <v>0</v>
      </c>
      <c r="I91" s="789">
        <f t="shared" si="51"/>
        <v>0</v>
      </c>
      <c r="J91" s="789">
        <f t="shared" si="48"/>
        <v>0</v>
      </c>
      <c r="K91" s="727">
        <f t="shared" si="53"/>
        <v>0</v>
      </c>
      <c r="L91" s="727" t="e">
        <f t="shared" si="52"/>
        <v>#DIV/0!</v>
      </c>
      <c r="M91" s="727" t="e">
        <f t="shared" si="54"/>
        <v>#DIV/0!</v>
      </c>
      <c r="N91" s="727" t="e">
        <f t="shared" si="49"/>
        <v>#DIV/0!</v>
      </c>
      <c r="O91" s="835"/>
      <c r="P91" s="727">
        <f t="shared" si="50"/>
        <v>0</v>
      </c>
      <c r="Q91" s="795"/>
      <c r="R91" s="791"/>
      <c r="S91" s="795"/>
      <c r="T91" s="795"/>
      <c r="U91" s="791"/>
      <c r="V91" s="563"/>
      <c r="W91" s="795"/>
      <c r="X91" s="791"/>
      <c r="Y91" s="563"/>
    </row>
    <row r="92" spans="1:25" x14ac:dyDescent="0.25">
      <c r="A92" s="785">
        <f t="shared" si="35"/>
        <v>66</v>
      </c>
      <c r="C92" s="769" t="str">
        <f t="shared" si="45"/>
        <v>May</v>
      </c>
      <c r="D92" s="770"/>
      <c r="E92" s="797"/>
      <c r="F92" s="797"/>
      <c r="G92" s="789">
        <f t="shared" si="46"/>
        <v>0</v>
      </c>
      <c r="H92" s="727">
        <f t="shared" si="47"/>
        <v>0</v>
      </c>
      <c r="I92" s="789">
        <f t="shared" si="51"/>
        <v>0</v>
      </c>
      <c r="J92" s="789">
        <f t="shared" si="48"/>
        <v>0</v>
      </c>
      <c r="K92" s="727">
        <f t="shared" si="53"/>
        <v>0</v>
      </c>
      <c r="L92" s="727" t="e">
        <f t="shared" si="52"/>
        <v>#DIV/0!</v>
      </c>
      <c r="M92" s="727" t="e">
        <f t="shared" si="54"/>
        <v>#DIV/0!</v>
      </c>
      <c r="N92" s="727" t="e">
        <f t="shared" si="49"/>
        <v>#DIV/0!</v>
      </c>
      <c r="O92" s="835"/>
      <c r="P92" s="727">
        <f t="shared" si="50"/>
        <v>0</v>
      </c>
      <c r="Q92" s="795"/>
      <c r="R92" s="791"/>
      <c r="S92" s="795"/>
      <c r="T92" s="795"/>
      <c r="U92" s="791"/>
      <c r="V92" s="563"/>
      <c r="W92" s="795"/>
      <c r="X92" s="791"/>
      <c r="Y92" s="563"/>
    </row>
    <row r="93" spans="1:25" x14ac:dyDescent="0.25">
      <c r="A93" s="785">
        <f t="shared" si="35"/>
        <v>67</v>
      </c>
      <c r="C93" s="769" t="str">
        <f t="shared" si="45"/>
        <v xml:space="preserve">June </v>
      </c>
      <c r="D93" s="770"/>
      <c r="E93" s="797"/>
      <c r="F93" s="797"/>
      <c r="G93" s="789">
        <f t="shared" si="46"/>
        <v>0</v>
      </c>
      <c r="H93" s="727">
        <f t="shared" si="47"/>
        <v>0</v>
      </c>
      <c r="I93" s="789">
        <f t="shared" si="51"/>
        <v>0</v>
      </c>
      <c r="J93" s="789">
        <f t="shared" si="48"/>
        <v>0</v>
      </c>
      <c r="K93" s="727">
        <f t="shared" si="53"/>
        <v>0</v>
      </c>
      <c r="L93" s="727" t="e">
        <f t="shared" si="52"/>
        <v>#DIV/0!</v>
      </c>
      <c r="M93" s="727" t="e">
        <f t="shared" si="54"/>
        <v>#DIV/0!</v>
      </c>
      <c r="N93" s="727" t="e">
        <f t="shared" si="49"/>
        <v>#DIV/0!</v>
      </c>
      <c r="O93" s="835"/>
      <c r="P93" s="727">
        <f t="shared" si="50"/>
        <v>0</v>
      </c>
      <c r="Q93" s="795"/>
      <c r="R93" s="791"/>
      <c r="S93" s="795"/>
      <c r="T93" s="795"/>
      <c r="U93" s="791"/>
      <c r="V93" s="563"/>
      <c r="W93" s="795"/>
      <c r="X93" s="791"/>
      <c r="Y93" s="563"/>
    </row>
    <row r="94" spans="1:25" x14ac:dyDescent="0.25">
      <c r="A94" s="785">
        <f t="shared" si="35"/>
        <v>68</v>
      </c>
      <c r="C94" s="769" t="str">
        <f t="shared" si="45"/>
        <v>July</v>
      </c>
      <c r="D94" s="770"/>
      <c r="E94" s="797"/>
      <c r="F94" s="797"/>
      <c r="G94" s="789">
        <f t="shared" si="46"/>
        <v>0</v>
      </c>
      <c r="H94" s="727">
        <f t="shared" si="47"/>
        <v>0</v>
      </c>
      <c r="I94" s="789">
        <f t="shared" si="51"/>
        <v>0</v>
      </c>
      <c r="J94" s="789">
        <f t="shared" si="48"/>
        <v>0</v>
      </c>
      <c r="K94" s="727">
        <f t="shared" si="53"/>
        <v>0</v>
      </c>
      <c r="L94" s="727" t="e">
        <f t="shared" si="52"/>
        <v>#DIV/0!</v>
      </c>
      <c r="M94" s="727" t="e">
        <f t="shared" si="54"/>
        <v>#DIV/0!</v>
      </c>
      <c r="N94" s="727" t="e">
        <f t="shared" si="49"/>
        <v>#DIV/0!</v>
      </c>
      <c r="O94" s="835"/>
      <c r="P94" s="727">
        <f t="shared" si="50"/>
        <v>0</v>
      </c>
      <c r="Q94" s="795"/>
      <c r="R94" s="791"/>
      <c r="S94" s="795"/>
      <c r="T94" s="795"/>
      <c r="U94" s="791"/>
      <c r="V94" s="563"/>
      <c r="W94" s="795"/>
      <c r="X94" s="791"/>
      <c r="Y94" s="563"/>
    </row>
    <row r="95" spans="1:25" x14ac:dyDescent="0.25">
      <c r="A95" s="785">
        <f t="shared" si="35"/>
        <v>69</v>
      </c>
      <c r="C95" s="769" t="str">
        <f t="shared" si="45"/>
        <v>August</v>
      </c>
      <c r="D95" s="770"/>
      <c r="E95" s="797"/>
      <c r="F95" s="797"/>
      <c r="G95" s="789">
        <f t="shared" si="46"/>
        <v>0</v>
      </c>
      <c r="H95" s="727">
        <f t="shared" si="47"/>
        <v>0</v>
      </c>
      <c r="I95" s="789">
        <f t="shared" si="51"/>
        <v>0</v>
      </c>
      <c r="J95" s="789">
        <f t="shared" si="48"/>
        <v>0</v>
      </c>
      <c r="K95" s="727">
        <f t="shared" si="53"/>
        <v>0</v>
      </c>
      <c r="L95" s="727" t="e">
        <f t="shared" si="52"/>
        <v>#DIV/0!</v>
      </c>
      <c r="M95" s="727" t="e">
        <f t="shared" si="54"/>
        <v>#DIV/0!</v>
      </c>
      <c r="N95" s="727" t="e">
        <f t="shared" si="49"/>
        <v>#DIV/0!</v>
      </c>
      <c r="O95" s="835"/>
      <c r="P95" s="727">
        <f t="shared" si="50"/>
        <v>0</v>
      </c>
      <c r="Q95" s="795"/>
      <c r="R95" s="791"/>
      <c r="S95" s="795"/>
      <c r="T95" s="795"/>
      <c r="U95" s="791"/>
      <c r="V95" s="563"/>
      <c r="W95" s="795"/>
      <c r="X95" s="791"/>
      <c r="Y95" s="563"/>
    </row>
    <row r="96" spans="1:25" x14ac:dyDescent="0.25">
      <c r="A96" s="785">
        <f t="shared" si="35"/>
        <v>70</v>
      </c>
      <c r="C96" s="769" t="str">
        <f t="shared" si="45"/>
        <v>September</v>
      </c>
      <c r="D96" s="770"/>
      <c r="E96" s="797"/>
      <c r="F96" s="797"/>
      <c r="G96" s="789">
        <f t="shared" si="46"/>
        <v>0</v>
      </c>
      <c r="H96" s="727">
        <f t="shared" si="47"/>
        <v>0</v>
      </c>
      <c r="I96" s="789">
        <f t="shared" si="51"/>
        <v>0</v>
      </c>
      <c r="J96" s="789">
        <f t="shared" si="48"/>
        <v>0</v>
      </c>
      <c r="K96" s="727">
        <f t="shared" si="53"/>
        <v>0</v>
      </c>
      <c r="L96" s="727" t="e">
        <f t="shared" si="52"/>
        <v>#DIV/0!</v>
      </c>
      <c r="M96" s="727" t="e">
        <f t="shared" si="54"/>
        <v>#DIV/0!</v>
      </c>
      <c r="N96" s="727" t="e">
        <f t="shared" si="49"/>
        <v>#DIV/0!</v>
      </c>
      <c r="O96" s="835"/>
      <c r="P96" s="727">
        <f t="shared" si="50"/>
        <v>0</v>
      </c>
      <c r="Q96" s="795"/>
      <c r="R96" s="791"/>
      <c r="S96" s="795"/>
      <c r="T96" s="795"/>
      <c r="U96" s="791"/>
      <c r="V96" s="563"/>
      <c r="W96" s="795"/>
      <c r="X96" s="791"/>
      <c r="Y96" s="563"/>
    </row>
    <row r="97" spans="1:25" x14ac:dyDescent="0.25">
      <c r="A97" s="786">
        <f t="shared" si="35"/>
        <v>71</v>
      </c>
      <c r="C97" s="769" t="str">
        <f t="shared" ref="C97:C99" si="55">C66</f>
        <v>October</v>
      </c>
      <c r="D97" s="770"/>
      <c r="E97" s="797"/>
      <c r="F97" s="797"/>
      <c r="G97" s="789">
        <f t="shared" ref="G97:G99" si="56">(E97-F97)*$E$103</f>
        <v>0</v>
      </c>
      <c r="H97" s="727">
        <f t="shared" ref="H97:H99" si="57">(E97-F97+G97)*$E$107</f>
        <v>0</v>
      </c>
      <c r="I97" s="789">
        <f t="shared" ref="I97:I99" si="58">E97-F97+G97-H97</f>
        <v>0</v>
      </c>
      <c r="J97" s="789">
        <f t="shared" ref="J97:J99" si="59">I97*$E$111</f>
        <v>0</v>
      </c>
      <c r="K97" s="727">
        <f t="shared" ref="K97:K99" si="60">K96+J97+I97+F97</f>
        <v>0</v>
      </c>
      <c r="L97" s="727" t="e">
        <f t="shared" ref="L97:L99" si="61">K96*$E$133/12</f>
        <v>#DIV/0!</v>
      </c>
      <c r="M97" s="727" t="e">
        <f t="shared" ref="M97:M99" si="62">M96+L97</f>
        <v>#DIV/0!</v>
      </c>
      <c r="N97" s="727" t="e">
        <f t="shared" ref="N97:N99" si="63">K97-M97</f>
        <v>#DIV/0!</v>
      </c>
      <c r="O97" s="835"/>
      <c r="P97" s="727">
        <f t="shared" ref="P97:P99" si="64">O97*(1-$E$107)*(1+$E$103+$E$111)</f>
        <v>0</v>
      </c>
      <c r="Q97" s="795"/>
      <c r="R97" s="791"/>
      <c r="S97" s="795"/>
      <c r="T97" s="795"/>
      <c r="U97" s="791"/>
      <c r="V97" s="563"/>
      <c r="W97" s="795"/>
      <c r="X97" s="791"/>
      <c r="Y97" s="563"/>
    </row>
    <row r="98" spans="1:25" x14ac:dyDescent="0.25">
      <c r="A98" s="786">
        <f t="shared" si="35"/>
        <v>72</v>
      </c>
      <c r="C98" s="769" t="str">
        <f t="shared" si="55"/>
        <v>November</v>
      </c>
      <c r="D98" s="770"/>
      <c r="E98" s="797"/>
      <c r="F98" s="797"/>
      <c r="G98" s="789">
        <f t="shared" si="56"/>
        <v>0</v>
      </c>
      <c r="H98" s="727">
        <f t="shared" si="57"/>
        <v>0</v>
      </c>
      <c r="I98" s="789">
        <f t="shared" si="58"/>
        <v>0</v>
      </c>
      <c r="J98" s="789">
        <f t="shared" si="59"/>
        <v>0</v>
      </c>
      <c r="K98" s="727">
        <f t="shared" si="60"/>
        <v>0</v>
      </c>
      <c r="L98" s="727" t="e">
        <f t="shared" si="61"/>
        <v>#DIV/0!</v>
      </c>
      <c r="M98" s="727" t="e">
        <f t="shared" si="62"/>
        <v>#DIV/0!</v>
      </c>
      <c r="N98" s="727" t="e">
        <f t="shared" si="63"/>
        <v>#DIV/0!</v>
      </c>
      <c r="O98" s="835"/>
      <c r="P98" s="727">
        <f t="shared" si="64"/>
        <v>0</v>
      </c>
      <c r="Q98" s="795"/>
      <c r="R98" s="791"/>
      <c r="S98" s="795"/>
      <c r="T98" s="795"/>
      <c r="U98" s="791"/>
      <c r="V98" s="563"/>
      <c r="W98" s="795"/>
      <c r="X98" s="791"/>
      <c r="Y98" s="563"/>
    </row>
    <row r="99" spans="1:25" x14ac:dyDescent="0.25">
      <c r="A99" s="786">
        <f t="shared" si="35"/>
        <v>73</v>
      </c>
      <c r="C99" s="769" t="str">
        <f t="shared" si="55"/>
        <v>December</v>
      </c>
      <c r="D99" s="770"/>
      <c r="E99" s="797"/>
      <c r="F99" s="797"/>
      <c r="G99" s="789">
        <f t="shared" si="56"/>
        <v>0</v>
      </c>
      <c r="H99" s="727">
        <f t="shared" si="57"/>
        <v>0</v>
      </c>
      <c r="I99" s="789">
        <f t="shared" si="58"/>
        <v>0</v>
      </c>
      <c r="J99" s="789">
        <f t="shared" si="59"/>
        <v>0</v>
      </c>
      <c r="K99" s="727">
        <f t="shared" si="60"/>
        <v>0</v>
      </c>
      <c r="L99" s="727" t="e">
        <f t="shared" si="61"/>
        <v>#DIV/0!</v>
      </c>
      <c r="M99" s="727" t="e">
        <f t="shared" si="62"/>
        <v>#DIV/0!</v>
      </c>
      <c r="N99" s="727" t="e">
        <f t="shared" si="63"/>
        <v>#DIV/0!</v>
      </c>
      <c r="O99" s="835"/>
      <c r="P99" s="727">
        <f t="shared" si="64"/>
        <v>0</v>
      </c>
      <c r="Q99" s="795"/>
      <c r="R99" s="791"/>
      <c r="S99" s="795"/>
      <c r="T99" s="795"/>
      <c r="U99" s="791"/>
      <c r="V99" s="563"/>
      <c r="W99" s="795"/>
      <c r="X99" s="791"/>
      <c r="Y99" s="563"/>
    </row>
    <row r="100" spans="1:25" x14ac:dyDescent="0.25">
      <c r="A100" s="785"/>
      <c r="O100" s="791"/>
    </row>
    <row r="101" spans="1:25" x14ac:dyDescent="0.25">
      <c r="A101" s="785"/>
      <c r="B101" s="729" t="s">
        <v>2338</v>
      </c>
      <c r="G101" s="730"/>
    </row>
    <row r="102" spans="1:25" x14ac:dyDescent="0.25">
      <c r="A102" s="787" t="s">
        <v>360</v>
      </c>
      <c r="B102" s="730"/>
      <c r="F102" s="838"/>
    </row>
    <row r="103" spans="1:25" x14ac:dyDescent="0.25">
      <c r="A103" s="785">
        <f>A99+1</f>
        <v>74</v>
      </c>
      <c r="C103" s="798" t="s">
        <v>2330</v>
      </c>
      <c r="E103" s="799">
        <v>7.4999999999999997E-2</v>
      </c>
    </row>
    <row r="105" spans="1:25" x14ac:dyDescent="0.25">
      <c r="A105" s="785"/>
      <c r="B105" s="729" t="s">
        <v>2340</v>
      </c>
    </row>
    <row r="106" spans="1:25" x14ac:dyDescent="0.25">
      <c r="A106" s="787" t="s">
        <v>360</v>
      </c>
      <c r="F106" s="838"/>
    </row>
    <row r="107" spans="1:25" x14ac:dyDescent="0.25">
      <c r="A107" s="785">
        <f>A103+1</f>
        <v>75</v>
      </c>
      <c r="B107" s="729"/>
      <c r="C107" s="726" t="s">
        <v>2331</v>
      </c>
      <c r="E107" s="799">
        <v>0.08</v>
      </c>
    </row>
    <row r="108" spans="1:25" x14ac:dyDescent="0.25">
      <c r="A108" s="785"/>
      <c r="B108" s="730"/>
      <c r="C108" s="726"/>
    </row>
    <row r="109" spans="1:25" x14ac:dyDescent="0.25">
      <c r="B109" s="729" t="s">
        <v>2341</v>
      </c>
    </row>
    <row r="110" spans="1:25" x14ac:dyDescent="0.25">
      <c r="A110" s="787" t="s">
        <v>360</v>
      </c>
      <c r="B110" s="730"/>
      <c r="F110" s="838"/>
    </row>
    <row r="111" spans="1:25" x14ac:dyDescent="0.25">
      <c r="A111" s="785">
        <f>A107+1</f>
        <v>76</v>
      </c>
      <c r="C111" s="726" t="s">
        <v>2332</v>
      </c>
      <c r="E111" s="799">
        <v>0.03</v>
      </c>
    </row>
    <row r="113" spans="1:9" x14ac:dyDescent="0.25">
      <c r="B113" s="729" t="s">
        <v>2339</v>
      </c>
    </row>
    <row r="114" spans="1:9" s="781" customFormat="1" x14ac:dyDescent="0.25">
      <c r="C114" s="793" t="s">
        <v>2389</v>
      </c>
      <c r="F114" s="800"/>
    </row>
    <row r="115" spans="1:9" s="785" customFormat="1" x14ac:dyDescent="0.25">
      <c r="B115" s="781" t="s">
        <v>394</v>
      </c>
      <c r="C115" s="781" t="s">
        <v>378</v>
      </c>
      <c r="D115" s="781" t="s">
        <v>379</v>
      </c>
      <c r="E115" s="781" t="s">
        <v>380</v>
      </c>
      <c r="F115" s="781"/>
    </row>
    <row r="116" spans="1:9" s="781" customFormat="1" x14ac:dyDescent="0.25">
      <c r="C116" s="785" t="s">
        <v>199</v>
      </c>
      <c r="D116" s="788"/>
      <c r="E116" s="1192" t="s">
        <v>2333</v>
      </c>
      <c r="F116" s="788"/>
    </row>
    <row r="117" spans="1:9" x14ac:dyDescent="0.25">
      <c r="A117" s="785"/>
      <c r="B117" s="785"/>
      <c r="C117" s="785" t="str">
        <f>"Prior Year"</f>
        <v>Prior Year</v>
      </c>
      <c r="D117" s="786" t="s">
        <v>2334</v>
      </c>
      <c r="E117" s="786" t="s">
        <v>1530</v>
      </c>
      <c r="F117" s="786" t="s">
        <v>2573</v>
      </c>
    </row>
    <row r="118" spans="1:9" x14ac:dyDescent="0.25">
      <c r="A118" s="781" t="s">
        <v>360</v>
      </c>
      <c r="B118" s="781" t="s">
        <v>2231</v>
      </c>
      <c r="C118" s="781" t="s">
        <v>2335</v>
      </c>
      <c r="D118" s="788" t="s">
        <v>13</v>
      </c>
      <c r="E118" s="788" t="s">
        <v>2334</v>
      </c>
      <c r="F118" s="135" t="s">
        <v>224</v>
      </c>
    </row>
    <row r="119" spans="1:9" x14ac:dyDescent="0.25">
      <c r="A119" s="785">
        <f>A111+1</f>
        <v>77</v>
      </c>
      <c r="B119" s="785">
        <v>350.1</v>
      </c>
      <c r="C119" s="839">
        <f>'17-Depreciation'!C24</f>
        <v>0</v>
      </c>
      <c r="D119" s="1193">
        <f>'18-DepRates'!G6</f>
        <v>0</v>
      </c>
      <c r="E119" s="1194">
        <f>C119*D119</f>
        <v>0</v>
      </c>
      <c r="F119" s="1195" t="s">
        <v>2574</v>
      </c>
      <c r="H119" s="839"/>
      <c r="I119" s="837"/>
    </row>
    <row r="120" spans="1:9" x14ac:dyDescent="0.25">
      <c r="A120" s="785">
        <f>A119+1</f>
        <v>78</v>
      </c>
      <c r="B120" s="785">
        <v>350.2</v>
      </c>
      <c r="C120" s="839">
        <f>'17-Depreciation'!D24</f>
        <v>0</v>
      </c>
      <c r="D120" s="1193">
        <f>'18-DepRates'!G7</f>
        <v>1.66E-2</v>
      </c>
      <c r="E120" s="1194">
        <f t="shared" ref="E120:E128" si="65">C120*D120</f>
        <v>0</v>
      </c>
      <c r="F120" s="1195" t="s">
        <v>2575</v>
      </c>
      <c r="H120" s="839"/>
      <c r="I120" s="837"/>
    </row>
    <row r="121" spans="1:9" x14ac:dyDescent="0.25">
      <c r="A121" s="785">
        <f t="shared" ref="A121:A133" si="66">A120+1</f>
        <v>79</v>
      </c>
      <c r="B121" s="785">
        <v>352</v>
      </c>
      <c r="C121" s="839">
        <f>'17-Depreciation'!E24</f>
        <v>0</v>
      </c>
      <c r="D121" s="1193">
        <f>'18-DepRates'!G8</f>
        <v>2.5700000000000001E-2</v>
      </c>
      <c r="E121" s="1194">
        <f t="shared" si="65"/>
        <v>0</v>
      </c>
      <c r="F121" s="1195" t="s">
        <v>2576</v>
      </c>
      <c r="H121" s="839"/>
      <c r="I121" s="837"/>
    </row>
    <row r="122" spans="1:9" x14ac:dyDescent="0.25">
      <c r="A122" s="785">
        <f t="shared" si="66"/>
        <v>80</v>
      </c>
      <c r="B122" s="785">
        <v>353</v>
      </c>
      <c r="C122" s="839">
        <f>'17-Depreciation'!F24</f>
        <v>0</v>
      </c>
      <c r="D122" s="1193">
        <f>'18-DepRates'!G9</f>
        <v>2.47E-2</v>
      </c>
      <c r="E122" s="1194">
        <f t="shared" si="65"/>
        <v>0</v>
      </c>
      <c r="F122" s="1195" t="s">
        <v>2577</v>
      </c>
      <c r="H122" s="839"/>
      <c r="I122" s="837"/>
    </row>
    <row r="123" spans="1:9" x14ac:dyDescent="0.25">
      <c r="A123" s="785">
        <f t="shared" si="66"/>
        <v>81</v>
      </c>
      <c r="B123" s="785">
        <v>354</v>
      </c>
      <c r="C123" s="839">
        <f>'17-Depreciation'!G24</f>
        <v>0</v>
      </c>
      <c r="D123" s="1193">
        <f>'18-DepRates'!G10</f>
        <v>2.4400000000000002E-2</v>
      </c>
      <c r="E123" s="1194">
        <f t="shared" si="65"/>
        <v>0</v>
      </c>
      <c r="F123" s="1195" t="s">
        <v>2578</v>
      </c>
      <c r="H123" s="839"/>
      <c r="I123" s="837"/>
    </row>
    <row r="124" spans="1:9" x14ac:dyDescent="0.25">
      <c r="A124" s="785">
        <f t="shared" si="66"/>
        <v>82</v>
      </c>
      <c r="B124" s="785">
        <v>355</v>
      </c>
      <c r="C124" s="839">
        <f>'17-Depreciation'!H24</f>
        <v>0</v>
      </c>
      <c r="D124" s="1193">
        <f>'18-DepRates'!G11</f>
        <v>3.6700000000000003E-2</v>
      </c>
      <c r="E124" s="1194">
        <f t="shared" si="65"/>
        <v>0</v>
      </c>
      <c r="F124" s="1195" t="s">
        <v>2579</v>
      </c>
      <c r="H124" s="839"/>
      <c r="I124" s="837"/>
    </row>
    <row r="125" spans="1:9" x14ac:dyDescent="0.25">
      <c r="A125" s="785">
        <f t="shared" si="66"/>
        <v>83</v>
      </c>
      <c r="B125" s="785">
        <v>356</v>
      </c>
      <c r="C125" s="839">
        <f>'17-Depreciation'!I24</f>
        <v>0</v>
      </c>
      <c r="D125" s="1193">
        <f>'18-DepRates'!G12</f>
        <v>3.0499999999999999E-2</v>
      </c>
      <c r="E125" s="1194">
        <f t="shared" si="65"/>
        <v>0</v>
      </c>
      <c r="F125" s="1195" t="s">
        <v>2580</v>
      </c>
      <c r="H125" s="839"/>
      <c r="I125" s="837"/>
    </row>
    <row r="126" spans="1:9" x14ac:dyDescent="0.25">
      <c r="A126" s="785">
        <f t="shared" si="66"/>
        <v>84</v>
      </c>
      <c r="B126" s="785">
        <v>357</v>
      </c>
      <c r="C126" s="839">
        <f>'17-Depreciation'!J24</f>
        <v>0</v>
      </c>
      <c r="D126" s="1193">
        <f>'18-DepRates'!G13</f>
        <v>1.6500000000000001E-2</v>
      </c>
      <c r="E126" s="1194">
        <f t="shared" si="65"/>
        <v>0</v>
      </c>
      <c r="F126" s="1195" t="s">
        <v>2581</v>
      </c>
      <c r="H126" s="839"/>
      <c r="I126" s="837"/>
    </row>
    <row r="127" spans="1:9" x14ac:dyDescent="0.25">
      <c r="A127" s="785">
        <f t="shared" si="66"/>
        <v>85</v>
      </c>
      <c r="B127" s="785">
        <v>358</v>
      </c>
      <c r="C127" s="839">
        <f>'17-Depreciation'!K24</f>
        <v>0</v>
      </c>
      <c r="D127" s="1193">
        <f>'18-DepRates'!G14</f>
        <v>3.8699999999999998E-2</v>
      </c>
      <c r="E127" s="1194">
        <f t="shared" si="65"/>
        <v>0</v>
      </c>
      <c r="F127" s="1195" t="s">
        <v>2582</v>
      </c>
      <c r="H127" s="839"/>
      <c r="I127" s="837"/>
    </row>
    <row r="128" spans="1:9" x14ac:dyDescent="0.25">
      <c r="A128" s="785">
        <f t="shared" si="66"/>
        <v>86</v>
      </c>
      <c r="B128" s="785">
        <v>359</v>
      </c>
      <c r="C128" s="839">
        <f>'17-Depreciation'!L24</f>
        <v>0</v>
      </c>
      <c r="D128" s="1193">
        <f>'18-DepRates'!G15</f>
        <v>1.5599999999999999E-2</v>
      </c>
      <c r="E128" s="1194">
        <f t="shared" si="65"/>
        <v>0</v>
      </c>
      <c r="F128" s="1195" t="s">
        <v>2583</v>
      </c>
      <c r="H128" s="839"/>
      <c r="I128" s="837"/>
    </row>
    <row r="129" spans="1:9" x14ac:dyDescent="0.25">
      <c r="A129" s="785">
        <f t="shared" si="66"/>
        <v>87</v>
      </c>
    </row>
    <row r="130" spans="1:9" x14ac:dyDescent="0.25">
      <c r="A130" s="785">
        <f t="shared" si="66"/>
        <v>88</v>
      </c>
      <c r="C130" s="801" t="s">
        <v>2336</v>
      </c>
      <c r="E130" s="840">
        <f>SUM(E119:E128)</f>
        <v>0</v>
      </c>
      <c r="F130" s="778" t="str">
        <f>"Sum of C"&amp;RIGHT(E115)&amp;" Lines "&amp;A119&amp;" to "&amp;A128</f>
        <v>Sum of C4 Lines 77 to 86</v>
      </c>
    </row>
    <row r="131" spans="1:9" x14ac:dyDescent="0.25">
      <c r="A131" s="785">
        <f t="shared" si="66"/>
        <v>89</v>
      </c>
      <c r="C131" s="778" t="str">
        <f>"Sum of Dec Prior Year Plant"</f>
        <v>Sum of Dec Prior Year Plant</v>
      </c>
      <c r="E131" s="841">
        <f>SUM(C119:C128)</f>
        <v>0</v>
      </c>
      <c r="F131" s="778" t="str">
        <f>"Sum of C"&amp;RIGHT(C115)&amp;" Lines "&amp;A119&amp;" to "&amp;A128</f>
        <v>Sum of C2 Lines 77 to 86</v>
      </c>
    </row>
    <row r="132" spans="1:9" x14ac:dyDescent="0.25">
      <c r="A132" s="785">
        <f t="shared" si="66"/>
        <v>90</v>
      </c>
    </row>
    <row r="133" spans="1:9" x14ac:dyDescent="0.25">
      <c r="A133" s="785">
        <f t="shared" si="66"/>
        <v>91</v>
      </c>
      <c r="C133" s="778" t="s">
        <v>2337</v>
      </c>
      <c r="E133" s="802" t="e">
        <f>E130/E131</f>
        <v>#DIV/0!</v>
      </c>
      <c r="F133" s="778" t="str">
        <f>"Line "&amp;A130&amp;" / Line "&amp;A131</f>
        <v>Line 88 / Line 89</v>
      </c>
    </row>
    <row r="134" spans="1:9" x14ac:dyDescent="0.25">
      <c r="A134" s="785"/>
    </row>
    <row r="135" spans="1:9" x14ac:dyDescent="0.25">
      <c r="A135" s="785"/>
      <c r="B135" s="777" t="s">
        <v>256</v>
      </c>
      <c r="C135"/>
      <c r="D135"/>
      <c r="E135"/>
      <c r="F135"/>
      <c r="G135"/>
      <c r="H135"/>
      <c r="I135"/>
    </row>
    <row r="136" spans="1:9" x14ac:dyDescent="0.25">
      <c r="A136" s="785"/>
      <c r="B136" s="772" t="s">
        <v>2617</v>
      </c>
      <c r="C136" s="809"/>
      <c r="D136" s="809"/>
      <c r="E136" s="809"/>
      <c r="F136" s="809"/>
      <c r="G136" s="809"/>
      <c r="H136" s="809"/>
      <c r="I136" s="809"/>
    </row>
    <row r="137" spans="1:9" x14ac:dyDescent="0.25">
      <c r="A137" s="785"/>
      <c r="B137" s="772" t="s">
        <v>2627</v>
      </c>
      <c r="C137"/>
      <c r="D137"/>
      <c r="E137"/>
      <c r="F137"/>
      <c r="G137"/>
      <c r="H137"/>
      <c r="I137"/>
    </row>
    <row r="138" spans="1:9" x14ac:dyDescent="0.25">
      <c r="A138" s="785"/>
    </row>
    <row r="139" spans="1:9" x14ac:dyDescent="0.25">
      <c r="A139" s="785"/>
    </row>
    <row r="140" spans="1:9" x14ac:dyDescent="0.25">
      <c r="A140" s="785"/>
    </row>
    <row r="141" spans="1:9" x14ac:dyDescent="0.25">
      <c r="A141" s="785"/>
    </row>
    <row r="142" spans="1:9" x14ac:dyDescent="0.25">
      <c r="A142" s="785"/>
    </row>
    <row r="143" spans="1:9" x14ac:dyDescent="0.25">
      <c r="A143" s="785"/>
    </row>
    <row r="144" spans="1:9" x14ac:dyDescent="0.25">
      <c r="A144" s="785"/>
    </row>
    <row r="145" spans="1:1" x14ac:dyDescent="0.25">
      <c r="A145" s="785"/>
    </row>
    <row r="146" spans="1:1" x14ac:dyDescent="0.25">
      <c r="A146" s="785"/>
    </row>
    <row r="147" spans="1:1" x14ac:dyDescent="0.25">
      <c r="A147" s="785"/>
    </row>
    <row r="148" spans="1:1" x14ac:dyDescent="0.25">
      <c r="A148" s="785"/>
    </row>
    <row r="149" spans="1:1" x14ac:dyDescent="0.25">
      <c r="A149" s="785"/>
    </row>
    <row r="150" spans="1:1" x14ac:dyDescent="0.25">
      <c r="A150" s="785"/>
    </row>
    <row r="151" spans="1:1" x14ac:dyDescent="0.25">
      <c r="A151" s="785"/>
    </row>
    <row r="152" spans="1:1" x14ac:dyDescent="0.25">
      <c r="A152" s="785"/>
    </row>
    <row r="153" spans="1:1" x14ac:dyDescent="0.25">
      <c r="A153" s="785"/>
    </row>
    <row r="154" spans="1:1" x14ac:dyDescent="0.25">
      <c r="A154" s="785"/>
    </row>
    <row r="155" spans="1:1" x14ac:dyDescent="0.25">
      <c r="A155" s="785"/>
    </row>
    <row r="156" spans="1:1" x14ac:dyDescent="0.25">
      <c r="A156" s="785"/>
    </row>
    <row r="157" spans="1:1" x14ac:dyDescent="0.25">
      <c r="A157" s="785"/>
    </row>
    <row r="158" spans="1:1" x14ac:dyDescent="0.25">
      <c r="A158" s="785"/>
    </row>
    <row r="159" spans="1:1" x14ac:dyDescent="0.25">
      <c r="A159" s="785"/>
    </row>
    <row r="160" spans="1:1" x14ac:dyDescent="0.25">
      <c r="A160" s="785"/>
    </row>
    <row r="161" spans="1:1" x14ac:dyDescent="0.25">
      <c r="A161" s="785"/>
    </row>
    <row r="162" spans="1:1" x14ac:dyDescent="0.25">
      <c r="A162" s="785"/>
    </row>
    <row r="163" spans="1:1" x14ac:dyDescent="0.25">
      <c r="A163" s="785"/>
    </row>
    <row r="164" spans="1:1" x14ac:dyDescent="0.25">
      <c r="A164" s="785"/>
    </row>
    <row r="165" spans="1:1" x14ac:dyDescent="0.25">
      <c r="A165" s="785"/>
    </row>
    <row r="166" spans="1:1" x14ac:dyDescent="0.25">
      <c r="A166" s="785"/>
    </row>
    <row r="167" spans="1:1" x14ac:dyDescent="0.25">
      <c r="A167" s="785"/>
    </row>
    <row r="168" spans="1:1" x14ac:dyDescent="0.25">
      <c r="A168" s="785"/>
    </row>
    <row r="169" spans="1:1" x14ac:dyDescent="0.25">
      <c r="A169" s="785"/>
    </row>
    <row r="170" spans="1:1" x14ac:dyDescent="0.25">
      <c r="A170" s="785"/>
    </row>
    <row r="171" spans="1:1" x14ac:dyDescent="0.25">
      <c r="A171" s="785"/>
    </row>
    <row r="172" spans="1:1" x14ac:dyDescent="0.25">
      <c r="A172" s="785"/>
    </row>
    <row r="173" spans="1:1" x14ac:dyDescent="0.25">
      <c r="A173" s="785"/>
    </row>
    <row r="174" spans="1:1" x14ac:dyDescent="0.25">
      <c r="A174" s="785"/>
    </row>
    <row r="175" spans="1:1" x14ac:dyDescent="0.25">
      <c r="A175" s="785"/>
    </row>
    <row r="176" spans="1:1" x14ac:dyDescent="0.25">
      <c r="A176" s="785"/>
    </row>
    <row r="177" spans="1:1" x14ac:dyDescent="0.25">
      <c r="A177" s="785"/>
    </row>
    <row r="178" spans="1:1" x14ac:dyDescent="0.25">
      <c r="A178" s="785"/>
    </row>
    <row r="179" spans="1:1" x14ac:dyDescent="0.25">
      <c r="A179" s="785"/>
    </row>
    <row r="180" spans="1:1" x14ac:dyDescent="0.25">
      <c r="A180" s="785"/>
    </row>
    <row r="181" spans="1:1" x14ac:dyDescent="0.25">
      <c r="A181" s="785"/>
    </row>
    <row r="182" spans="1:1" x14ac:dyDescent="0.25">
      <c r="A182" s="785"/>
    </row>
    <row r="183" spans="1:1" x14ac:dyDescent="0.25">
      <c r="A183" s="785"/>
    </row>
    <row r="184" spans="1:1" x14ac:dyDescent="0.25">
      <c r="A184" s="785"/>
    </row>
    <row r="185" spans="1:1" x14ac:dyDescent="0.25">
      <c r="A185" s="785"/>
    </row>
    <row r="186" spans="1:1" x14ac:dyDescent="0.25">
      <c r="A186" s="785"/>
    </row>
    <row r="187" spans="1:1" x14ac:dyDescent="0.25">
      <c r="A187" s="785"/>
    </row>
    <row r="188" spans="1:1" x14ac:dyDescent="0.25">
      <c r="A188" s="785"/>
    </row>
    <row r="189" spans="1:1" x14ac:dyDescent="0.25">
      <c r="A189" s="785"/>
    </row>
    <row r="190" spans="1:1" x14ac:dyDescent="0.25">
      <c r="A190" s="785"/>
    </row>
    <row r="191" spans="1:1" x14ac:dyDescent="0.25">
      <c r="A191" s="785"/>
    </row>
    <row r="192" spans="1:1" x14ac:dyDescent="0.25">
      <c r="A192" s="785"/>
    </row>
    <row r="193" spans="1:1" x14ac:dyDescent="0.25">
      <c r="A193" s="785"/>
    </row>
    <row r="194" spans="1:1" x14ac:dyDescent="0.25">
      <c r="A194" s="785"/>
    </row>
    <row r="195" spans="1:1" x14ac:dyDescent="0.25">
      <c r="A195" s="785"/>
    </row>
    <row r="196" spans="1:1" x14ac:dyDescent="0.25">
      <c r="A196" s="785"/>
    </row>
    <row r="197" spans="1:1" x14ac:dyDescent="0.25">
      <c r="A197" s="785"/>
    </row>
    <row r="198" spans="1:1" x14ac:dyDescent="0.25">
      <c r="A198" s="785"/>
    </row>
    <row r="199" spans="1:1" x14ac:dyDescent="0.25">
      <c r="A199" s="785"/>
    </row>
    <row r="200" spans="1:1" x14ac:dyDescent="0.25">
      <c r="A200" s="785"/>
    </row>
    <row r="201" spans="1:1" x14ac:dyDescent="0.25">
      <c r="A201" s="785"/>
    </row>
    <row r="202" spans="1:1" x14ac:dyDescent="0.25">
      <c r="A202" s="785"/>
    </row>
    <row r="203" spans="1:1" x14ac:dyDescent="0.25">
      <c r="A203" s="785"/>
    </row>
    <row r="204" spans="1:1" x14ac:dyDescent="0.25">
      <c r="A204" s="785"/>
    </row>
  </sheetData>
  <pageMargins left="0.7" right="0.7" top="0.75" bottom="0.75" header="0.3" footer="0.3"/>
  <pageSetup scale="55" orientation="landscape" cellComments="asDisplayed" r:id="rId1"/>
  <headerFooter>
    <oddHeader>&amp;CSchedule 16
Plant Additions
&amp;"Arial,Bold"Attachment 5</oddHeader>
    <oddFooter>&amp;R16-PlantAdditions</oddFooter>
  </headerFooter>
  <rowBreaks count="1" manualBreakCount="1">
    <brk id="69" max="1638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7"/>
  <sheetViews>
    <sheetView topLeftCell="A26" zoomScale="90" zoomScaleNormal="90" workbookViewId="0">
      <selection activeCell="C46" sqref="C46"/>
    </sheetView>
  </sheetViews>
  <sheetFormatPr defaultRowHeight="13.2" x14ac:dyDescent="0.25"/>
  <cols>
    <col min="1" max="1" width="4.6640625" customWidth="1"/>
    <col min="3" max="5" width="14.6640625" customWidth="1"/>
    <col min="6" max="6" width="15.5546875" customWidth="1"/>
    <col min="7" max="13" width="14.6640625" customWidth="1"/>
  </cols>
  <sheetData>
    <row r="1" spans="1:13" x14ac:dyDescent="0.25">
      <c r="A1" s="1" t="s">
        <v>276</v>
      </c>
      <c r="B1" s="251"/>
      <c r="C1" s="251"/>
      <c r="D1" s="251"/>
      <c r="E1" s="251"/>
      <c r="F1" s="251"/>
      <c r="G1" s="251"/>
      <c r="H1" s="251"/>
      <c r="I1" s="607" t="s">
        <v>497</v>
      </c>
      <c r="J1" s="203"/>
      <c r="K1" s="251"/>
      <c r="L1" s="251"/>
      <c r="M1" s="251"/>
    </row>
    <row r="2" spans="1:13" x14ac:dyDescent="0.25">
      <c r="A2" s="251"/>
      <c r="B2" s="251"/>
      <c r="C2" s="251"/>
      <c r="D2" s="251"/>
      <c r="E2" s="251"/>
      <c r="F2" s="251"/>
      <c r="G2" s="251"/>
      <c r="H2" s="251"/>
      <c r="K2" s="251"/>
      <c r="L2" s="251"/>
      <c r="M2" s="251"/>
    </row>
    <row r="3" spans="1:13" x14ac:dyDescent="0.25">
      <c r="A3" s="251"/>
      <c r="B3" s="1" t="s">
        <v>1064</v>
      </c>
      <c r="C3" s="251"/>
      <c r="D3" s="251"/>
      <c r="E3" s="251"/>
      <c r="F3" s="251"/>
      <c r="G3" s="251"/>
      <c r="H3" s="261"/>
      <c r="I3" s="1171" t="s">
        <v>1996</v>
      </c>
      <c r="J3" s="450"/>
      <c r="K3" s="251"/>
      <c r="L3" s="251"/>
      <c r="M3" s="251"/>
    </row>
    <row r="4" spans="1:13" x14ac:dyDescent="0.25">
      <c r="A4" s="251"/>
      <c r="B4" s="251"/>
      <c r="C4" s="251"/>
      <c r="D4" s="251"/>
      <c r="E4" s="251"/>
      <c r="F4" s="251"/>
      <c r="G4" s="251"/>
      <c r="H4" s="261"/>
      <c r="I4" s="261"/>
      <c r="J4" s="251"/>
      <c r="K4" s="251"/>
      <c r="L4" s="251"/>
      <c r="M4" s="251"/>
    </row>
    <row r="5" spans="1:13" x14ac:dyDescent="0.25">
      <c r="A5" s="251"/>
      <c r="B5" s="551" t="s">
        <v>1067</v>
      </c>
      <c r="C5" s="251"/>
      <c r="D5" s="251"/>
      <c r="E5" s="251"/>
      <c r="F5" s="251"/>
      <c r="G5" s="251"/>
      <c r="H5" s="553" t="s">
        <v>2075</v>
      </c>
      <c r="I5" s="261"/>
      <c r="J5" s="251"/>
      <c r="K5" s="251"/>
      <c r="L5" s="251"/>
      <c r="M5" s="251"/>
    </row>
    <row r="6" spans="1:13" x14ac:dyDescent="0.25">
      <c r="A6" s="251"/>
      <c r="B6" s="251"/>
      <c r="C6" s="251"/>
      <c r="D6" s="251"/>
      <c r="E6" s="251"/>
      <c r="F6" s="251"/>
      <c r="G6" s="251"/>
      <c r="H6" s="251"/>
      <c r="I6" s="251"/>
      <c r="J6" s="251"/>
      <c r="K6" s="251"/>
      <c r="L6" s="251"/>
      <c r="M6" s="251"/>
    </row>
    <row r="7" spans="1:13" x14ac:dyDescent="0.25">
      <c r="A7" s="251"/>
      <c r="B7" s="92" t="s">
        <v>394</v>
      </c>
      <c r="C7" s="92" t="s">
        <v>378</v>
      </c>
      <c r="D7" s="92" t="s">
        <v>379</v>
      </c>
      <c r="E7" s="92" t="s">
        <v>380</v>
      </c>
      <c r="F7" s="92" t="s">
        <v>381</v>
      </c>
      <c r="G7" s="92" t="s">
        <v>382</v>
      </c>
      <c r="H7" s="92" t="s">
        <v>383</v>
      </c>
      <c r="I7" s="92" t="s">
        <v>597</v>
      </c>
      <c r="J7" s="92" t="s">
        <v>1046</v>
      </c>
      <c r="K7" s="92" t="s">
        <v>1062</v>
      </c>
      <c r="L7" s="92" t="s">
        <v>1065</v>
      </c>
      <c r="M7" s="92" t="s">
        <v>1083</v>
      </c>
    </row>
    <row r="8" spans="1:13" x14ac:dyDescent="0.25">
      <c r="A8" s="251"/>
      <c r="B8" s="272"/>
      <c r="C8" s="251"/>
      <c r="D8" s="251"/>
      <c r="E8" s="251"/>
      <c r="F8" s="251"/>
      <c r="G8" s="251"/>
      <c r="H8" s="251"/>
      <c r="I8" s="251"/>
      <c r="J8" s="251"/>
      <c r="K8" s="251"/>
      <c r="L8" s="251"/>
      <c r="M8" s="251"/>
    </row>
    <row r="9" spans="1:13" x14ac:dyDescent="0.25">
      <c r="A9" s="251"/>
      <c r="B9" s="121"/>
      <c r="C9" s="608" t="s">
        <v>12</v>
      </c>
      <c r="D9" s="251"/>
      <c r="E9" s="251"/>
      <c r="F9" s="251"/>
      <c r="G9" s="251"/>
      <c r="H9" s="251"/>
      <c r="I9" s="251"/>
      <c r="J9" s="251"/>
      <c r="K9" s="251"/>
      <c r="L9" s="251"/>
      <c r="M9" s="251"/>
    </row>
    <row r="10" spans="1:13" x14ac:dyDescent="0.25">
      <c r="A10" s="251"/>
      <c r="B10" s="121"/>
      <c r="C10" s="608" t="s">
        <v>1063</v>
      </c>
      <c r="D10" s="251"/>
      <c r="E10" s="251"/>
      <c r="F10" s="251"/>
      <c r="G10" s="251"/>
      <c r="H10" s="251"/>
      <c r="I10" s="251"/>
      <c r="J10" s="251"/>
      <c r="K10" s="251"/>
      <c r="L10" s="251"/>
      <c r="M10" s="251"/>
    </row>
    <row r="11" spans="1:13" x14ac:dyDescent="0.25">
      <c r="A11" s="53" t="s">
        <v>360</v>
      </c>
      <c r="B11" s="135" t="s">
        <v>2044</v>
      </c>
      <c r="C11" s="92">
        <v>350.1</v>
      </c>
      <c r="D11" s="92">
        <v>350.2</v>
      </c>
      <c r="E11" s="92">
        <v>352</v>
      </c>
      <c r="F11" s="92">
        <v>353</v>
      </c>
      <c r="G11" s="92">
        <v>354</v>
      </c>
      <c r="H11" s="92">
        <v>355</v>
      </c>
      <c r="I11" s="92">
        <v>356</v>
      </c>
      <c r="J11" s="92">
        <v>357</v>
      </c>
      <c r="K11" s="92">
        <v>358</v>
      </c>
      <c r="L11" s="92">
        <v>359</v>
      </c>
      <c r="M11" s="3" t="s">
        <v>215</v>
      </c>
    </row>
    <row r="12" spans="1:13" x14ac:dyDescent="0.25">
      <c r="A12" s="689">
        <v>1</v>
      </c>
      <c r="B12" s="911"/>
      <c r="C12" s="253">
        <f>'6-PlantInService'!C11</f>
        <v>0</v>
      </c>
      <c r="D12" s="253">
        <f>'6-PlantInService'!D11</f>
        <v>0</v>
      </c>
      <c r="E12" s="253">
        <f>'6-PlantInService'!E11</f>
        <v>0</v>
      </c>
      <c r="F12" s="253">
        <f>'6-PlantInService'!F11</f>
        <v>0</v>
      </c>
      <c r="G12" s="253">
        <f>'6-PlantInService'!G11</f>
        <v>0</v>
      </c>
      <c r="H12" s="253">
        <f>'6-PlantInService'!H11</f>
        <v>0</v>
      </c>
      <c r="I12" s="253">
        <f>'6-PlantInService'!I11</f>
        <v>0</v>
      </c>
      <c r="J12" s="253">
        <f>'6-PlantInService'!J11</f>
        <v>0</v>
      </c>
      <c r="K12" s="253">
        <f>'6-PlantInService'!K11</f>
        <v>0</v>
      </c>
      <c r="L12" s="253">
        <f>'6-PlantInService'!L11</f>
        <v>0</v>
      </c>
      <c r="M12" s="253">
        <f>'6-PlantInService'!M11</f>
        <v>0</v>
      </c>
    </row>
    <row r="13" spans="1:13" x14ac:dyDescent="0.25">
      <c r="A13" s="689">
        <f>A12+1</f>
        <v>2</v>
      </c>
      <c r="B13" s="911"/>
      <c r="C13" s="253" t="e">
        <f>'6-PlantInService'!C12</f>
        <v>#DIV/0!</v>
      </c>
      <c r="D13" s="253" t="e">
        <f>'6-PlantInService'!D12</f>
        <v>#DIV/0!</v>
      </c>
      <c r="E13" s="253" t="e">
        <f>'6-PlantInService'!E12</f>
        <v>#DIV/0!</v>
      </c>
      <c r="F13" s="253" t="e">
        <f>'6-PlantInService'!F12</f>
        <v>#DIV/0!</v>
      </c>
      <c r="G13" s="253" t="e">
        <f>'6-PlantInService'!G12</f>
        <v>#DIV/0!</v>
      </c>
      <c r="H13" s="253" t="e">
        <f>'6-PlantInService'!H12</f>
        <v>#DIV/0!</v>
      </c>
      <c r="I13" s="253" t="e">
        <f>'6-PlantInService'!I12</f>
        <v>#DIV/0!</v>
      </c>
      <c r="J13" s="253" t="e">
        <f>'6-PlantInService'!J12</f>
        <v>#DIV/0!</v>
      </c>
      <c r="K13" s="253" t="e">
        <f>'6-PlantInService'!K12</f>
        <v>#DIV/0!</v>
      </c>
      <c r="L13" s="253" t="e">
        <f>'6-PlantInService'!L12</f>
        <v>#DIV/0!</v>
      </c>
      <c r="M13" s="253" t="e">
        <f>'6-PlantInService'!M12</f>
        <v>#DIV/0!</v>
      </c>
    </row>
    <row r="14" spans="1:13" x14ac:dyDescent="0.25">
      <c r="A14" s="689">
        <f t="shared" ref="A14:A77" si="0">A13+1</f>
        <v>3</v>
      </c>
      <c r="B14" s="911"/>
      <c r="C14" s="253" t="e">
        <f>'6-PlantInService'!C13</f>
        <v>#DIV/0!</v>
      </c>
      <c r="D14" s="253" t="e">
        <f>'6-PlantInService'!D13</f>
        <v>#DIV/0!</v>
      </c>
      <c r="E14" s="253" t="e">
        <f>'6-PlantInService'!E13</f>
        <v>#DIV/0!</v>
      </c>
      <c r="F14" s="253" t="e">
        <f>'6-PlantInService'!F13</f>
        <v>#DIV/0!</v>
      </c>
      <c r="G14" s="253" t="e">
        <f>'6-PlantInService'!G13</f>
        <v>#DIV/0!</v>
      </c>
      <c r="H14" s="253" t="e">
        <f>'6-PlantInService'!H13</f>
        <v>#DIV/0!</v>
      </c>
      <c r="I14" s="253" t="e">
        <f>'6-PlantInService'!I13</f>
        <v>#DIV/0!</v>
      </c>
      <c r="J14" s="253" t="e">
        <f>'6-PlantInService'!J13</f>
        <v>#DIV/0!</v>
      </c>
      <c r="K14" s="253" t="e">
        <f>'6-PlantInService'!K13</f>
        <v>#DIV/0!</v>
      </c>
      <c r="L14" s="253" t="e">
        <f>'6-PlantInService'!L13</f>
        <v>#DIV/0!</v>
      </c>
      <c r="M14" s="253" t="e">
        <f>'6-PlantInService'!M13</f>
        <v>#DIV/0!</v>
      </c>
    </row>
    <row r="15" spans="1:13" x14ac:dyDescent="0.25">
      <c r="A15" s="689">
        <f t="shared" si="0"/>
        <v>4</v>
      </c>
      <c r="B15" s="911"/>
      <c r="C15" s="253" t="e">
        <f>'6-PlantInService'!C14</f>
        <v>#DIV/0!</v>
      </c>
      <c r="D15" s="253" t="e">
        <f>'6-PlantInService'!D14</f>
        <v>#DIV/0!</v>
      </c>
      <c r="E15" s="253" t="e">
        <f>'6-PlantInService'!E14</f>
        <v>#DIV/0!</v>
      </c>
      <c r="F15" s="253" t="e">
        <f>'6-PlantInService'!F14</f>
        <v>#DIV/0!</v>
      </c>
      <c r="G15" s="253" t="e">
        <f>'6-PlantInService'!G14</f>
        <v>#DIV/0!</v>
      </c>
      <c r="H15" s="253" t="e">
        <f>'6-PlantInService'!H14</f>
        <v>#DIV/0!</v>
      </c>
      <c r="I15" s="253" t="e">
        <f>'6-PlantInService'!I14</f>
        <v>#DIV/0!</v>
      </c>
      <c r="J15" s="253" t="e">
        <f>'6-PlantInService'!J14</f>
        <v>#DIV/0!</v>
      </c>
      <c r="K15" s="253" t="e">
        <f>'6-PlantInService'!K14</f>
        <v>#DIV/0!</v>
      </c>
      <c r="L15" s="253" t="e">
        <f>'6-PlantInService'!L14</f>
        <v>#DIV/0!</v>
      </c>
      <c r="M15" s="253" t="e">
        <f>'6-PlantInService'!M14</f>
        <v>#DIV/0!</v>
      </c>
    </row>
    <row r="16" spans="1:13" x14ac:dyDescent="0.25">
      <c r="A16" s="689">
        <f t="shared" si="0"/>
        <v>5</v>
      </c>
      <c r="B16" s="911"/>
      <c r="C16" s="253" t="e">
        <f>'6-PlantInService'!C15</f>
        <v>#DIV/0!</v>
      </c>
      <c r="D16" s="253" t="e">
        <f>'6-PlantInService'!D15</f>
        <v>#DIV/0!</v>
      </c>
      <c r="E16" s="253" t="e">
        <f>'6-PlantInService'!E15</f>
        <v>#DIV/0!</v>
      </c>
      <c r="F16" s="253" t="e">
        <f>'6-PlantInService'!F15</f>
        <v>#DIV/0!</v>
      </c>
      <c r="G16" s="253" t="e">
        <f>'6-PlantInService'!G15</f>
        <v>#DIV/0!</v>
      </c>
      <c r="H16" s="253" t="e">
        <f>'6-PlantInService'!H15</f>
        <v>#DIV/0!</v>
      </c>
      <c r="I16" s="253" t="e">
        <f>'6-PlantInService'!I15</f>
        <v>#DIV/0!</v>
      </c>
      <c r="J16" s="253" t="e">
        <f>'6-PlantInService'!J15</f>
        <v>#DIV/0!</v>
      </c>
      <c r="K16" s="253" t="e">
        <f>'6-PlantInService'!K15</f>
        <v>#DIV/0!</v>
      </c>
      <c r="L16" s="253" t="e">
        <f>'6-PlantInService'!L15</f>
        <v>#DIV/0!</v>
      </c>
      <c r="M16" s="253" t="e">
        <f>'6-PlantInService'!M15</f>
        <v>#DIV/0!</v>
      </c>
    </row>
    <row r="17" spans="1:13" x14ac:dyDescent="0.25">
      <c r="A17" s="689">
        <f t="shared" si="0"/>
        <v>6</v>
      </c>
      <c r="B17" s="911"/>
      <c r="C17" s="253" t="e">
        <f>'6-PlantInService'!C16</f>
        <v>#DIV/0!</v>
      </c>
      <c r="D17" s="253" t="e">
        <f>'6-PlantInService'!D16</f>
        <v>#DIV/0!</v>
      </c>
      <c r="E17" s="253" t="e">
        <f>'6-PlantInService'!E16</f>
        <v>#DIV/0!</v>
      </c>
      <c r="F17" s="253" t="e">
        <f>'6-PlantInService'!F16</f>
        <v>#DIV/0!</v>
      </c>
      <c r="G17" s="253" t="e">
        <f>'6-PlantInService'!G16</f>
        <v>#DIV/0!</v>
      </c>
      <c r="H17" s="253" t="e">
        <f>'6-PlantInService'!H16</f>
        <v>#DIV/0!</v>
      </c>
      <c r="I17" s="253" t="e">
        <f>'6-PlantInService'!I16</f>
        <v>#DIV/0!</v>
      </c>
      <c r="J17" s="253" t="e">
        <f>'6-PlantInService'!J16</f>
        <v>#DIV/0!</v>
      </c>
      <c r="K17" s="253" t="e">
        <f>'6-PlantInService'!K16</f>
        <v>#DIV/0!</v>
      </c>
      <c r="L17" s="253" t="e">
        <f>'6-PlantInService'!L16</f>
        <v>#DIV/0!</v>
      </c>
      <c r="M17" s="253" t="e">
        <f>'6-PlantInService'!M16</f>
        <v>#DIV/0!</v>
      </c>
    </row>
    <row r="18" spans="1:13" x14ac:dyDescent="0.25">
      <c r="A18" s="689">
        <f t="shared" si="0"/>
        <v>7</v>
      </c>
      <c r="B18" s="911"/>
      <c r="C18" s="253" t="e">
        <f>'6-PlantInService'!C17</f>
        <v>#DIV/0!</v>
      </c>
      <c r="D18" s="253" t="e">
        <f>'6-PlantInService'!D17</f>
        <v>#DIV/0!</v>
      </c>
      <c r="E18" s="253" t="e">
        <f>'6-PlantInService'!E17</f>
        <v>#DIV/0!</v>
      </c>
      <c r="F18" s="253" t="e">
        <f>'6-PlantInService'!F17</f>
        <v>#DIV/0!</v>
      </c>
      <c r="G18" s="253" t="e">
        <f>'6-PlantInService'!G17</f>
        <v>#DIV/0!</v>
      </c>
      <c r="H18" s="253" t="e">
        <f>'6-PlantInService'!H17</f>
        <v>#DIV/0!</v>
      </c>
      <c r="I18" s="253" t="e">
        <f>'6-PlantInService'!I17</f>
        <v>#DIV/0!</v>
      </c>
      <c r="J18" s="253" t="e">
        <f>'6-PlantInService'!J17</f>
        <v>#DIV/0!</v>
      </c>
      <c r="K18" s="253" t="e">
        <f>'6-PlantInService'!K17</f>
        <v>#DIV/0!</v>
      </c>
      <c r="L18" s="253" t="e">
        <f>'6-PlantInService'!L17</f>
        <v>#DIV/0!</v>
      </c>
      <c r="M18" s="253" t="e">
        <f>'6-PlantInService'!M17</f>
        <v>#DIV/0!</v>
      </c>
    </row>
    <row r="19" spans="1:13" x14ac:dyDescent="0.25">
      <c r="A19" s="689">
        <f t="shared" si="0"/>
        <v>8</v>
      </c>
      <c r="B19" s="911"/>
      <c r="C19" s="253" t="e">
        <f>'6-PlantInService'!C18</f>
        <v>#DIV/0!</v>
      </c>
      <c r="D19" s="253" t="e">
        <f>'6-PlantInService'!D18</f>
        <v>#DIV/0!</v>
      </c>
      <c r="E19" s="253" t="e">
        <f>'6-PlantInService'!E18</f>
        <v>#DIV/0!</v>
      </c>
      <c r="F19" s="253" t="e">
        <f>'6-PlantInService'!F18</f>
        <v>#DIV/0!</v>
      </c>
      <c r="G19" s="253" t="e">
        <f>'6-PlantInService'!G18</f>
        <v>#DIV/0!</v>
      </c>
      <c r="H19" s="253" t="e">
        <f>'6-PlantInService'!H18</f>
        <v>#DIV/0!</v>
      </c>
      <c r="I19" s="253" t="e">
        <f>'6-PlantInService'!I18</f>
        <v>#DIV/0!</v>
      </c>
      <c r="J19" s="253" t="e">
        <f>'6-PlantInService'!J18</f>
        <v>#DIV/0!</v>
      </c>
      <c r="K19" s="253" t="e">
        <f>'6-PlantInService'!K18</f>
        <v>#DIV/0!</v>
      </c>
      <c r="L19" s="253" t="e">
        <f>'6-PlantInService'!L18</f>
        <v>#DIV/0!</v>
      </c>
      <c r="M19" s="253" t="e">
        <f>'6-PlantInService'!M18</f>
        <v>#DIV/0!</v>
      </c>
    </row>
    <row r="20" spans="1:13" x14ac:dyDescent="0.25">
      <c r="A20" s="689">
        <f t="shared" si="0"/>
        <v>9</v>
      </c>
      <c r="B20" s="911"/>
      <c r="C20" s="253" t="e">
        <f>'6-PlantInService'!C19</f>
        <v>#DIV/0!</v>
      </c>
      <c r="D20" s="253" t="e">
        <f>'6-PlantInService'!D19</f>
        <v>#DIV/0!</v>
      </c>
      <c r="E20" s="253" t="e">
        <f>'6-PlantInService'!E19</f>
        <v>#DIV/0!</v>
      </c>
      <c r="F20" s="253" t="e">
        <f>'6-PlantInService'!F19</f>
        <v>#DIV/0!</v>
      </c>
      <c r="G20" s="253" t="e">
        <f>'6-PlantInService'!G19</f>
        <v>#DIV/0!</v>
      </c>
      <c r="H20" s="253" t="e">
        <f>'6-PlantInService'!H19</f>
        <v>#DIV/0!</v>
      </c>
      <c r="I20" s="253" t="e">
        <f>'6-PlantInService'!I19</f>
        <v>#DIV/0!</v>
      </c>
      <c r="J20" s="253" t="e">
        <f>'6-PlantInService'!J19</f>
        <v>#DIV/0!</v>
      </c>
      <c r="K20" s="253" t="e">
        <f>'6-PlantInService'!K19</f>
        <v>#DIV/0!</v>
      </c>
      <c r="L20" s="253" t="e">
        <f>'6-PlantInService'!L19</f>
        <v>#DIV/0!</v>
      </c>
      <c r="M20" s="253" t="e">
        <f>'6-PlantInService'!M19</f>
        <v>#DIV/0!</v>
      </c>
    </row>
    <row r="21" spans="1:13" x14ac:dyDescent="0.25">
      <c r="A21" s="689">
        <f t="shared" si="0"/>
        <v>10</v>
      </c>
      <c r="B21" s="911"/>
      <c r="C21" s="253" t="e">
        <f>'6-PlantInService'!C20</f>
        <v>#DIV/0!</v>
      </c>
      <c r="D21" s="253" t="e">
        <f>'6-PlantInService'!D20</f>
        <v>#DIV/0!</v>
      </c>
      <c r="E21" s="253" t="e">
        <f>'6-PlantInService'!E20</f>
        <v>#DIV/0!</v>
      </c>
      <c r="F21" s="253" t="e">
        <f>'6-PlantInService'!F20</f>
        <v>#DIV/0!</v>
      </c>
      <c r="G21" s="253" t="e">
        <f>'6-PlantInService'!G20</f>
        <v>#DIV/0!</v>
      </c>
      <c r="H21" s="253" t="e">
        <f>'6-PlantInService'!H20</f>
        <v>#DIV/0!</v>
      </c>
      <c r="I21" s="253" t="e">
        <f>'6-PlantInService'!I20</f>
        <v>#DIV/0!</v>
      </c>
      <c r="J21" s="253" t="e">
        <f>'6-PlantInService'!J20</f>
        <v>#DIV/0!</v>
      </c>
      <c r="K21" s="253" t="e">
        <f>'6-PlantInService'!K20</f>
        <v>#DIV/0!</v>
      </c>
      <c r="L21" s="253" t="e">
        <f>'6-PlantInService'!L20</f>
        <v>#DIV/0!</v>
      </c>
      <c r="M21" s="253" t="e">
        <f>'6-PlantInService'!M20</f>
        <v>#DIV/0!</v>
      </c>
    </row>
    <row r="22" spans="1:13" x14ac:dyDescent="0.25">
      <c r="A22" s="689">
        <f t="shared" si="0"/>
        <v>11</v>
      </c>
      <c r="B22" s="911"/>
      <c r="C22" s="253" t="e">
        <f>'6-PlantInService'!C21</f>
        <v>#DIV/0!</v>
      </c>
      <c r="D22" s="253" t="e">
        <f>'6-PlantInService'!D21</f>
        <v>#DIV/0!</v>
      </c>
      <c r="E22" s="253" t="e">
        <f>'6-PlantInService'!E21</f>
        <v>#DIV/0!</v>
      </c>
      <c r="F22" s="253" t="e">
        <f>'6-PlantInService'!F21</f>
        <v>#DIV/0!</v>
      </c>
      <c r="G22" s="253" t="e">
        <f>'6-PlantInService'!G21</f>
        <v>#DIV/0!</v>
      </c>
      <c r="H22" s="253" t="e">
        <f>'6-PlantInService'!H21</f>
        <v>#DIV/0!</v>
      </c>
      <c r="I22" s="253" t="e">
        <f>'6-PlantInService'!I21</f>
        <v>#DIV/0!</v>
      </c>
      <c r="J22" s="253" t="e">
        <f>'6-PlantInService'!J21</f>
        <v>#DIV/0!</v>
      </c>
      <c r="K22" s="253" t="e">
        <f>'6-PlantInService'!K21</f>
        <v>#DIV/0!</v>
      </c>
      <c r="L22" s="253" t="e">
        <f>'6-PlantInService'!L21</f>
        <v>#DIV/0!</v>
      </c>
      <c r="M22" s="253" t="e">
        <f>'6-PlantInService'!M21</f>
        <v>#DIV/0!</v>
      </c>
    </row>
    <row r="23" spans="1:13" x14ac:dyDescent="0.25">
      <c r="A23" s="689">
        <f t="shared" si="0"/>
        <v>12</v>
      </c>
      <c r="B23" s="911"/>
      <c r="C23" s="253" t="e">
        <f>'6-PlantInService'!C22</f>
        <v>#DIV/0!</v>
      </c>
      <c r="D23" s="253" t="e">
        <f>'6-PlantInService'!D22</f>
        <v>#DIV/0!</v>
      </c>
      <c r="E23" s="253" t="e">
        <f>'6-PlantInService'!E22</f>
        <v>#DIV/0!</v>
      </c>
      <c r="F23" s="253" t="e">
        <f>'6-PlantInService'!F22</f>
        <v>#DIV/0!</v>
      </c>
      <c r="G23" s="253" t="e">
        <f>'6-PlantInService'!G22</f>
        <v>#DIV/0!</v>
      </c>
      <c r="H23" s="253" t="e">
        <f>'6-PlantInService'!H22</f>
        <v>#DIV/0!</v>
      </c>
      <c r="I23" s="253" t="e">
        <f>'6-PlantInService'!I22</f>
        <v>#DIV/0!</v>
      </c>
      <c r="J23" s="253" t="e">
        <f>'6-PlantInService'!J22</f>
        <v>#DIV/0!</v>
      </c>
      <c r="K23" s="253" t="e">
        <f>'6-PlantInService'!K22</f>
        <v>#DIV/0!</v>
      </c>
      <c r="L23" s="253" t="e">
        <f>'6-PlantInService'!L22</f>
        <v>#DIV/0!</v>
      </c>
      <c r="M23" s="253" t="e">
        <f>'6-PlantInService'!M22</f>
        <v>#DIV/0!</v>
      </c>
    </row>
    <row r="24" spans="1:13" x14ac:dyDescent="0.25">
      <c r="A24" s="689">
        <f t="shared" si="0"/>
        <v>13</v>
      </c>
      <c r="B24" s="911"/>
      <c r="C24" s="253">
        <f>'6-PlantInService'!C23</f>
        <v>0</v>
      </c>
      <c r="D24" s="253">
        <f>'6-PlantInService'!D23</f>
        <v>0</v>
      </c>
      <c r="E24" s="253">
        <f>'6-PlantInService'!E23</f>
        <v>0</v>
      </c>
      <c r="F24" s="253">
        <f>'6-PlantInService'!F23</f>
        <v>0</v>
      </c>
      <c r="G24" s="253">
        <f>'6-PlantInService'!G23</f>
        <v>0</v>
      </c>
      <c r="H24" s="253">
        <f>'6-PlantInService'!H23</f>
        <v>0</v>
      </c>
      <c r="I24" s="253">
        <f>'6-PlantInService'!I23</f>
        <v>0</v>
      </c>
      <c r="J24" s="253">
        <f>'6-PlantInService'!J23</f>
        <v>0</v>
      </c>
      <c r="K24" s="253">
        <f>'6-PlantInService'!K23</f>
        <v>0</v>
      </c>
      <c r="L24" s="253">
        <f>'6-PlantInService'!L23</f>
        <v>0</v>
      </c>
      <c r="M24" s="253">
        <f>'6-PlantInService'!M23</f>
        <v>0</v>
      </c>
    </row>
    <row r="25" spans="1:13" x14ac:dyDescent="0.25">
      <c r="A25" s="689">
        <f t="shared" si="0"/>
        <v>14</v>
      </c>
      <c r="B25" s="251"/>
      <c r="C25" s="251"/>
      <c r="D25" s="251"/>
      <c r="E25" s="251"/>
      <c r="F25" s="251"/>
      <c r="G25" s="251"/>
      <c r="H25" s="251"/>
      <c r="I25" s="251"/>
      <c r="J25" s="251"/>
      <c r="K25" s="251"/>
      <c r="L25" s="251"/>
      <c r="M25" s="251"/>
    </row>
    <row r="26" spans="1:13" x14ac:dyDescent="0.25">
      <c r="A26" s="689">
        <f t="shared" si="0"/>
        <v>15</v>
      </c>
      <c r="B26" s="772" t="s">
        <v>2532</v>
      </c>
      <c r="C26" s="261"/>
      <c r="D26" s="261"/>
      <c r="E26" s="261"/>
      <c r="F26" s="261"/>
      <c r="G26" s="261"/>
      <c r="H26" s="261"/>
      <c r="I26" s="251"/>
      <c r="J26" s="251"/>
      <c r="K26" s="251"/>
      <c r="L26" s="251"/>
      <c r="M26" s="251"/>
    </row>
    <row r="27" spans="1:13" x14ac:dyDescent="0.25">
      <c r="A27" s="689"/>
      <c r="B27" s="121"/>
      <c r="C27" s="261"/>
      <c r="D27" s="261"/>
      <c r="E27" s="261"/>
      <c r="F27" s="261"/>
      <c r="G27" s="251"/>
      <c r="H27" s="251"/>
      <c r="I27" s="251"/>
      <c r="J27" s="251"/>
      <c r="K27" s="251"/>
      <c r="L27" s="251"/>
      <c r="M27" s="251"/>
    </row>
    <row r="28" spans="1:13" x14ac:dyDescent="0.25">
      <c r="A28" s="689"/>
      <c r="B28" s="121"/>
      <c r="C28" s="261"/>
      <c r="D28" s="261"/>
      <c r="E28" s="261"/>
      <c r="F28" s="261"/>
      <c r="G28" s="251"/>
      <c r="H28" s="251"/>
      <c r="I28" s="251"/>
      <c r="J28" s="251"/>
      <c r="K28" s="251"/>
      <c r="L28" s="251"/>
      <c r="M28" s="251"/>
    </row>
    <row r="29" spans="1:13" x14ac:dyDescent="0.25">
      <c r="A29" s="689">
        <f>A26+1</f>
        <v>16</v>
      </c>
      <c r="B29" s="135" t="s">
        <v>2044</v>
      </c>
      <c r="C29" s="388">
        <v>350.1</v>
      </c>
      <c r="D29" s="388">
        <v>350.2</v>
      </c>
      <c r="E29" s="388">
        <v>352</v>
      </c>
      <c r="F29" s="388">
        <v>353</v>
      </c>
      <c r="G29" s="92">
        <v>354</v>
      </c>
      <c r="H29" s="92">
        <v>355</v>
      </c>
      <c r="I29" s="92">
        <v>356</v>
      </c>
      <c r="J29" s="92">
        <v>357</v>
      </c>
      <c r="K29" s="92">
        <v>358</v>
      </c>
      <c r="L29" s="92">
        <v>359</v>
      </c>
      <c r="M29" s="3"/>
    </row>
    <row r="30" spans="1:13" x14ac:dyDescent="0.25">
      <c r="A30" s="689" t="s">
        <v>2533</v>
      </c>
      <c r="B30" s="911"/>
      <c r="C30" s="884"/>
      <c r="D30" s="884"/>
      <c r="E30" s="884"/>
      <c r="F30" s="884"/>
      <c r="G30" s="884"/>
      <c r="H30" s="884"/>
      <c r="I30" s="884"/>
      <c r="J30" s="884"/>
      <c r="K30" s="884"/>
      <c r="L30" s="884"/>
      <c r="M30" s="251"/>
    </row>
    <row r="31" spans="1:13" x14ac:dyDescent="0.25">
      <c r="A31" s="689" t="s">
        <v>2534</v>
      </c>
      <c r="B31" s="911"/>
      <c r="C31" s="884"/>
      <c r="D31" s="884"/>
      <c r="E31" s="884"/>
      <c r="F31" s="884"/>
      <c r="G31" s="884"/>
      <c r="H31" s="884"/>
      <c r="I31" s="884"/>
      <c r="J31" s="884"/>
      <c r="K31" s="884"/>
      <c r="L31" s="884"/>
      <c r="M31" s="251"/>
    </row>
    <row r="32" spans="1:13" x14ac:dyDescent="0.25">
      <c r="A32" s="689" t="s">
        <v>2535</v>
      </c>
      <c r="B32" s="911"/>
      <c r="C32" s="884"/>
      <c r="D32" s="884"/>
      <c r="E32" s="884"/>
      <c r="F32" s="884"/>
      <c r="G32" s="884"/>
      <c r="H32" s="884"/>
      <c r="I32" s="884"/>
      <c r="J32" s="884"/>
      <c r="K32" s="884"/>
      <c r="L32" s="884"/>
      <c r="M32" s="251"/>
    </row>
    <row r="33" spans="1:13" x14ac:dyDescent="0.25">
      <c r="A33" s="689" t="s">
        <v>2536</v>
      </c>
      <c r="B33" s="911"/>
      <c r="C33" s="884"/>
      <c r="D33" s="884"/>
      <c r="E33" s="884"/>
      <c r="F33" s="884"/>
      <c r="G33" s="884"/>
      <c r="H33" s="884"/>
      <c r="I33" s="884"/>
      <c r="J33" s="884"/>
      <c r="K33" s="884"/>
      <c r="L33" s="884"/>
      <c r="M33" s="251"/>
    </row>
    <row r="34" spans="1:13" x14ac:dyDescent="0.25">
      <c r="A34" s="689" t="s">
        <v>2537</v>
      </c>
      <c r="B34" s="911"/>
      <c r="C34" s="884"/>
      <c r="D34" s="884"/>
      <c r="E34" s="884"/>
      <c r="F34" s="884"/>
      <c r="G34" s="884"/>
      <c r="H34" s="884"/>
      <c r="I34" s="884"/>
      <c r="J34" s="884"/>
      <c r="K34" s="884"/>
      <c r="L34" s="884"/>
      <c r="M34" s="251"/>
    </row>
    <row r="35" spans="1:13" x14ac:dyDescent="0.25">
      <c r="A35" s="689" t="s">
        <v>2538</v>
      </c>
      <c r="B35" s="911"/>
      <c r="C35" s="884"/>
      <c r="D35" s="884"/>
      <c r="E35" s="884"/>
      <c r="F35" s="884"/>
      <c r="G35" s="884"/>
      <c r="H35" s="884"/>
      <c r="I35" s="884"/>
      <c r="J35" s="884"/>
      <c r="K35" s="884"/>
      <c r="L35" s="884"/>
      <c r="M35" s="251"/>
    </row>
    <row r="36" spans="1:13" x14ac:dyDescent="0.25">
      <c r="A36" s="689" t="s">
        <v>2539</v>
      </c>
      <c r="B36" s="911"/>
      <c r="C36" s="884"/>
      <c r="D36" s="884"/>
      <c r="E36" s="884"/>
      <c r="F36" s="884"/>
      <c r="G36" s="884"/>
      <c r="H36" s="884"/>
      <c r="I36" s="884"/>
      <c r="J36" s="884"/>
      <c r="K36" s="884"/>
      <c r="L36" s="884"/>
      <c r="M36" s="251"/>
    </row>
    <row r="37" spans="1:13" x14ac:dyDescent="0.25">
      <c r="A37" s="689" t="s">
        <v>2540</v>
      </c>
      <c r="B37" s="911"/>
      <c r="C37" s="884"/>
      <c r="D37" s="884"/>
      <c r="E37" s="884"/>
      <c r="F37" s="884"/>
      <c r="G37" s="884"/>
      <c r="H37" s="884"/>
      <c r="I37" s="884"/>
      <c r="J37" s="884"/>
      <c r="K37" s="884"/>
      <c r="L37" s="884"/>
      <c r="M37" s="251"/>
    </row>
    <row r="38" spans="1:13" x14ac:dyDescent="0.25">
      <c r="A38" s="689" t="s">
        <v>2541</v>
      </c>
      <c r="B38" s="911"/>
      <c r="C38" s="884"/>
      <c r="D38" s="884"/>
      <c r="E38" s="884"/>
      <c r="F38" s="884"/>
      <c r="G38" s="884"/>
      <c r="H38" s="884"/>
      <c r="I38" s="884"/>
      <c r="J38" s="884"/>
      <c r="K38" s="884"/>
      <c r="L38" s="884"/>
      <c r="M38" s="251"/>
    </row>
    <row r="39" spans="1:13" x14ac:dyDescent="0.25">
      <c r="A39" s="689" t="s">
        <v>2542</v>
      </c>
      <c r="B39" s="911"/>
      <c r="C39" s="884"/>
      <c r="D39" s="884"/>
      <c r="E39" s="884"/>
      <c r="F39" s="884"/>
      <c r="G39" s="884"/>
      <c r="H39" s="884"/>
      <c r="I39" s="884"/>
      <c r="J39" s="884"/>
      <c r="K39" s="884"/>
      <c r="L39" s="884"/>
      <c r="M39" s="251"/>
    </row>
    <row r="40" spans="1:13" x14ac:dyDescent="0.25">
      <c r="A40" s="689" t="s">
        <v>2543</v>
      </c>
      <c r="B40" s="911"/>
      <c r="C40" s="884"/>
      <c r="D40" s="884"/>
      <c r="E40" s="884"/>
      <c r="F40" s="884"/>
      <c r="G40" s="884"/>
      <c r="H40" s="884"/>
      <c r="I40" s="884"/>
      <c r="J40" s="884"/>
      <c r="K40" s="884"/>
      <c r="L40" s="884"/>
      <c r="M40" s="251"/>
    </row>
    <row r="41" spans="1:13" x14ac:dyDescent="0.25">
      <c r="A41" s="689" t="s">
        <v>2544</v>
      </c>
      <c r="B41" s="911"/>
      <c r="C41" s="884"/>
      <c r="D41" s="884"/>
      <c r="E41" s="884"/>
      <c r="F41" s="884"/>
      <c r="G41" s="884"/>
      <c r="H41" s="884"/>
      <c r="I41" s="884"/>
      <c r="J41" s="884"/>
      <c r="K41" s="884"/>
      <c r="L41" s="884"/>
      <c r="M41" s="251"/>
    </row>
    <row r="42" spans="1:13" x14ac:dyDescent="0.25">
      <c r="A42" s="689" t="s">
        <v>2545</v>
      </c>
      <c r="B42" s="911"/>
      <c r="C42" s="884"/>
      <c r="D42" s="884"/>
      <c r="E42" s="884"/>
      <c r="F42" s="884"/>
      <c r="G42" s="884"/>
      <c r="H42" s="884"/>
      <c r="I42" s="884"/>
      <c r="J42" s="884"/>
      <c r="K42" s="884"/>
      <c r="L42" s="884"/>
      <c r="M42" s="251"/>
    </row>
    <row r="43" spans="1:13" x14ac:dyDescent="0.25">
      <c r="A43" s="689">
        <v>18</v>
      </c>
      <c r="C43" s="396"/>
      <c r="D43" s="396"/>
      <c r="E43" s="396"/>
      <c r="F43" s="396"/>
      <c r="G43" s="396"/>
      <c r="H43" s="396"/>
      <c r="I43" s="396"/>
      <c r="J43" s="396"/>
      <c r="K43" s="396"/>
      <c r="L43" s="396"/>
      <c r="M43" s="251"/>
    </row>
    <row r="44" spans="1:13" x14ac:dyDescent="0.25">
      <c r="A44" s="689">
        <f t="shared" si="0"/>
        <v>19</v>
      </c>
      <c r="B44" s="553" t="s">
        <v>1066</v>
      </c>
      <c r="C44" s="262"/>
      <c r="D44" s="262"/>
      <c r="E44" s="262"/>
      <c r="F44" s="262"/>
      <c r="G44" s="606" t="s">
        <v>1958</v>
      </c>
      <c r="H44" s="262"/>
      <c r="I44" s="396"/>
      <c r="J44" s="396"/>
      <c r="K44" s="396"/>
      <c r="L44" s="396"/>
      <c r="M44" s="251"/>
    </row>
    <row r="45" spans="1:13" x14ac:dyDescent="0.25">
      <c r="A45" s="689">
        <f t="shared" si="0"/>
        <v>20</v>
      </c>
      <c r="B45" s="261"/>
      <c r="C45" s="261"/>
      <c r="D45" s="261"/>
      <c r="E45" s="261"/>
      <c r="F45" s="261"/>
      <c r="G45" s="261"/>
      <c r="H45" s="261"/>
      <c r="I45" s="251"/>
      <c r="J45" s="251"/>
      <c r="K45" s="251"/>
      <c r="L45" s="251"/>
      <c r="M45" s="251"/>
    </row>
    <row r="46" spans="1:13" x14ac:dyDescent="0.25">
      <c r="A46" s="689">
        <f t="shared" si="0"/>
        <v>21</v>
      </c>
      <c r="B46" s="121"/>
      <c r="C46" s="1119" t="s">
        <v>12</v>
      </c>
      <c r="D46" s="261"/>
      <c r="E46" s="261"/>
      <c r="F46" s="261"/>
      <c r="G46" s="261"/>
      <c r="H46" s="261"/>
      <c r="I46" s="251"/>
      <c r="J46" s="251"/>
      <c r="K46" s="251"/>
      <c r="L46" s="251"/>
      <c r="M46" s="251"/>
    </row>
    <row r="47" spans="1:13" x14ac:dyDescent="0.25">
      <c r="A47" s="689">
        <f t="shared" si="0"/>
        <v>22</v>
      </c>
      <c r="B47" s="121"/>
      <c r="C47" s="1119" t="s">
        <v>1063</v>
      </c>
      <c r="D47" s="261"/>
      <c r="E47" s="261"/>
      <c r="F47" s="261"/>
      <c r="G47" s="261"/>
      <c r="H47" s="261"/>
      <c r="I47" s="251"/>
      <c r="J47" s="251"/>
      <c r="K47" s="251"/>
      <c r="L47" s="251"/>
      <c r="M47" s="689" t="s">
        <v>211</v>
      </c>
    </row>
    <row r="48" spans="1:13" x14ac:dyDescent="0.25">
      <c r="A48" s="689">
        <f t="shared" si="0"/>
        <v>23</v>
      </c>
      <c r="B48" s="135" t="s">
        <v>2044</v>
      </c>
      <c r="C48" s="388">
        <v>350.1</v>
      </c>
      <c r="D48" s="388">
        <v>350.2</v>
      </c>
      <c r="E48" s="388">
        <v>352</v>
      </c>
      <c r="F48" s="388">
        <v>353</v>
      </c>
      <c r="G48" s="388">
        <v>354</v>
      </c>
      <c r="H48" s="388">
        <v>355</v>
      </c>
      <c r="I48" s="92">
        <v>356</v>
      </c>
      <c r="J48" s="92">
        <v>357</v>
      </c>
      <c r="K48" s="92">
        <v>358</v>
      </c>
      <c r="L48" s="92">
        <v>359</v>
      </c>
      <c r="M48" s="3" t="s">
        <v>215</v>
      </c>
    </row>
    <row r="49" spans="1:13" x14ac:dyDescent="0.25">
      <c r="A49" s="689">
        <f t="shared" si="0"/>
        <v>24</v>
      </c>
      <c r="B49" s="911"/>
      <c r="C49" s="255">
        <f>C12*$C$30/12</f>
        <v>0</v>
      </c>
      <c r="D49" s="255">
        <f t="shared" ref="D49:D60" si="1">D12*$D30/12</f>
        <v>0</v>
      </c>
      <c r="E49" s="255">
        <f t="shared" ref="E49:E60" si="2">E12*$E30/12</f>
        <v>0</v>
      </c>
      <c r="F49" s="255">
        <f t="shared" ref="F49:F60" si="3">F12*$F30/12</f>
        <v>0</v>
      </c>
      <c r="G49" s="255">
        <f t="shared" ref="G49:G60" si="4">G12*$G30/12</f>
        <v>0</v>
      </c>
      <c r="H49" s="255">
        <f t="shared" ref="H49:H60" si="5">H12*$H30/12</f>
        <v>0</v>
      </c>
      <c r="I49" s="255">
        <f t="shared" ref="I49:I60" si="6">I12*$I30/12</f>
        <v>0</v>
      </c>
      <c r="J49" s="255">
        <f t="shared" ref="J49:J60" si="7">J12*$J30/12</f>
        <v>0</v>
      </c>
      <c r="K49" s="255">
        <f t="shared" ref="K49:K60" si="8">K12*$K30/12</f>
        <v>0</v>
      </c>
      <c r="L49" s="255">
        <f t="shared" ref="L49:L60" si="9">L12*$L30/12</f>
        <v>0</v>
      </c>
      <c r="M49" s="253">
        <f>SUM(C49:L49)</f>
        <v>0</v>
      </c>
    </row>
    <row r="50" spans="1:13" x14ac:dyDescent="0.25">
      <c r="A50" s="689">
        <f t="shared" si="0"/>
        <v>25</v>
      </c>
      <c r="B50" s="911"/>
      <c r="C50" s="255" t="e">
        <f t="shared" ref="C50:C60" si="10">C13*$C$30/12</f>
        <v>#DIV/0!</v>
      </c>
      <c r="D50" s="255" t="e">
        <f t="shared" si="1"/>
        <v>#DIV/0!</v>
      </c>
      <c r="E50" s="255" t="e">
        <f t="shared" si="2"/>
        <v>#DIV/0!</v>
      </c>
      <c r="F50" s="255" t="e">
        <f t="shared" si="3"/>
        <v>#DIV/0!</v>
      </c>
      <c r="G50" s="255" t="e">
        <f t="shared" si="4"/>
        <v>#DIV/0!</v>
      </c>
      <c r="H50" s="255" t="e">
        <f t="shared" si="5"/>
        <v>#DIV/0!</v>
      </c>
      <c r="I50" s="255" t="e">
        <f t="shared" si="6"/>
        <v>#DIV/0!</v>
      </c>
      <c r="J50" s="255" t="e">
        <f t="shared" si="7"/>
        <v>#DIV/0!</v>
      </c>
      <c r="K50" s="255" t="e">
        <f t="shared" si="8"/>
        <v>#DIV/0!</v>
      </c>
      <c r="L50" s="255" t="e">
        <f t="shared" si="9"/>
        <v>#DIV/0!</v>
      </c>
      <c r="M50" s="253" t="e">
        <f t="shared" ref="M50:M60" si="11">SUM(C50:L50)</f>
        <v>#DIV/0!</v>
      </c>
    </row>
    <row r="51" spans="1:13" x14ac:dyDescent="0.25">
      <c r="A51" s="689">
        <f t="shared" si="0"/>
        <v>26</v>
      </c>
      <c r="B51" s="911"/>
      <c r="C51" s="255" t="e">
        <f t="shared" si="10"/>
        <v>#DIV/0!</v>
      </c>
      <c r="D51" s="255" t="e">
        <f t="shared" si="1"/>
        <v>#DIV/0!</v>
      </c>
      <c r="E51" s="255" t="e">
        <f t="shared" si="2"/>
        <v>#DIV/0!</v>
      </c>
      <c r="F51" s="255" t="e">
        <f t="shared" si="3"/>
        <v>#DIV/0!</v>
      </c>
      <c r="G51" s="255" t="e">
        <f t="shared" si="4"/>
        <v>#DIV/0!</v>
      </c>
      <c r="H51" s="255" t="e">
        <f t="shared" si="5"/>
        <v>#DIV/0!</v>
      </c>
      <c r="I51" s="255" t="e">
        <f t="shared" si="6"/>
        <v>#DIV/0!</v>
      </c>
      <c r="J51" s="255" t="e">
        <f t="shared" si="7"/>
        <v>#DIV/0!</v>
      </c>
      <c r="K51" s="255" t="e">
        <f t="shared" si="8"/>
        <v>#DIV/0!</v>
      </c>
      <c r="L51" s="255" t="e">
        <f t="shared" si="9"/>
        <v>#DIV/0!</v>
      </c>
      <c r="M51" s="253" t="e">
        <f t="shared" si="11"/>
        <v>#DIV/0!</v>
      </c>
    </row>
    <row r="52" spans="1:13" x14ac:dyDescent="0.25">
      <c r="A52" s="689">
        <f t="shared" si="0"/>
        <v>27</v>
      </c>
      <c r="B52" s="911"/>
      <c r="C52" s="255" t="e">
        <f t="shared" si="10"/>
        <v>#DIV/0!</v>
      </c>
      <c r="D52" s="255" t="e">
        <f t="shared" si="1"/>
        <v>#DIV/0!</v>
      </c>
      <c r="E52" s="255" t="e">
        <f t="shared" si="2"/>
        <v>#DIV/0!</v>
      </c>
      <c r="F52" s="255" t="e">
        <f t="shared" si="3"/>
        <v>#DIV/0!</v>
      </c>
      <c r="G52" s="255" t="e">
        <f t="shared" si="4"/>
        <v>#DIV/0!</v>
      </c>
      <c r="H52" s="255" t="e">
        <f t="shared" si="5"/>
        <v>#DIV/0!</v>
      </c>
      <c r="I52" s="255" t="e">
        <f t="shared" si="6"/>
        <v>#DIV/0!</v>
      </c>
      <c r="J52" s="255" t="e">
        <f t="shared" si="7"/>
        <v>#DIV/0!</v>
      </c>
      <c r="K52" s="255" t="e">
        <f t="shared" si="8"/>
        <v>#DIV/0!</v>
      </c>
      <c r="L52" s="255" t="e">
        <f t="shared" si="9"/>
        <v>#DIV/0!</v>
      </c>
      <c r="M52" s="253" t="e">
        <f t="shared" si="11"/>
        <v>#DIV/0!</v>
      </c>
    </row>
    <row r="53" spans="1:13" x14ac:dyDescent="0.25">
      <c r="A53" s="689">
        <f t="shared" si="0"/>
        <v>28</v>
      </c>
      <c r="B53" s="911"/>
      <c r="C53" s="255" t="e">
        <f t="shared" si="10"/>
        <v>#DIV/0!</v>
      </c>
      <c r="D53" s="255" t="e">
        <f t="shared" si="1"/>
        <v>#DIV/0!</v>
      </c>
      <c r="E53" s="255" t="e">
        <f t="shared" si="2"/>
        <v>#DIV/0!</v>
      </c>
      <c r="F53" s="255" t="e">
        <f t="shared" si="3"/>
        <v>#DIV/0!</v>
      </c>
      <c r="G53" s="255" t="e">
        <f t="shared" si="4"/>
        <v>#DIV/0!</v>
      </c>
      <c r="H53" s="255" t="e">
        <f t="shared" si="5"/>
        <v>#DIV/0!</v>
      </c>
      <c r="I53" s="255" t="e">
        <f t="shared" si="6"/>
        <v>#DIV/0!</v>
      </c>
      <c r="J53" s="255" t="e">
        <f t="shared" si="7"/>
        <v>#DIV/0!</v>
      </c>
      <c r="K53" s="255" t="e">
        <f t="shared" si="8"/>
        <v>#DIV/0!</v>
      </c>
      <c r="L53" s="255" t="e">
        <f t="shared" si="9"/>
        <v>#DIV/0!</v>
      </c>
      <c r="M53" s="253" t="e">
        <f t="shared" si="11"/>
        <v>#DIV/0!</v>
      </c>
    </row>
    <row r="54" spans="1:13" x14ac:dyDescent="0.25">
      <c r="A54" s="689">
        <f t="shared" si="0"/>
        <v>29</v>
      </c>
      <c r="B54" s="911"/>
      <c r="C54" s="255" t="e">
        <f t="shared" si="10"/>
        <v>#DIV/0!</v>
      </c>
      <c r="D54" s="255" t="e">
        <f t="shared" si="1"/>
        <v>#DIV/0!</v>
      </c>
      <c r="E54" s="255" t="e">
        <f t="shared" si="2"/>
        <v>#DIV/0!</v>
      </c>
      <c r="F54" s="255" t="e">
        <f t="shared" si="3"/>
        <v>#DIV/0!</v>
      </c>
      <c r="G54" s="255" t="e">
        <f t="shared" si="4"/>
        <v>#DIV/0!</v>
      </c>
      <c r="H54" s="255" t="e">
        <f t="shared" si="5"/>
        <v>#DIV/0!</v>
      </c>
      <c r="I54" s="255" t="e">
        <f t="shared" si="6"/>
        <v>#DIV/0!</v>
      </c>
      <c r="J54" s="255" t="e">
        <f t="shared" si="7"/>
        <v>#DIV/0!</v>
      </c>
      <c r="K54" s="255" t="e">
        <f t="shared" si="8"/>
        <v>#DIV/0!</v>
      </c>
      <c r="L54" s="255" t="e">
        <f t="shared" si="9"/>
        <v>#DIV/0!</v>
      </c>
      <c r="M54" s="253" t="e">
        <f t="shared" si="11"/>
        <v>#DIV/0!</v>
      </c>
    </row>
    <row r="55" spans="1:13" x14ac:dyDescent="0.25">
      <c r="A55" s="689">
        <f t="shared" si="0"/>
        <v>30</v>
      </c>
      <c r="B55" s="911"/>
      <c r="C55" s="255" t="e">
        <f t="shared" si="10"/>
        <v>#DIV/0!</v>
      </c>
      <c r="D55" s="255" t="e">
        <f t="shared" si="1"/>
        <v>#DIV/0!</v>
      </c>
      <c r="E55" s="255" t="e">
        <f t="shared" si="2"/>
        <v>#DIV/0!</v>
      </c>
      <c r="F55" s="255" t="e">
        <f t="shared" si="3"/>
        <v>#DIV/0!</v>
      </c>
      <c r="G55" s="255" t="e">
        <f t="shared" si="4"/>
        <v>#DIV/0!</v>
      </c>
      <c r="H55" s="255" t="e">
        <f t="shared" si="5"/>
        <v>#DIV/0!</v>
      </c>
      <c r="I55" s="255" t="e">
        <f t="shared" si="6"/>
        <v>#DIV/0!</v>
      </c>
      <c r="J55" s="255" t="e">
        <f t="shared" si="7"/>
        <v>#DIV/0!</v>
      </c>
      <c r="K55" s="255" t="e">
        <f t="shared" si="8"/>
        <v>#DIV/0!</v>
      </c>
      <c r="L55" s="255" t="e">
        <f t="shared" si="9"/>
        <v>#DIV/0!</v>
      </c>
      <c r="M55" s="253" t="e">
        <f t="shared" si="11"/>
        <v>#DIV/0!</v>
      </c>
    </row>
    <row r="56" spans="1:13" x14ac:dyDescent="0.25">
      <c r="A56" s="689">
        <f t="shared" si="0"/>
        <v>31</v>
      </c>
      <c r="B56" s="911"/>
      <c r="C56" s="255" t="e">
        <f t="shared" si="10"/>
        <v>#DIV/0!</v>
      </c>
      <c r="D56" s="255" t="e">
        <f t="shared" si="1"/>
        <v>#DIV/0!</v>
      </c>
      <c r="E56" s="255" t="e">
        <f t="shared" si="2"/>
        <v>#DIV/0!</v>
      </c>
      <c r="F56" s="255" t="e">
        <f t="shared" si="3"/>
        <v>#DIV/0!</v>
      </c>
      <c r="G56" s="255" t="e">
        <f t="shared" si="4"/>
        <v>#DIV/0!</v>
      </c>
      <c r="H56" s="255" t="e">
        <f t="shared" si="5"/>
        <v>#DIV/0!</v>
      </c>
      <c r="I56" s="255" t="e">
        <f t="shared" si="6"/>
        <v>#DIV/0!</v>
      </c>
      <c r="J56" s="255" t="e">
        <f t="shared" si="7"/>
        <v>#DIV/0!</v>
      </c>
      <c r="K56" s="255" t="e">
        <f t="shared" si="8"/>
        <v>#DIV/0!</v>
      </c>
      <c r="L56" s="255" t="e">
        <f t="shared" si="9"/>
        <v>#DIV/0!</v>
      </c>
      <c r="M56" s="253" t="e">
        <f t="shared" si="11"/>
        <v>#DIV/0!</v>
      </c>
    </row>
    <row r="57" spans="1:13" x14ac:dyDescent="0.25">
      <c r="A57" s="689">
        <f t="shared" si="0"/>
        <v>32</v>
      </c>
      <c r="B57" s="911"/>
      <c r="C57" s="255" t="e">
        <f t="shared" si="10"/>
        <v>#DIV/0!</v>
      </c>
      <c r="D57" s="255" t="e">
        <f t="shared" si="1"/>
        <v>#DIV/0!</v>
      </c>
      <c r="E57" s="255" t="e">
        <f t="shared" si="2"/>
        <v>#DIV/0!</v>
      </c>
      <c r="F57" s="255" t="e">
        <f t="shared" si="3"/>
        <v>#DIV/0!</v>
      </c>
      <c r="G57" s="255" t="e">
        <f t="shared" si="4"/>
        <v>#DIV/0!</v>
      </c>
      <c r="H57" s="255" t="e">
        <f t="shared" si="5"/>
        <v>#DIV/0!</v>
      </c>
      <c r="I57" s="255" t="e">
        <f t="shared" si="6"/>
        <v>#DIV/0!</v>
      </c>
      <c r="J57" s="255" t="e">
        <f t="shared" si="7"/>
        <v>#DIV/0!</v>
      </c>
      <c r="K57" s="255" t="e">
        <f t="shared" si="8"/>
        <v>#DIV/0!</v>
      </c>
      <c r="L57" s="255" t="e">
        <f t="shared" si="9"/>
        <v>#DIV/0!</v>
      </c>
      <c r="M57" s="253" t="e">
        <f t="shared" si="11"/>
        <v>#DIV/0!</v>
      </c>
    </row>
    <row r="58" spans="1:13" x14ac:dyDescent="0.25">
      <c r="A58" s="689">
        <f t="shared" si="0"/>
        <v>33</v>
      </c>
      <c r="B58" s="911"/>
      <c r="C58" s="255" t="e">
        <f t="shared" si="10"/>
        <v>#DIV/0!</v>
      </c>
      <c r="D58" s="255" t="e">
        <f t="shared" si="1"/>
        <v>#DIV/0!</v>
      </c>
      <c r="E58" s="255" t="e">
        <f t="shared" si="2"/>
        <v>#DIV/0!</v>
      </c>
      <c r="F58" s="255" t="e">
        <f t="shared" si="3"/>
        <v>#DIV/0!</v>
      </c>
      <c r="G58" s="255" t="e">
        <f t="shared" si="4"/>
        <v>#DIV/0!</v>
      </c>
      <c r="H58" s="255" t="e">
        <f t="shared" si="5"/>
        <v>#DIV/0!</v>
      </c>
      <c r="I58" s="255" t="e">
        <f t="shared" si="6"/>
        <v>#DIV/0!</v>
      </c>
      <c r="J58" s="255" t="e">
        <f t="shared" si="7"/>
        <v>#DIV/0!</v>
      </c>
      <c r="K58" s="255" t="e">
        <f t="shared" si="8"/>
        <v>#DIV/0!</v>
      </c>
      <c r="L58" s="255" t="e">
        <f t="shared" si="9"/>
        <v>#DIV/0!</v>
      </c>
      <c r="M58" s="253" t="e">
        <f t="shared" si="11"/>
        <v>#DIV/0!</v>
      </c>
    </row>
    <row r="59" spans="1:13" x14ac:dyDescent="0.25">
      <c r="A59" s="689">
        <f t="shared" si="0"/>
        <v>34</v>
      </c>
      <c r="B59" s="911"/>
      <c r="C59" s="255" t="e">
        <f t="shared" si="10"/>
        <v>#DIV/0!</v>
      </c>
      <c r="D59" s="255" t="e">
        <f t="shared" si="1"/>
        <v>#DIV/0!</v>
      </c>
      <c r="E59" s="255" t="e">
        <f t="shared" si="2"/>
        <v>#DIV/0!</v>
      </c>
      <c r="F59" s="255" t="e">
        <f t="shared" si="3"/>
        <v>#DIV/0!</v>
      </c>
      <c r="G59" s="255" t="e">
        <f t="shared" si="4"/>
        <v>#DIV/0!</v>
      </c>
      <c r="H59" s="255" t="e">
        <f t="shared" si="5"/>
        <v>#DIV/0!</v>
      </c>
      <c r="I59" s="255" t="e">
        <f t="shared" si="6"/>
        <v>#DIV/0!</v>
      </c>
      <c r="J59" s="255" t="e">
        <f t="shared" si="7"/>
        <v>#DIV/0!</v>
      </c>
      <c r="K59" s="255" t="e">
        <f t="shared" si="8"/>
        <v>#DIV/0!</v>
      </c>
      <c r="L59" s="255" t="e">
        <f t="shared" si="9"/>
        <v>#DIV/0!</v>
      </c>
      <c r="M59" s="253" t="e">
        <f t="shared" si="11"/>
        <v>#DIV/0!</v>
      </c>
    </row>
    <row r="60" spans="1:13" x14ac:dyDescent="0.25">
      <c r="A60" s="689">
        <f t="shared" si="0"/>
        <v>35</v>
      </c>
      <c r="B60" s="911"/>
      <c r="C60" s="255" t="e">
        <f t="shared" si="10"/>
        <v>#DIV/0!</v>
      </c>
      <c r="D60" s="255" t="e">
        <f t="shared" si="1"/>
        <v>#DIV/0!</v>
      </c>
      <c r="E60" s="255" t="e">
        <f t="shared" si="2"/>
        <v>#DIV/0!</v>
      </c>
      <c r="F60" s="255" t="e">
        <f t="shared" si="3"/>
        <v>#DIV/0!</v>
      </c>
      <c r="G60" s="255" t="e">
        <f t="shared" si="4"/>
        <v>#DIV/0!</v>
      </c>
      <c r="H60" s="255" t="e">
        <f t="shared" si="5"/>
        <v>#DIV/0!</v>
      </c>
      <c r="I60" s="255" t="e">
        <f t="shared" si="6"/>
        <v>#DIV/0!</v>
      </c>
      <c r="J60" s="255" t="e">
        <f t="shared" si="7"/>
        <v>#DIV/0!</v>
      </c>
      <c r="K60" s="255" t="e">
        <f t="shared" si="8"/>
        <v>#DIV/0!</v>
      </c>
      <c r="L60" s="255" t="e">
        <f t="shared" si="9"/>
        <v>#DIV/0!</v>
      </c>
      <c r="M60" s="99" t="e">
        <f t="shared" si="11"/>
        <v>#DIV/0!</v>
      </c>
    </row>
    <row r="61" spans="1:13" x14ac:dyDescent="0.25">
      <c r="A61" s="689">
        <f t="shared" si="0"/>
        <v>36</v>
      </c>
      <c r="B61" s="252" t="s">
        <v>216</v>
      </c>
      <c r="C61" s="253" t="e">
        <f>SUM(C49:C60)</f>
        <v>#DIV/0!</v>
      </c>
      <c r="D61" s="253" t="e">
        <f t="shared" ref="D61:L61" si="12">SUM(D49:D60)</f>
        <v>#DIV/0!</v>
      </c>
      <c r="E61" s="253" t="e">
        <f t="shared" si="12"/>
        <v>#DIV/0!</v>
      </c>
      <c r="F61" s="253" t="e">
        <f t="shared" si="12"/>
        <v>#DIV/0!</v>
      </c>
      <c r="G61" s="253" t="e">
        <f t="shared" si="12"/>
        <v>#DIV/0!</v>
      </c>
      <c r="H61" s="253" t="e">
        <f t="shared" si="12"/>
        <v>#DIV/0!</v>
      </c>
      <c r="I61" s="253" t="e">
        <f t="shared" si="12"/>
        <v>#DIV/0!</v>
      </c>
      <c r="J61" s="253" t="e">
        <f t="shared" si="12"/>
        <v>#DIV/0!</v>
      </c>
      <c r="K61" s="253" t="e">
        <f t="shared" si="12"/>
        <v>#DIV/0!</v>
      </c>
      <c r="L61" s="253" t="e">
        <f t="shared" si="12"/>
        <v>#DIV/0!</v>
      </c>
      <c r="M61" s="7"/>
    </row>
    <row r="62" spans="1:13" x14ac:dyDescent="0.25">
      <c r="A62" s="689">
        <f t="shared" si="0"/>
        <v>37</v>
      </c>
      <c r="B62" s="251"/>
      <c r="C62" s="251"/>
      <c r="D62" s="251"/>
      <c r="E62" s="251"/>
      <c r="F62" s="251"/>
      <c r="G62" s="251"/>
      <c r="H62" s="251"/>
      <c r="I62" s="251"/>
      <c r="J62" s="251"/>
      <c r="K62" s="251"/>
      <c r="L62" s="549" t="s">
        <v>1068</v>
      </c>
      <c r="M62" s="253" t="e">
        <f>SUM(M49:M60)</f>
        <v>#DIV/0!</v>
      </c>
    </row>
    <row r="63" spans="1:13" x14ac:dyDescent="0.25">
      <c r="A63" s="689">
        <f t="shared" si="0"/>
        <v>38</v>
      </c>
      <c r="B63" s="251"/>
      <c r="C63" s="251"/>
      <c r="D63" s="251"/>
      <c r="E63" s="251"/>
      <c r="F63" s="251"/>
      <c r="G63" s="251"/>
      <c r="H63" s="251"/>
      <c r="I63" s="251"/>
      <c r="J63" s="251"/>
      <c r="K63" s="251"/>
      <c r="L63" s="885" t="s">
        <v>1069</v>
      </c>
      <c r="M63" s="251"/>
    </row>
    <row r="64" spans="1:13" x14ac:dyDescent="0.25">
      <c r="A64" s="689">
        <f t="shared" si="0"/>
        <v>39</v>
      </c>
      <c r="B64" s="1" t="s">
        <v>1108</v>
      </c>
      <c r="C64" s="251"/>
      <c r="D64" s="251"/>
      <c r="E64" s="251"/>
      <c r="F64" s="251"/>
      <c r="G64" s="251"/>
      <c r="H64" s="251"/>
      <c r="I64" s="251"/>
      <c r="J64" s="251"/>
      <c r="K64" s="251"/>
      <c r="L64" s="251"/>
      <c r="M64" s="251"/>
    </row>
    <row r="65" spans="1:13" x14ac:dyDescent="0.25">
      <c r="A65" s="689">
        <f t="shared" si="0"/>
        <v>40</v>
      </c>
      <c r="B65" s="251"/>
      <c r="C65" s="251"/>
      <c r="D65" s="251"/>
      <c r="E65" s="251"/>
      <c r="F65" s="251"/>
      <c r="G65" s="251"/>
      <c r="H65" s="251"/>
      <c r="I65" s="251"/>
      <c r="J65" s="251"/>
      <c r="K65" s="251"/>
      <c r="L65" s="251"/>
      <c r="M65" s="251"/>
    </row>
    <row r="66" spans="1:13" x14ac:dyDescent="0.25">
      <c r="A66" s="689">
        <f t="shared" si="0"/>
        <v>41</v>
      </c>
      <c r="B66" s="251"/>
      <c r="C66" s="251"/>
      <c r="D66" s="92">
        <v>360</v>
      </c>
      <c r="E66" s="92">
        <v>361</v>
      </c>
      <c r="F66" s="92">
        <v>362</v>
      </c>
      <c r="G66" s="251"/>
      <c r="H66" s="53" t="s">
        <v>198</v>
      </c>
      <c r="I66" s="3"/>
      <c r="J66" s="251"/>
      <c r="K66" s="251"/>
      <c r="L66" s="251"/>
      <c r="M66" s="251"/>
    </row>
    <row r="67" spans="1:13" x14ac:dyDescent="0.25">
      <c r="A67" s="689">
        <f t="shared" si="0"/>
        <v>42</v>
      </c>
      <c r="B67" s="551" t="s">
        <v>1109</v>
      </c>
      <c r="C67" s="251"/>
      <c r="D67" s="255">
        <f>'6-PlantInService'!C34</f>
        <v>0</v>
      </c>
      <c r="E67" s="255">
        <f>'6-PlantInService'!D34</f>
        <v>0</v>
      </c>
      <c r="F67" s="255">
        <f>'6-PlantInService'!E34</f>
        <v>0</v>
      </c>
      <c r="G67" s="261"/>
      <c r="H67" s="553" t="str">
        <f>"6-PlantInService Line "&amp;'6-PlantInService'!A34&amp;"."</f>
        <v>6-PlantInService Line 15.</v>
      </c>
      <c r="I67" s="555"/>
      <c r="J67" s="251"/>
      <c r="K67" s="251"/>
      <c r="L67" s="251"/>
      <c r="M67" s="251"/>
    </row>
    <row r="68" spans="1:13" x14ac:dyDescent="0.25">
      <c r="A68" s="689">
        <f t="shared" si="0"/>
        <v>43</v>
      </c>
      <c r="B68" s="551" t="s">
        <v>1110</v>
      </c>
      <c r="C68" s="251"/>
      <c r="D68" s="525">
        <f>'6-PlantInService'!C35</f>
        <v>0</v>
      </c>
      <c r="E68" s="525">
        <f>'6-PlantInService'!D35</f>
        <v>0</v>
      </c>
      <c r="F68" s="525">
        <f>'6-PlantInService'!E35</f>
        <v>0</v>
      </c>
      <c r="G68" s="261"/>
      <c r="H68" s="553" t="str">
        <f>"6-PlantInService Line "&amp;'6-PlantInService'!A35&amp;"."</f>
        <v>6-PlantInService Line 16.</v>
      </c>
      <c r="I68" s="251"/>
      <c r="J68" s="251"/>
      <c r="K68" s="251"/>
      <c r="M68" s="251"/>
    </row>
    <row r="69" spans="1:13" x14ac:dyDescent="0.25">
      <c r="A69" s="689">
        <f t="shared" si="0"/>
        <v>44</v>
      </c>
      <c r="B69" s="551" t="s">
        <v>1111</v>
      </c>
      <c r="C69" s="251"/>
      <c r="D69" s="255">
        <f>AVERAGE(D67:D68)</f>
        <v>0</v>
      </c>
      <c r="E69" s="255">
        <f>AVERAGE(E67:E68)</f>
        <v>0</v>
      </c>
      <c r="F69" s="255">
        <f>AVERAGE(F67:F68)</f>
        <v>0</v>
      </c>
      <c r="G69" s="261"/>
      <c r="H69" s="1196"/>
      <c r="I69" s="555"/>
      <c r="J69" s="251"/>
      <c r="K69" s="251"/>
      <c r="M69" s="251"/>
    </row>
    <row r="70" spans="1:13" x14ac:dyDescent="0.25">
      <c r="A70" s="689">
        <f t="shared" si="0"/>
        <v>45</v>
      </c>
      <c r="D70" s="14"/>
      <c r="E70" s="14"/>
      <c r="F70" s="14"/>
      <c r="G70" s="14"/>
      <c r="H70" s="14"/>
      <c r="J70" s="251"/>
      <c r="K70" s="251"/>
      <c r="M70" s="251"/>
    </row>
    <row r="71" spans="1:13" x14ac:dyDescent="0.25">
      <c r="A71" s="689">
        <f t="shared" si="0"/>
        <v>46</v>
      </c>
      <c r="B71" s="772" t="s">
        <v>2076</v>
      </c>
      <c r="C71" s="251"/>
      <c r="D71" s="261"/>
      <c r="E71" s="261"/>
      <c r="F71" s="14"/>
      <c r="G71" s="14"/>
      <c r="H71" s="14"/>
      <c r="J71" s="261"/>
      <c r="K71" s="261"/>
      <c r="L71" s="255"/>
      <c r="M71" s="251"/>
    </row>
    <row r="72" spans="1:13" x14ac:dyDescent="0.25">
      <c r="A72" s="689">
        <f t="shared" si="0"/>
        <v>47</v>
      </c>
      <c r="B72" s="251"/>
      <c r="D72" s="388">
        <v>360</v>
      </c>
      <c r="E72" s="388">
        <v>361</v>
      </c>
      <c r="F72" s="388">
        <v>362</v>
      </c>
      <c r="G72" s="14"/>
      <c r="H72" s="14"/>
      <c r="J72" s="261"/>
      <c r="K72" s="261"/>
      <c r="L72" s="255"/>
      <c r="M72" s="251"/>
    </row>
    <row r="73" spans="1:13" x14ac:dyDescent="0.25">
      <c r="A73" s="689">
        <f t="shared" si="0"/>
        <v>48</v>
      </c>
      <c r="D73" s="262">
        <f>'18-DepRates'!$G20</f>
        <v>1.67E-2</v>
      </c>
      <c r="E73" s="262">
        <f>'18-DepRates'!$G21</f>
        <v>3.2000000000000001E-2</v>
      </c>
      <c r="F73" s="262">
        <f>'18-DepRates'!$G22</f>
        <v>3.1300000000000001E-2</v>
      </c>
      <c r="G73" s="14"/>
      <c r="H73" s="14"/>
      <c r="J73" s="261"/>
      <c r="K73" s="261"/>
      <c r="L73" s="255"/>
      <c r="M73" s="251"/>
    </row>
    <row r="74" spans="1:13" x14ac:dyDescent="0.25">
      <c r="A74" s="689">
        <f t="shared" si="0"/>
        <v>49</v>
      </c>
      <c r="D74" s="14"/>
      <c r="E74" s="14"/>
      <c r="F74" s="14"/>
      <c r="G74" s="14"/>
      <c r="H74" s="14"/>
      <c r="J74" s="261"/>
      <c r="K74" s="261"/>
      <c r="L74" s="122"/>
      <c r="M74" s="251"/>
    </row>
    <row r="75" spans="1:13" x14ac:dyDescent="0.25">
      <c r="A75" s="689">
        <f t="shared" si="0"/>
        <v>50</v>
      </c>
      <c r="B75" t="s">
        <v>397</v>
      </c>
      <c r="D75" s="14"/>
      <c r="E75" s="14"/>
      <c r="F75" s="553" t="s">
        <v>1959</v>
      </c>
      <c r="G75" s="14"/>
      <c r="H75" s="14"/>
      <c r="J75" s="261"/>
      <c r="K75" s="261"/>
      <c r="L75" s="262"/>
      <c r="M75" s="251"/>
    </row>
    <row r="76" spans="1:13" x14ac:dyDescent="0.25">
      <c r="A76" s="689">
        <f t="shared" si="0"/>
        <v>51</v>
      </c>
      <c r="J76" s="261"/>
      <c r="K76" s="261"/>
      <c r="L76" s="262"/>
      <c r="M76" s="251"/>
    </row>
    <row r="77" spans="1:13" x14ac:dyDescent="0.25">
      <c r="A77" s="689">
        <f t="shared" si="0"/>
        <v>52</v>
      </c>
      <c r="D77" s="92">
        <v>360</v>
      </c>
      <c r="E77" s="92">
        <v>361</v>
      </c>
      <c r="F77" s="92">
        <v>362</v>
      </c>
      <c r="G77" s="398" t="s">
        <v>215</v>
      </c>
      <c r="J77" s="261"/>
      <c r="K77" s="261"/>
      <c r="L77" s="262"/>
      <c r="M77" s="251"/>
    </row>
    <row r="78" spans="1:13" x14ac:dyDescent="0.25">
      <c r="A78" s="689">
        <f t="shared" ref="A78:A91" si="13">A77+1</f>
        <v>53</v>
      </c>
      <c r="D78" s="7">
        <f xml:space="preserve"> D69*D73</f>
        <v>0</v>
      </c>
      <c r="E78" s="7">
        <f xml:space="preserve"> E69*E73</f>
        <v>0</v>
      </c>
      <c r="F78" s="7">
        <f xml:space="preserve"> F69*F73</f>
        <v>0</v>
      </c>
      <c r="G78" s="7">
        <f>SUM(D78:F78)</f>
        <v>0</v>
      </c>
      <c r="H78" s="16" t="s">
        <v>1112</v>
      </c>
      <c r="J78" s="261"/>
      <c r="K78" s="261"/>
      <c r="L78" s="255"/>
      <c r="M78" s="251"/>
    </row>
    <row r="79" spans="1:13" x14ac:dyDescent="0.25">
      <c r="A79" s="689">
        <f t="shared" si="13"/>
        <v>54</v>
      </c>
      <c r="H79" s="16" t="s">
        <v>1113</v>
      </c>
      <c r="J79" s="261"/>
      <c r="K79" s="261"/>
      <c r="L79" s="261"/>
      <c r="M79" s="251"/>
    </row>
    <row r="80" spans="1:13" x14ac:dyDescent="0.25">
      <c r="A80" s="689">
        <f t="shared" si="13"/>
        <v>55</v>
      </c>
      <c r="J80" s="261"/>
      <c r="K80" s="261"/>
      <c r="L80" s="261"/>
      <c r="M80" s="251"/>
    </row>
    <row r="81" spans="1:13" x14ac:dyDescent="0.25">
      <c r="A81" s="689">
        <f t="shared" si="13"/>
        <v>56</v>
      </c>
      <c r="B81" s="1" t="s">
        <v>1114</v>
      </c>
      <c r="J81" s="261"/>
      <c r="K81" s="261"/>
      <c r="L81" s="261"/>
      <c r="M81" s="251"/>
    </row>
    <row r="82" spans="1:13" x14ac:dyDescent="0.25">
      <c r="A82" s="689">
        <f t="shared" si="13"/>
        <v>57</v>
      </c>
      <c r="B82" s="251"/>
      <c r="C82" s="251"/>
      <c r="D82" s="251"/>
      <c r="E82" s="251"/>
      <c r="F82" s="251"/>
      <c r="G82" s="251"/>
      <c r="H82" s="251"/>
      <c r="I82" s="251"/>
      <c r="J82" s="251"/>
      <c r="K82" s="251"/>
      <c r="L82" s="251"/>
      <c r="M82" s="251"/>
    </row>
    <row r="83" spans="1:13" x14ac:dyDescent="0.25">
      <c r="A83" s="689">
        <f t="shared" si="13"/>
        <v>58</v>
      </c>
      <c r="B83" s="650" t="s">
        <v>1070</v>
      </c>
      <c r="C83" s="251"/>
      <c r="D83" s="251"/>
      <c r="E83" s="251"/>
      <c r="F83" s="251"/>
      <c r="G83" s="251"/>
      <c r="H83" s="399"/>
      <c r="I83" s="555" t="s">
        <v>1072</v>
      </c>
      <c r="J83" s="251"/>
      <c r="K83" s="251"/>
      <c r="L83" s="251"/>
      <c r="M83" s="251"/>
    </row>
    <row r="84" spans="1:13" x14ac:dyDescent="0.25">
      <c r="A84" s="689">
        <f t="shared" si="13"/>
        <v>59</v>
      </c>
      <c r="B84" s="551" t="s">
        <v>1071</v>
      </c>
      <c r="C84" s="251"/>
      <c r="D84" s="251"/>
      <c r="E84" s="251"/>
      <c r="F84" s="251"/>
      <c r="G84" s="251"/>
      <c r="H84" s="110"/>
      <c r="I84" s="555" t="s">
        <v>1073</v>
      </c>
      <c r="J84" s="251"/>
      <c r="K84" s="251"/>
      <c r="L84" s="251"/>
      <c r="M84" s="251"/>
    </row>
    <row r="85" spans="1:13" x14ac:dyDescent="0.25">
      <c r="A85" s="689">
        <f t="shared" si="13"/>
        <v>60</v>
      </c>
      <c r="B85" s="650" t="s">
        <v>1074</v>
      </c>
      <c r="C85" s="251"/>
      <c r="D85" s="251"/>
      <c r="E85" s="251"/>
      <c r="F85" s="251"/>
      <c r="G85" s="251"/>
      <c r="H85" s="253">
        <f>SUM(H83:H84)</f>
        <v>0</v>
      </c>
      <c r="I85" s="555" t="str">
        <f>"Line "&amp;A83&amp;" + Line "&amp;A84&amp;""</f>
        <v>Line 58 + Line 59</v>
      </c>
      <c r="J85" s="251"/>
      <c r="K85" s="251"/>
      <c r="L85" s="251"/>
      <c r="M85" s="251"/>
    </row>
    <row r="86" spans="1:13" x14ac:dyDescent="0.25">
      <c r="A86" s="689">
        <f t="shared" si="13"/>
        <v>61</v>
      </c>
      <c r="B86" s="650" t="s">
        <v>104</v>
      </c>
      <c r="C86" s="251"/>
      <c r="D86" s="251"/>
      <c r="E86" s="251"/>
      <c r="F86" s="251"/>
      <c r="G86" s="251"/>
      <c r="H86" s="271" t="e">
        <f>'27-Allocators'!G15</f>
        <v>#DIV/0!</v>
      </c>
      <c r="I86" s="124" t="str">
        <f>"27-Allocators, Line "&amp;'27-Allocators'!A15&amp;""</f>
        <v>27-Allocators, Line 9</v>
      </c>
      <c r="J86" s="251"/>
      <c r="K86" s="251"/>
      <c r="L86" s="251"/>
      <c r="M86" s="251"/>
    </row>
    <row r="87" spans="1:13" x14ac:dyDescent="0.25">
      <c r="A87" s="689">
        <f t="shared" si="13"/>
        <v>62</v>
      </c>
      <c r="B87" s="650" t="s">
        <v>1075</v>
      </c>
      <c r="C87" s="251"/>
      <c r="D87" s="251"/>
      <c r="E87" s="251"/>
      <c r="F87" s="251"/>
      <c r="G87" s="251"/>
      <c r="H87" s="253" t="e">
        <f>H85*H86</f>
        <v>#DIV/0!</v>
      </c>
      <c r="I87" s="555" t="str">
        <f>"Line "&amp;A85&amp;" * Line "&amp;A86&amp;""</f>
        <v>Line 60 * Line 61</v>
      </c>
      <c r="J87" s="251"/>
      <c r="K87" s="251"/>
      <c r="L87" s="251"/>
      <c r="M87" s="251"/>
    </row>
    <row r="88" spans="1:13" x14ac:dyDescent="0.25">
      <c r="A88" s="689">
        <f t="shared" si="13"/>
        <v>63</v>
      </c>
      <c r="B88" s="650"/>
      <c r="C88" s="551"/>
      <c r="D88" s="251"/>
      <c r="E88" s="251"/>
      <c r="F88" s="251"/>
      <c r="G88" s="251"/>
      <c r="H88" s="251"/>
      <c r="I88" s="251"/>
      <c r="J88" s="251"/>
      <c r="K88" s="251"/>
      <c r="L88" s="251"/>
      <c r="M88" s="251"/>
    </row>
    <row r="89" spans="1:13" x14ac:dyDescent="0.25">
      <c r="A89" s="689">
        <f t="shared" si="13"/>
        <v>64</v>
      </c>
      <c r="B89" s="91" t="s">
        <v>1911</v>
      </c>
      <c r="C89" s="251"/>
      <c r="D89" s="251"/>
      <c r="E89" s="251"/>
      <c r="F89" s="251"/>
      <c r="G89" s="251"/>
      <c r="H89" s="251"/>
      <c r="I89" s="251"/>
      <c r="J89" s="251"/>
      <c r="K89" s="251"/>
      <c r="L89" s="251"/>
      <c r="M89" s="251"/>
    </row>
    <row r="90" spans="1:13" x14ac:dyDescent="0.25">
      <c r="A90" s="689">
        <f t="shared" si="13"/>
        <v>65</v>
      </c>
      <c r="B90" s="650"/>
      <c r="C90" s="551"/>
      <c r="D90" s="251"/>
      <c r="E90" s="251"/>
      <c r="F90" s="251"/>
      <c r="G90" s="251"/>
      <c r="H90" s="251"/>
      <c r="I90" s="251"/>
      <c r="J90" s="251"/>
      <c r="K90" s="251"/>
      <c r="L90" s="251"/>
      <c r="M90" s="251"/>
    </row>
    <row r="91" spans="1:13" x14ac:dyDescent="0.25">
      <c r="A91" s="689">
        <f t="shared" si="13"/>
        <v>66</v>
      </c>
      <c r="B91" s="650" t="s">
        <v>1910</v>
      </c>
      <c r="C91" s="251"/>
      <c r="D91" s="251"/>
      <c r="E91" s="251"/>
      <c r="F91" s="3" t="s">
        <v>194</v>
      </c>
      <c r="G91" s="3" t="s">
        <v>198</v>
      </c>
      <c r="H91" s="251"/>
      <c r="I91" s="251"/>
    </row>
    <row r="92" spans="1:13" x14ac:dyDescent="0.25">
      <c r="A92" s="689">
        <f>A91+1</f>
        <v>67</v>
      </c>
      <c r="B92" s="555" t="s">
        <v>1061</v>
      </c>
      <c r="C92" s="251"/>
      <c r="D92" s="251"/>
      <c r="E92" s="251"/>
      <c r="F92" s="268" t="e">
        <f>M62</f>
        <v>#DIV/0!</v>
      </c>
      <c r="G92" s="555" t="str">
        <f>"Line "&amp;A62&amp;", Col 12"</f>
        <v>Line 37, Col 12</v>
      </c>
      <c r="H92" s="251"/>
      <c r="I92" s="251"/>
    </row>
    <row r="93" spans="1:13" x14ac:dyDescent="0.25">
      <c r="A93" s="689">
        <f>A92+1</f>
        <v>68</v>
      </c>
      <c r="B93" s="555" t="s">
        <v>1077</v>
      </c>
      <c r="C93" s="251"/>
      <c r="D93" s="251"/>
      <c r="E93" s="251"/>
      <c r="F93" s="253">
        <f>G78</f>
        <v>0</v>
      </c>
      <c r="G93" s="555" t="str">
        <f>"Line "&amp;A78&amp;""</f>
        <v>Line 53</v>
      </c>
      <c r="H93" s="251"/>
      <c r="I93" s="251"/>
    </row>
    <row r="94" spans="1:13" x14ac:dyDescent="0.25">
      <c r="A94" s="689">
        <f>A93+1</f>
        <v>69</v>
      </c>
      <c r="B94" s="555" t="s">
        <v>1076</v>
      </c>
      <c r="C94" s="251"/>
      <c r="D94" s="251"/>
      <c r="E94" s="251"/>
      <c r="F94" s="99" t="e">
        <f>H87</f>
        <v>#DIV/0!</v>
      </c>
      <c r="G94" s="555" t="str">
        <f>"Line "&amp;A87&amp;""</f>
        <v>Line 62</v>
      </c>
      <c r="H94" s="251"/>
      <c r="I94" s="251"/>
    </row>
    <row r="95" spans="1:13" x14ac:dyDescent="0.25">
      <c r="A95" s="689">
        <f>A94+1</f>
        <v>70</v>
      </c>
      <c r="B95" s="251"/>
      <c r="C95" s="251"/>
      <c r="D95" s="251"/>
      <c r="E95" s="252" t="s">
        <v>1115</v>
      </c>
      <c r="F95" s="268" t="e">
        <f>SUM(F92:F94)</f>
        <v>#DIV/0!</v>
      </c>
      <c r="G95" s="555" t="str">
        <f>"Line "&amp;A92&amp;" + Line "&amp;A93&amp;" + Line "&amp;A94&amp;""</f>
        <v>Line 67 + Line 68 + Line 69</v>
      </c>
      <c r="H95" s="251"/>
      <c r="I95" s="251"/>
    </row>
    <row r="96" spans="1:13" x14ac:dyDescent="0.25">
      <c r="A96" s="251"/>
      <c r="B96" s="1" t="s">
        <v>256</v>
      </c>
      <c r="C96" s="251"/>
      <c r="D96" s="251"/>
      <c r="E96" s="251"/>
      <c r="F96" s="251"/>
      <c r="G96" s="251"/>
      <c r="H96" s="251"/>
      <c r="I96" s="251"/>
    </row>
    <row r="97" spans="1:10" x14ac:dyDescent="0.25">
      <c r="A97" s="251"/>
      <c r="B97" s="551" t="s">
        <v>1619</v>
      </c>
      <c r="C97" s="251"/>
      <c r="D97" s="251"/>
      <c r="E97" s="251"/>
      <c r="F97" s="251"/>
      <c r="G97" s="251"/>
      <c r="H97" s="251"/>
      <c r="I97" s="251"/>
    </row>
    <row r="98" spans="1:10" x14ac:dyDescent="0.25">
      <c r="A98" s="251"/>
      <c r="B98" s="553" t="str">
        <f>"same account, times the Monthly Depreciation Rate for that account.  Monthly rate = annual rates on Line "&amp;A30&amp;" etc. divided by 12."</f>
        <v>same account, times the Monthly Depreciation Rate for that account.  Monthly rate = annual rates on Line 17a etc. divided by 12.</v>
      </c>
      <c r="C98" s="261"/>
      <c r="D98" s="261"/>
      <c r="E98" s="261"/>
      <c r="F98" s="261"/>
      <c r="G98" s="261"/>
      <c r="H98" s="261"/>
      <c r="I98" s="261"/>
      <c r="J98" s="14"/>
    </row>
    <row r="99" spans="1:10" x14ac:dyDescent="0.25">
      <c r="A99" s="251"/>
      <c r="B99" s="553" t="str">
        <f>"2) Depreciation Expense for each account is equal to the Average BOY/EOY value on Line "&amp;A69&amp;" times the"</f>
        <v>2) Depreciation Expense for each account is equal to the Average BOY/EOY value on Line 44 times the</v>
      </c>
      <c r="C99" s="261"/>
      <c r="D99" s="261"/>
      <c r="E99" s="261"/>
      <c r="F99" s="261"/>
      <c r="G99" s="261"/>
      <c r="H99" s="261"/>
      <c r="I99" s="261"/>
      <c r="J99" s="14"/>
    </row>
    <row r="100" spans="1:10" x14ac:dyDescent="0.25">
      <c r="B100" s="553" t="str">
        <f>"Depreciation Rate on Line "&amp;A73&amp;"."</f>
        <v>Depreciation Rate on Line 48.</v>
      </c>
      <c r="C100" s="14"/>
      <c r="D100" s="14"/>
      <c r="E100" s="14"/>
      <c r="F100" s="14"/>
      <c r="G100" s="14"/>
      <c r="H100" s="14"/>
      <c r="I100" s="14"/>
      <c r="J100" s="14"/>
    </row>
    <row r="101" spans="1:10" x14ac:dyDescent="0.25">
      <c r="B101" s="45" t="s">
        <v>420</v>
      </c>
      <c r="C101" s="14"/>
      <c r="D101" s="14"/>
      <c r="E101" s="14"/>
      <c r="F101" s="14"/>
      <c r="G101" s="14"/>
      <c r="H101" s="14"/>
      <c r="I101" s="14"/>
      <c r="J101" s="14"/>
    </row>
    <row r="102" spans="1:10" x14ac:dyDescent="0.25">
      <c r="B102" s="553" t="s">
        <v>2546</v>
      </c>
      <c r="C102" s="14"/>
      <c r="D102" s="14"/>
      <c r="E102" s="14"/>
      <c r="F102" s="14"/>
      <c r="G102" s="14"/>
      <c r="H102" s="14"/>
      <c r="I102" s="14"/>
      <c r="J102" s="14"/>
    </row>
    <row r="103" spans="1:10" x14ac:dyDescent="0.25">
      <c r="B103" s="553" t="s">
        <v>2547</v>
      </c>
      <c r="C103" s="14"/>
      <c r="D103" s="14"/>
      <c r="E103" s="14"/>
      <c r="F103" s="14"/>
      <c r="G103" s="14"/>
      <c r="H103" s="14"/>
      <c r="I103" s="14"/>
      <c r="J103" s="14"/>
    </row>
    <row r="104" spans="1:10" x14ac:dyDescent="0.25">
      <c r="B104" s="14" t="s">
        <v>2548</v>
      </c>
      <c r="C104" s="14"/>
      <c r="D104" s="14"/>
      <c r="E104" s="14"/>
      <c r="F104" s="14"/>
      <c r="G104" s="14"/>
      <c r="H104" s="14"/>
      <c r="I104" s="14"/>
      <c r="J104" s="14"/>
    </row>
    <row r="105" spans="1:10" x14ac:dyDescent="0.25">
      <c r="B105" s="14" t="s">
        <v>2549</v>
      </c>
      <c r="C105" s="14"/>
      <c r="D105" s="14"/>
      <c r="E105" s="14"/>
      <c r="F105" s="14"/>
      <c r="G105" s="14"/>
      <c r="H105" s="14"/>
      <c r="I105" s="14"/>
      <c r="J105" s="14"/>
    </row>
    <row r="106" spans="1:10" x14ac:dyDescent="0.25">
      <c r="B106" s="553" t="s">
        <v>2051</v>
      </c>
      <c r="C106" s="14"/>
      <c r="D106" s="14"/>
      <c r="E106" s="14"/>
      <c r="F106" s="14"/>
      <c r="G106" s="14"/>
      <c r="H106" s="14"/>
      <c r="I106" s="14"/>
      <c r="J106" s="14"/>
    </row>
    <row r="107" spans="1:10" x14ac:dyDescent="0.25">
      <c r="B107" s="553" t="str">
        <f>"for Distribution Plant - ISO on Line "&amp;A78&amp;" utilizing the weighted-average (by time) of the annual depreciation rates in effect in the Prior Year."</f>
        <v>for Distribution Plant - ISO on Line 53 utilizing the weighted-average (by time) of the annual depreciation rates in effect in the Prior Year.</v>
      </c>
      <c r="C107" s="14"/>
      <c r="D107" s="14"/>
      <c r="E107" s="14"/>
      <c r="F107" s="14"/>
      <c r="G107" s="14"/>
      <c r="H107" s="14"/>
      <c r="I107" s="14"/>
      <c r="J107" s="14"/>
    </row>
  </sheetData>
  <pageMargins left="0.7" right="0.7" top="0.75" bottom="0.75" header="0.3" footer="0.3"/>
  <pageSetup scale="63" orientation="landscape" cellComments="asDisplayed" r:id="rId1"/>
  <headerFooter>
    <oddHeader>&amp;CSchedule 17
Depreciation Expense
&amp;"Arial,Bold"Attachment 5</oddHeader>
    <oddFooter>&amp;R17-Depreciation</oddFooter>
  </headerFooter>
  <rowBreaks count="1" manualBreakCount="1">
    <brk id="63" max="12"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topLeftCell="A39" zoomScaleNormal="100" workbookViewId="0">
      <selection activeCell="C54" sqref="C54"/>
    </sheetView>
  </sheetViews>
  <sheetFormatPr defaultRowHeight="13.2" x14ac:dyDescent="0.25"/>
  <cols>
    <col min="1" max="1" width="4.6640625" customWidth="1"/>
    <col min="4" max="4" width="38.6640625" customWidth="1"/>
    <col min="5" max="7" width="9.109375" style="551"/>
  </cols>
  <sheetData>
    <row r="1" spans="1:7" ht="14.4" x14ac:dyDescent="0.3">
      <c r="A1" s="400" t="s">
        <v>1116</v>
      </c>
    </row>
    <row r="3" spans="1:7" ht="14.4" x14ac:dyDescent="0.3">
      <c r="B3" s="400" t="s">
        <v>351</v>
      </c>
      <c r="E3" s="424" t="s">
        <v>414</v>
      </c>
      <c r="F3" s="424"/>
      <c r="G3" s="424"/>
    </row>
    <row r="4" spans="1:7" ht="14.4" x14ac:dyDescent="0.3">
      <c r="C4" s="264" t="s">
        <v>12</v>
      </c>
      <c r="E4" s="424" t="s">
        <v>1117</v>
      </c>
      <c r="F4" s="4" t="s">
        <v>1118</v>
      </c>
      <c r="G4" s="4"/>
    </row>
    <row r="5" spans="1:7" ht="14.4" x14ac:dyDescent="0.3">
      <c r="A5" s="53" t="s">
        <v>360</v>
      </c>
      <c r="C5" s="266" t="s">
        <v>110</v>
      </c>
      <c r="D5" s="266" t="s">
        <v>111</v>
      </c>
      <c r="E5" s="1140" t="s">
        <v>1119</v>
      </c>
      <c r="F5" s="1140" t="s">
        <v>1120</v>
      </c>
      <c r="G5" s="1140" t="s">
        <v>215</v>
      </c>
    </row>
    <row r="6" spans="1:7" ht="15" customHeight="1" x14ac:dyDescent="0.3">
      <c r="A6" s="2">
        <v>1</v>
      </c>
      <c r="C6" s="273">
        <v>350.1</v>
      </c>
      <c r="D6" s="401" t="s">
        <v>1121</v>
      </c>
      <c r="E6" s="606">
        <v>0</v>
      </c>
      <c r="F6" s="606">
        <v>0</v>
      </c>
      <c r="G6" s="606">
        <v>0</v>
      </c>
    </row>
    <row r="7" spans="1:7" ht="15" customHeight="1" x14ac:dyDescent="0.3">
      <c r="A7" s="2">
        <f>A6+1</f>
        <v>2</v>
      </c>
      <c r="C7" s="273">
        <v>350.2</v>
      </c>
      <c r="D7" s="401" t="s">
        <v>1122</v>
      </c>
      <c r="E7" s="606">
        <v>1.66E-2</v>
      </c>
      <c r="F7" s="606">
        <v>0</v>
      </c>
      <c r="G7" s="606">
        <v>1.66E-2</v>
      </c>
    </row>
    <row r="8" spans="1:7" x14ac:dyDescent="0.25">
      <c r="A8" s="2">
        <f t="shared" ref="A8:A16" si="0">A7+1</f>
        <v>3</v>
      </c>
      <c r="C8" s="273">
        <v>352</v>
      </c>
      <c r="D8" s="16" t="s">
        <v>1123</v>
      </c>
      <c r="E8" s="606">
        <v>1.7999999999999999E-2</v>
      </c>
      <c r="F8" s="606">
        <v>7.7000000000000002E-3</v>
      </c>
      <c r="G8" s="606">
        <v>2.5700000000000001E-2</v>
      </c>
    </row>
    <row r="9" spans="1:7" x14ac:dyDescent="0.25">
      <c r="A9" s="2">
        <f t="shared" si="0"/>
        <v>4</v>
      </c>
      <c r="C9" s="273">
        <v>353</v>
      </c>
      <c r="D9" s="16" t="s">
        <v>1124</v>
      </c>
      <c r="E9" s="606">
        <v>2.1999999999999999E-2</v>
      </c>
      <c r="F9" s="606">
        <v>2.7000000000000001E-3</v>
      </c>
      <c r="G9" s="606">
        <v>2.47E-2</v>
      </c>
    </row>
    <row r="10" spans="1:7" x14ac:dyDescent="0.25">
      <c r="A10" s="2">
        <f t="shared" si="0"/>
        <v>5</v>
      </c>
      <c r="C10" s="273">
        <v>354</v>
      </c>
      <c r="D10" s="16" t="s">
        <v>1336</v>
      </c>
      <c r="E10" s="606">
        <v>1.35E-2</v>
      </c>
      <c r="F10" s="606">
        <v>1.09E-2</v>
      </c>
      <c r="G10" s="606">
        <v>2.4400000000000002E-2</v>
      </c>
    </row>
    <row r="11" spans="1:7" x14ac:dyDescent="0.25">
      <c r="A11" s="2">
        <f t="shared" si="0"/>
        <v>6</v>
      </c>
      <c r="C11" s="273">
        <v>355</v>
      </c>
      <c r="D11" s="16" t="s">
        <v>1125</v>
      </c>
      <c r="E11" s="606">
        <v>0.02</v>
      </c>
      <c r="F11" s="606">
        <v>1.67E-2</v>
      </c>
      <c r="G11" s="606">
        <v>3.6700000000000003E-2</v>
      </c>
    </row>
    <row r="12" spans="1:7" x14ac:dyDescent="0.25">
      <c r="A12" s="2">
        <f t="shared" si="0"/>
        <v>7</v>
      </c>
      <c r="C12" s="273">
        <v>356</v>
      </c>
      <c r="D12" s="16" t="s">
        <v>1126</v>
      </c>
      <c r="E12" s="606">
        <v>0.02</v>
      </c>
      <c r="F12" s="606">
        <v>1.0500000000000001E-2</v>
      </c>
      <c r="G12" s="606">
        <v>3.0499999999999999E-2</v>
      </c>
    </row>
    <row r="13" spans="1:7" x14ac:dyDescent="0.25">
      <c r="A13" s="2">
        <f t="shared" si="0"/>
        <v>8</v>
      </c>
      <c r="C13" s="273">
        <v>357</v>
      </c>
      <c r="D13" s="16" t="s">
        <v>1127</v>
      </c>
      <c r="E13" s="606">
        <v>1.6500000000000001E-2</v>
      </c>
      <c r="F13" s="606">
        <v>0</v>
      </c>
      <c r="G13" s="606">
        <v>1.6500000000000001E-2</v>
      </c>
    </row>
    <row r="14" spans="1:7" x14ac:dyDescent="0.25">
      <c r="A14" s="2">
        <f t="shared" si="0"/>
        <v>9</v>
      </c>
      <c r="C14" s="273">
        <v>358</v>
      </c>
      <c r="D14" s="16" t="s">
        <v>1128</v>
      </c>
      <c r="E14" s="606">
        <v>3.2599999999999997E-2</v>
      </c>
      <c r="F14" s="606">
        <v>6.1000000000000004E-3</v>
      </c>
      <c r="G14" s="606">
        <v>3.8699999999999998E-2</v>
      </c>
    </row>
    <row r="15" spans="1:7" x14ac:dyDescent="0.25">
      <c r="A15" s="2">
        <f t="shared" si="0"/>
        <v>10</v>
      </c>
      <c r="C15" s="273">
        <v>359</v>
      </c>
      <c r="D15" s="16" t="s">
        <v>1129</v>
      </c>
      <c r="E15" s="606">
        <v>1.5599999999999999E-2</v>
      </c>
      <c r="F15" s="606">
        <v>0</v>
      </c>
      <c r="G15" s="606">
        <v>1.5599999999999999E-2</v>
      </c>
    </row>
    <row r="16" spans="1:7" x14ac:dyDescent="0.25">
      <c r="A16" s="2">
        <f t="shared" si="0"/>
        <v>11</v>
      </c>
    </row>
    <row r="17" spans="1:7" ht="14.4" x14ac:dyDescent="0.3">
      <c r="B17" s="400" t="s">
        <v>352</v>
      </c>
      <c r="E17" s="424" t="s">
        <v>414</v>
      </c>
      <c r="F17" s="424"/>
      <c r="G17" s="424"/>
    </row>
    <row r="18" spans="1:7" ht="14.4" x14ac:dyDescent="0.3">
      <c r="C18" s="264" t="s">
        <v>12</v>
      </c>
      <c r="E18" s="424" t="s">
        <v>1117</v>
      </c>
      <c r="F18" s="4" t="s">
        <v>1118</v>
      </c>
      <c r="G18" s="4"/>
    </row>
    <row r="19" spans="1:7" ht="14.4" x14ac:dyDescent="0.3">
      <c r="C19" s="266" t="s">
        <v>110</v>
      </c>
      <c r="D19" s="266" t="s">
        <v>111</v>
      </c>
      <c r="E19" s="1140" t="s">
        <v>1119</v>
      </c>
      <c r="F19" s="1140" t="s">
        <v>1120</v>
      </c>
      <c r="G19" s="1140" t="s">
        <v>215</v>
      </c>
    </row>
    <row r="20" spans="1:7" ht="14.4" x14ac:dyDescent="0.3">
      <c r="A20" s="2">
        <f>A16+1</f>
        <v>12</v>
      </c>
      <c r="C20">
        <v>360</v>
      </c>
      <c r="D20" s="16" t="s">
        <v>1130</v>
      </c>
      <c r="E20" s="402">
        <v>1.67E-2</v>
      </c>
      <c r="F20" s="402">
        <v>0</v>
      </c>
      <c r="G20" s="402">
        <v>1.67E-2</v>
      </c>
    </row>
    <row r="21" spans="1:7" ht="14.4" x14ac:dyDescent="0.3">
      <c r="A21" s="2">
        <f>A20+1</f>
        <v>13</v>
      </c>
      <c r="C21">
        <v>361</v>
      </c>
      <c r="D21" s="16" t="s">
        <v>1123</v>
      </c>
      <c r="E21" s="402">
        <v>2.4299999999999999E-2</v>
      </c>
      <c r="F21" s="402">
        <v>7.7000000000000002E-3</v>
      </c>
      <c r="G21" s="402">
        <v>3.2000000000000001E-2</v>
      </c>
    </row>
    <row r="22" spans="1:7" ht="14.4" x14ac:dyDescent="0.3">
      <c r="A22" s="2">
        <f>A21+1</f>
        <v>14</v>
      </c>
      <c r="C22">
        <v>362</v>
      </c>
      <c r="D22" s="16" t="s">
        <v>1124</v>
      </c>
      <c r="E22" s="402">
        <v>2.29E-2</v>
      </c>
      <c r="F22" s="402">
        <v>8.3999999999999995E-3</v>
      </c>
      <c r="G22" s="402">
        <v>3.1300000000000001E-2</v>
      </c>
    </row>
    <row r="24" spans="1:7" ht="14.4" x14ac:dyDescent="0.3">
      <c r="B24" s="400" t="s">
        <v>1131</v>
      </c>
      <c r="E24" s="424" t="s">
        <v>414</v>
      </c>
    </row>
    <row r="25" spans="1:7" ht="14.4" x14ac:dyDescent="0.3">
      <c r="C25" s="264" t="s">
        <v>12</v>
      </c>
      <c r="E25" s="424" t="s">
        <v>1117</v>
      </c>
      <c r="F25" s="4" t="s">
        <v>1118</v>
      </c>
      <c r="G25" s="4"/>
    </row>
    <row r="26" spans="1:7" ht="14.4" x14ac:dyDescent="0.3">
      <c r="C26" s="266" t="s">
        <v>110</v>
      </c>
      <c r="D26" s="266" t="s">
        <v>111</v>
      </c>
      <c r="E26" s="1140" t="s">
        <v>1119</v>
      </c>
      <c r="F26" s="1140" t="s">
        <v>1120</v>
      </c>
      <c r="G26" s="1140" t="s">
        <v>215</v>
      </c>
    </row>
    <row r="27" spans="1:7" ht="14.4" x14ac:dyDescent="0.3">
      <c r="A27" s="2">
        <f>A22+1</f>
        <v>15</v>
      </c>
      <c r="C27" s="403">
        <v>389</v>
      </c>
      <c r="D27" s="401" t="s">
        <v>1130</v>
      </c>
      <c r="E27" s="402">
        <v>1.67E-2</v>
      </c>
      <c r="F27" s="402">
        <v>0</v>
      </c>
      <c r="G27" s="402">
        <v>1.67E-2</v>
      </c>
    </row>
    <row r="28" spans="1:7" ht="14.4" x14ac:dyDescent="0.3">
      <c r="A28" s="2">
        <f t="shared" ref="A28:A51" si="1">A27+1</f>
        <v>16</v>
      </c>
      <c r="C28" s="403">
        <v>390</v>
      </c>
      <c r="D28" s="401" t="s">
        <v>1123</v>
      </c>
      <c r="E28" s="402">
        <v>1.6899999999999998E-2</v>
      </c>
      <c r="F28" s="402">
        <v>1.1000000000000001E-3</v>
      </c>
      <c r="G28" s="402">
        <v>1.7999999999999999E-2</v>
      </c>
    </row>
    <row r="29" spans="1:7" ht="14.4" x14ac:dyDescent="0.3">
      <c r="A29" s="2">
        <f t="shared" si="1"/>
        <v>17</v>
      </c>
      <c r="C29" s="403">
        <v>391.1</v>
      </c>
      <c r="D29" s="402" t="s">
        <v>1132</v>
      </c>
      <c r="E29" s="1141">
        <f>G29-F29</f>
        <v>0.05</v>
      </c>
      <c r="F29" s="402">
        <v>0</v>
      </c>
      <c r="G29" s="402">
        <v>0.05</v>
      </c>
    </row>
    <row r="30" spans="1:7" ht="14.4" x14ac:dyDescent="0.3">
      <c r="A30" s="2">
        <f t="shared" si="1"/>
        <v>18</v>
      </c>
      <c r="C30" s="403">
        <v>391.5</v>
      </c>
      <c r="D30" s="402" t="s">
        <v>1819</v>
      </c>
      <c r="E30" s="1141">
        <f t="shared" ref="E30:E51" si="2">G30-F30</f>
        <v>0.2</v>
      </c>
      <c r="F30" s="402">
        <v>0</v>
      </c>
      <c r="G30" s="402">
        <v>0.2</v>
      </c>
    </row>
    <row r="31" spans="1:7" ht="14.4" x14ac:dyDescent="0.3">
      <c r="A31" s="2">
        <f t="shared" si="1"/>
        <v>19</v>
      </c>
      <c r="C31" s="403">
        <v>391.6</v>
      </c>
      <c r="D31" s="402" t="s">
        <v>1820</v>
      </c>
      <c r="E31" s="1141">
        <f t="shared" si="2"/>
        <v>0.2</v>
      </c>
      <c r="F31" s="402">
        <v>0</v>
      </c>
      <c r="G31" s="402">
        <v>0.2</v>
      </c>
    </row>
    <row r="32" spans="1:7" ht="14.4" x14ac:dyDescent="0.3">
      <c r="A32" s="2">
        <f t="shared" si="1"/>
        <v>20</v>
      </c>
      <c r="C32" s="403">
        <v>391.2</v>
      </c>
      <c r="D32" s="402" t="s">
        <v>1821</v>
      </c>
      <c r="E32" s="1141">
        <f t="shared" si="2"/>
        <v>0.2</v>
      </c>
      <c r="F32" s="402">
        <v>0</v>
      </c>
      <c r="G32" s="402">
        <v>0.2</v>
      </c>
    </row>
    <row r="33" spans="1:11" ht="14.4" x14ac:dyDescent="0.3">
      <c r="A33" s="2">
        <f t="shared" si="1"/>
        <v>21</v>
      </c>
      <c r="C33" s="403">
        <v>391.3</v>
      </c>
      <c r="D33" s="402" t="s">
        <v>1822</v>
      </c>
      <c r="E33" s="1141">
        <f t="shared" si="2"/>
        <v>0.2</v>
      </c>
      <c r="F33" s="402">
        <v>0</v>
      </c>
      <c r="G33" s="402">
        <v>0.2</v>
      </c>
    </row>
    <row r="34" spans="1:11" ht="14.4" x14ac:dyDescent="0.3">
      <c r="A34" s="2">
        <f t="shared" si="1"/>
        <v>22</v>
      </c>
      <c r="C34" s="404">
        <v>391.7</v>
      </c>
      <c r="D34" s="402" t="s">
        <v>1823</v>
      </c>
      <c r="E34" s="1141">
        <f t="shared" si="2"/>
        <v>0.2</v>
      </c>
      <c r="F34" s="402">
        <v>0</v>
      </c>
      <c r="G34" s="402">
        <v>0.2</v>
      </c>
    </row>
    <row r="35" spans="1:11" ht="14.4" x14ac:dyDescent="0.3">
      <c r="A35" s="649">
        <f t="shared" si="1"/>
        <v>23</v>
      </c>
      <c r="C35" s="404">
        <v>391.4</v>
      </c>
      <c r="D35" s="402" t="s">
        <v>1824</v>
      </c>
      <c r="E35" s="1141">
        <f t="shared" si="2"/>
        <v>0.1429</v>
      </c>
      <c r="F35" s="402">
        <v>0</v>
      </c>
      <c r="G35" s="402">
        <v>0.1429</v>
      </c>
    </row>
    <row r="36" spans="1:11" ht="14.4" x14ac:dyDescent="0.3">
      <c r="A36" s="649">
        <f t="shared" si="1"/>
        <v>24</v>
      </c>
      <c r="C36" s="403">
        <v>391.4</v>
      </c>
      <c r="D36" s="402" t="s">
        <v>1825</v>
      </c>
      <c r="E36" s="1141">
        <f t="shared" si="2"/>
        <v>0.1</v>
      </c>
      <c r="F36" s="402">
        <v>0</v>
      </c>
      <c r="G36" s="402">
        <v>0.1</v>
      </c>
    </row>
    <row r="37" spans="1:11" ht="14.4" x14ac:dyDescent="0.3">
      <c r="A37" s="649">
        <f t="shared" si="1"/>
        <v>25</v>
      </c>
      <c r="C37" s="404">
        <v>391.4</v>
      </c>
      <c r="D37" s="402" t="s">
        <v>1826</v>
      </c>
      <c r="E37" s="1141">
        <f t="shared" si="2"/>
        <v>6.6699999999999995E-2</v>
      </c>
      <c r="F37" s="402">
        <v>0</v>
      </c>
      <c r="G37" s="402">
        <v>6.6699999999999995E-2</v>
      </c>
    </row>
    <row r="38" spans="1:11" ht="14.4" x14ac:dyDescent="0.3">
      <c r="A38" s="649">
        <f t="shared" si="1"/>
        <v>26</v>
      </c>
      <c r="C38" s="404">
        <v>391.4</v>
      </c>
      <c r="D38" s="402" t="s">
        <v>1827</v>
      </c>
      <c r="E38" s="1141">
        <f t="shared" si="2"/>
        <v>0.05</v>
      </c>
      <c r="F38" s="402">
        <v>0</v>
      </c>
      <c r="G38" s="402">
        <v>0.05</v>
      </c>
    </row>
    <row r="39" spans="1:11" ht="14.4" x14ac:dyDescent="0.3">
      <c r="A39" s="649">
        <f t="shared" si="1"/>
        <v>27</v>
      </c>
      <c r="C39" s="404">
        <v>391.4</v>
      </c>
      <c r="D39" s="402" t="s">
        <v>1828</v>
      </c>
      <c r="E39" s="1141">
        <f t="shared" si="2"/>
        <v>0.04</v>
      </c>
      <c r="F39" s="402">
        <v>0</v>
      </c>
      <c r="G39" s="402">
        <v>0.04</v>
      </c>
      <c r="I39" s="402"/>
      <c r="J39" s="402"/>
      <c r="K39" s="402"/>
    </row>
    <row r="40" spans="1:11" ht="14.4" x14ac:dyDescent="0.3">
      <c r="A40" s="649">
        <f t="shared" si="1"/>
        <v>28</v>
      </c>
      <c r="C40" s="404">
        <v>393</v>
      </c>
      <c r="D40" t="s">
        <v>1829</v>
      </c>
      <c r="E40" s="1141">
        <f t="shared" si="2"/>
        <v>0.05</v>
      </c>
      <c r="F40" s="402">
        <v>0</v>
      </c>
      <c r="G40" s="402">
        <v>0.05</v>
      </c>
      <c r="I40" s="402"/>
      <c r="J40" s="402"/>
      <c r="K40" s="402"/>
    </row>
    <row r="41" spans="1:11" ht="14.4" x14ac:dyDescent="0.3">
      <c r="A41" s="649">
        <f t="shared" si="1"/>
        <v>29</v>
      </c>
      <c r="C41" s="404">
        <v>395</v>
      </c>
      <c r="D41" t="s">
        <v>1830</v>
      </c>
      <c r="E41" s="1141">
        <f t="shared" si="2"/>
        <v>6.6699999999999995E-2</v>
      </c>
      <c r="F41" s="402">
        <v>0</v>
      </c>
      <c r="G41" s="402">
        <v>6.6699999999999995E-2</v>
      </c>
      <c r="I41" s="402"/>
      <c r="J41" s="402"/>
      <c r="K41" s="402"/>
    </row>
    <row r="42" spans="1:11" ht="14.4" x14ac:dyDescent="0.3">
      <c r="A42" s="649">
        <f t="shared" si="1"/>
        <v>30</v>
      </c>
      <c r="C42" s="404">
        <v>398</v>
      </c>
      <c r="D42" t="s">
        <v>1831</v>
      </c>
      <c r="E42" s="1141">
        <f t="shared" si="2"/>
        <v>0.05</v>
      </c>
      <c r="F42" s="402">
        <v>0</v>
      </c>
      <c r="G42" s="402">
        <v>0.05</v>
      </c>
      <c r="I42" s="402"/>
      <c r="J42" s="402"/>
      <c r="K42" s="402"/>
    </row>
    <row r="43" spans="1:11" ht="14.4" x14ac:dyDescent="0.3">
      <c r="A43" s="649">
        <f t="shared" si="1"/>
        <v>31</v>
      </c>
      <c r="C43" s="404">
        <v>397</v>
      </c>
      <c r="D43" t="s">
        <v>1832</v>
      </c>
      <c r="E43" s="1141">
        <f t="shared" si="2"/>
        <v>0.1429</v>
      </c>
      <c r="F43" s="402">
        <v>0</v>
      </c>
      <c r="G43" s="402">
        <v>0.1429</v>
      </c>
      <c r="I43" s="402"/>
      <c r="J43" s="402"/>
      <c r="K43" s="402"/>
    </row>
    <row r="44" spans="1:11" ht="14.4" x14ac:dyDescent="0.3">
      <c r="A44" s="649">
        <f t="shared" si="1"/>
        <v>32</v>
      </c>
      <c r="C44" s="404">
        <v>397</v>
      </c>
      <c r="D44" t="s">
        <v>1833</v>
      </c>
      <c r="E44" s="1141">
        <f t="shared" si="2"/>
        <v>0.1</v>
      </c>
      <c r="F44" s="402">
        <v>0</v>
      </c>
      <c r="G44" s="402">
        <v>0.1</v>
      </c>
      <c r="I44" s="402"/>
      <c r="J44" s="402"/>
      <c r="K44" s="402"/>
    </row>
    <row r="45" spans="1:11" ht="14.4" x14ac:dyDescent="0.3">
      <c r="A45" s="649">
        <f t="shared" si="1"/>
        <v>33</v>
      </c>
      <c r="C45" s="404">
        <v>397</v>
      </c>
      <c r="D45" t="s">
        <v>1834</v>
      </c>
      <c r="E45" s="1141">
        <f t="shared" si="2"/>
        <v>6.6699999999999995E-2</v>
      </c>
      <c r="F45" s="402">
        <v>0</v>
      </c>
      <c r="G45" s="402">
        <v>6.6699999999999995E-2</v>
      </c>
      <c r="I45" s="402"/>
      <c r="J45" s="402"/>
      <c r="K45" s="402"/>
    </row>
    <row r="46" spans="1:11" ht="14.4" x14ac:dyDescent="0.3">
      <c r="A46" s="649">
        <f t="shared" si="1"/>
        <v>34</v>
      </c>
      <c r="C46" s="404">
        <v>397</v>
      </c>
      <c r="D46" t="s">
        <v>1835</v>
      </c>
      <c r="E46" s="1141">
        <v>6.0600000000000001E-2</v>
      </c>
      <c r="F46" s="402">
        <v>0</v>
      </c>
      <c r="G46" s="402">
        <v>6.0600000000000001E-2</v>
      </c>
    </row>
    <row r="47" spans="1:11" ht="14.4" x14ac:dyDescent="0.3">
      <c r="A47" s="649">
        <f t="shared" si="1"/>
        <v>35</v>
      </c>
      <c r="C47" s="404">
        <v>397</v>
      </c>
      <c r="D47" t="s">
        <v>1836</v>
      </c>
      <c r="E47" s="1141">
        <v>3.7499999999999999E-2</v>
      </c>
      <c r="F47" s="402">
        <v>0</v>
      </c>
      <c r="G47" s="402">
        <v>3.7499999999999999E-2</v>
      </c>
    </row>
    <row r="48" spans="1:11" ht="14.4" x14ac:dyDescent="0.3">
      <c r="A48" s="649">
        <f t="shared" si="1"/>
        <v>36</v>
      </c>
      <c r="C48" s="404">
        <v>392</v>
      </c>
      <c r="D48" t="s">
        <v>1837</v>
      </c>
      <c r="E48" s="1141">
        <f t="shared" si="2"/>
        <v>0.1429</v>
      </c>
      <c r="F48" s="402">
        <v>0</v>
      </c>
      <c r="G48" s="402">
        <v>0.1429</v>
      </c>
    </row>
    <row r="49" spans="1:7" ht="14.4" x14ac:dyDescent="0.3">
      <c r="A49" s="649">
        <f t="shared" si="1"/>
        <v>37</v>
      </c>
      <c r="C49" s="404">
        <v>394.4</v>
      </c>
      <c r="D49" t="s">
        <v>1838</v>
      </c>
      <c r="E49" s="1141">
        <f t="shared" si="2"/>
        <v>0.1</v>
      </c>
      <c r="F49" s="402">
        <v>0</v>
      </c>
      <c r="G49" s="402">
        <v>0.1</v>
      </c>
    </row>
    <row r="50" spans="1:7" ht="14.4" x14ac:dyDescent="0.3">
      <c r="A50" s="649">
        <f t="shared" si="1"/>
        <v>38</v>
      </c>
      <c r="C50" s="404">
        <v>394.5</v>
      </c>
      <c r="D50" t="s">
        <v>1839</v>
      </c>
      <c r="E50" s="1141">
        <f t="shared" si="2"/>
        <v>0.1</v>
      </c>
      <c r="F50" s="402">
        <v>0</v>
      </c>
      <c r="G50" s="402">
        <v>0.1</v>
      </c>
    </row>
    <row r="51" spans="1:7" ht="14.4" x14ac:dyDescent="0.3">
      <c r="A51" s="649">
        <f t="shared" si="1"/>
        <v>39</v>
      </c>
      <c r="C51" s="404">
        <v>396</v>
      </c>
      <c r="D51" t="s">
        <v>1840</v>
      </c>
      <c r="E51" s="1141">
        <f t="shared" si="2"/>
        <v>6.6699999999999995E-2</v>
      </c>
      <c r="F51" s="402">
        <v>0</v>
      </c>
      <c r="G51" s="402">
        <v>6.6699999999999995E-2</v>
      </c>
    </row>
    <row r="53" spans="1:7" ht="14.4" x14ac:dyDescent="0.3">
      <c r="B53" s="400" t="s">
        <v>1133</v>
      </c>
      <c r="E53" s="424" t="s">
        <v>414</v>
      </c>
    </row>
    <row r="54" spans="1:7" ht="14.4" x14ac:dyDescent="0.3">
      <c r="C54" s="264" t="s">
        <v>12</v>
      </c>
      <c r="E54" s="424" t="s">
        <v>1117</v>
      </c>
      <c r="F54" s="4" t="s">
        <v>1118</v>
      </c>
      <c r="G54" s="4"/>
    </row>
    <row r="55" spans="1:7" ht="14.4" x14ac:dyDescent="0.3">
      <c r="C55" s="266" t="s">
        <v>110</v>
      </c>
      <c r="D55" s="266" t="s">
        <v>111</v>
      </c>
      <c r="E55" s="1140" t="s">
        <v>1119</v>
      </c>
      <c r="F55" s="1140" t="s">
        <v>1120</v>
      </c>
      <c r="G55" s="1140" t="s">
        <v>215</v>
      </c>
    </row>
    <row r="56" spans="1:7" ht="14.4" x14ac:dyDescent="0.3">
      <c r="A56" s="2">
        <f>A51+1</f>
        <v>40</v>
      </c>
      <c r="C56" s="404">
        <v>302</v>
      </c>
      <c r="D56" s="401" t="s">
        <v>1134</v>
      </c>
      <c r="E56" s="402">
        <v>2.64E-2</v>
      </c>
      <c r="F56" s="402">
        <v>0</v>
      </c>
      <c r="G56" s="402">
        <v>2.64E-2</v>
      </c>
    </row>
    <row r="57" spans="1:7" ht="14.4" x14ac:dyDescent="0.3">
      <c r="A57" s="2">
        <f t="shared" ref="A57:A62" si="3">A56+1</f>
        <v>41</v>
      </c>
      <c r="C57" s="404">
        <v>303</v>
      </c>
      <c r="D57" s="401" t="s">
        <v>1135</v>
      </c>
      <c r="E57" s="402">
        <v>2.5000000000000001E-2</v>
      </c>
      <c r="F57" s="402">
        <v>0</v>
      </c>
      <c r="G57" s="402">
        <v>2.5000000000000001E-2</v>
      </c>
    </row>
    <row r="58" spans="1:7" ht="14.4" x14ac:dyDescent="0.3">
      <c r="A58" s="2">
        <f t="shared" si="3"/>
        <v>42</v>
      </c>
      <c r="C58" s="404">
        <v>301</v>
      </c>
      <c r="D58" s="401" t="s">
        <v>1136</v>
      </c>
      <c r="E58" s="402">
        <v>0.05</v>
      </c>
      <c r="F58" s="402">
        <v>0</v>
      </c>
      <c r="G58" s="402">
        <v>0.05</v>
      </c>
    </row>
    <row r="59" spans="1:7" ht="14.4" x14ac:dyDescent="0.3">
      <c r="A59" s="2">
        <f t="shared" si="3"/>
        <v>43</v>
      </c>
      <c r="C59" s="404">
        <v>303</v>
      </c>
      <c r="D59" s="401" t="s">
        <v>1137</v>
      </c>
      <c r="E59" s="402">
        <v>0.21410000000000001</v>
      </c>
      <c r="F59" s="402">
        <v>0</v>
      </c>
      <c r="G59" s="402">
        <v>0.21410000000000001</v>
      </c>
    </row>
    <row r="60" spans="1:7" ht="14.4" x14ac:dyDescent="0.3">
      <c r="A60" s="2">
        <f t="shared" si="3"/>
        <v>44</v>
      </c>
      <c r="C60" s="404">
        <v>303</v>
      </c>
      <c r="D60" s="401" t="s">
        <v>1138</v>
      </c>
      <c r="E60" s="402">
        <v>0.14710000000000001</v>
      </c>
      <c r="F60" s="402">
        <v>0</v>
      </c>
      <c r="G60" s="402">
        <v>0.14710000000000001</v>
      </c>
    </row>
    <row r="61" spans="1:7" ht="14.4" x14ac:dyDescent="0.3">
      <c r="A61" s="2">
        <f t="shared" si="3"/>
        <v>45</v>
      </c>
      <c r="C61" s="404">
        <v>303</v>
      </c>
      <c r="D61" s="401" t="s">
        <v>1139</v>
      </c>
      <c r="E61" s="402">
        <v>0.1</v>
      </c>
      <c r="F61" s="402">
        <v>0</v>
      </c>
      <c r="G61" s="402">
        <v>0.1</v>
      </c>
    </row>
    <row r="62" spans="1:7" ht="14.4" x14ac:dyDescent="0.3">
      <c r="A62" s="2">
        <f t="shared" si="3"/>
        <v>46</v>
      </c>
      <c r="C62" s="404">
        <v>303</v>
      </c>
      <c r="D62" s="401" t="s">
        <v>1140</v>
      </c>
      <c r="E62" s="402">
        <v>6.6699999999999995E-2</v>
      </c>
      <c r="F62" s="402">
        <v>0</v>
      </c>
      <c r="G62" s="402">
        <v>6.6699999999999995E-2</v>
      </c>
    </row>
    <row r="63" spans="1:7" x14ac:dyDescent="0.25">
      <c r="B63" s="553" t="s">
        <v>2003</v>
      </c>
      <c r="C63" s="14"/>
      <c r="D63" s="14"/>
      <c r="E63" s="553"/>
      <c r="F63" s="553"/>
    </row>
    <row r="64" spans="1:7" x14ac:dyDescent="0.25">
      <c r="B64" s="553" t="s">
        <v>2002</v>
      </c>
      <c r="C64" s="14"/>
      <c r="D64" s="14"/>
      <c r="E64" s="553"/>
      <c r="F64" s="553"/>
    </row>
  </sheetData>
  <pageMargins left="0.7" right="0.7" top="0.75" bottom="0.75" header="0.3" footer="0.3"/>
  <pageSetup scale="75" orientation="portrait" cellComments="asDisplayed" r:id="rId1"/>
  <headerFooter>
    <oddHeader>&amp;CSchedule 18
Depreciation Rates
&amp;"Arial,Bold"Attachment 5</oddHeader>
    <oddFooter>&amp;R18-DepRates</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9"/>
  <sheetViews>
    <sheetView topLeftCell="A100" zoomScale="90" zoomScaleNormal="90" workbookViewId="0">
      <selection activeCell="B118" sqref="B118"/>
    </sheetView>
  </sheetViews>
  <sheetFormatPr defaultColWidth="9.109375" defaultRowHeight="13.2" x14ac:dyDescent="0.25"/>
  <cols>
    <col min="1" max="1" width="5.6640625" style="564" customWidth="1"/>
    <col min="2" max="2" width="50.6640625" style="564" customWidth="1"/>
    <col min="3" max="5" width="14.6640625" style="562" customWidth="1"/>
    <col min="6" max="6" width="12.6640625" style="1128" customWidth="1"/>
    <col min="7" max="7" width="16.6640625" style="1082" customWidth="1"/>
    <col min="8" max="9" width="14.6640625" style="1083" customWidth="1"/>
    <col min="10" max="12" width="14.6640625" style="564" customWidth="1"/>
    <col min="13" max="13" width="9.109375" style="551"/>
    <col min="14" max="14" width="10.6640625" style="551" bestFit="1" customWidth="1"/>
    <col min="15" max="16384" width="9.109375" style="551"/>
  </cols>
  <sheetData>
    <row r="1" spans="1:12" ht="12.75" customHeight="1" x14ac:dyDescent="0.4">
      <c r="A1" s="472" t="s">
        <v>1416</v>
      </c>
      <c r="C1" s="473"/>
      <c r="D1" s="474"/>
      <c r="E1" s="474"/>
      <c r="F1" s="475"/>
      <c r="G1" s="476"/>
      <c r="H1" s="476"/>
      <c r="I1" s="476"/>
      <c r="J1" s="476"/>
      <c r="K1" s="551"/>
      <c r="L1" s="551"/>
    </row>
    <row r="2" spans="1:12" ht="12.75" customHeight="1" x14ac:dyDescent="0.4">
      <c r="A2" s="477"/>
      <c r="C2" s="473"/>
      <c r="D2" s="474"/>
      <c r="E2" s="474"/>
      <c r="F2" s="478"/>
      <c r="G2" s="844" t="s">
        <v>332</v>
      </c>
      <c r="H2" s="561"/>
      <c r="I2" s="474"/>
      <c r="J2" s="476"/>
      <c r="K2" s="476"/>
      <c r="L2" s="476"/>
    </row>
    <row r="3" spans="1:12" ht="12.75" customHeight="1" x14ac:dyDescent="0.25">
      <c r="A3" s="479"/>
      <c r="B3" s="480" t="s">
        <v>1417</v>
      </c>
      <c r="C3" s="482"/>
      <c r="D3" s="482"/>
      <c r="E3" s="482"/>
      <c r="F3" s="483"/>
      <c r="G3" s="481"/>
      <c r="H3" s="481"/>
      <c r="I3" s="481"/>
      <c r="J3" s="481"/>
      <c r="K3" s="481"/>
      <c r="L3" s="484"/>
    </row>
    <row r="4" spans="1:12" ht="12.75" customHeight="1" x14ac:dyDescent="0.4">
      <c r="A4" s="485"/>
      <c r="B4" s="477"/>
      <c r="C4" s="486"/>
      <c r="D4" s="486"/>
      <c r="E4" s="486"/>
      <c r="F4" s="487"/>
      <c r="G4" s="26"/>
      <c r="H4" s="26"/>
      <c r="I4" s="26"/>
      <c r="J4" s="26"/>
      <c r="K4" s="26"/>
      <c r="L4" s="476"/>
    </row>
    <row r="5" spans="1:12" ht="12.75" customHeight="1" x14ac:dyDescent="0.25">
      <c r="A5" s="481"/>
      <c r="B5" s="488" t="s">
        <v>394</v>
      </c>
      <c r="C5" s="488" t="s">
        <v>378</v>
      </c>
      <c r="D5" s="488" t="s">
        <v>379</v>
      </c>
      <c r="E5" s="488" t="s">
        <v>380</v>
      </c>
      <c r="F5" s="489" t="s">
        <v>381</v>
      </c>
      <c r="G5" s="488" t="s">
        <v>382</v>
      </c>
      <c r="H5" s="488" t="s">
        <v>383</v>
      </c>
      <c r="I5" s="488" t="s">
        <v>597</v>
      </c>
      <c r="J5" s="488" t="s">
        <v>1046</v>
      </c>
      <c r="K5" s="488" t="s">
        <v>1062</v>
      </c>
      <c r="L5" s="488" t="s">
        <v>1065</v>
      </c>
    </row>
    <row r="6" spans="1:12" ht="12.75" customHeight="1" x14ac:dyDescent="0.25">
      <c r="A6" s="485"/>
      <c r="B6" s="477"/>
      <c r="C6" s="668" t="s">
        <v>1418</v>
      </c>
      <c r="D6" s="486"/>
      <c r="E6" s="486"/>
      <c r="F6" s="1078" t="s">
        <v>396</v>
      </c>
      <c r="G6" s="668" t="s">
        <v>1419</v>
      </c>
      <c r="H6" s="490"/>
      <c r="I6" s="490"/>
      <c r="J6" s="668" t="s">
        <v>1420</v>
      </c>
      <c r="K6" s="668" t="s">
        <v>1421</v>
      </c>
      <c r="L6" s="669" t="s">
        <v>1422</v>
      </c>
    </row>
    <row r="7" spans="1:12" ht="12.75" customHeight="1" x14ac:dyDescent="0.25">
      <c r="C7" s="1079"/>
      <c r="D7" s="1080"/>
      <c r="E7" s="1080"/>
      <c r="F7" s="1081"/>
      <c r="J7" s="1084"/>
    </row>
    <row r="8" spans="1:12" x14ac:dyDescent="0.25">
      <c r="A8" s="491"/>
      <c r="B8" s="1301" t="s">
        <v>1423</v>
      </c>
      <c r="C8" s="1303" t="s">
        <v>1424</v>
      </c>
      <c r="D8" s="1303"/>
      <c r="E8" s="1303"/>
      <c r="F8" s="492"/>
      <c r="G8" s="1299" t="s">
        <v>1425</v>
      </c>
      <c r="H8" s="1299"/>
      <c r="I8" s="1300"/>
      <c r="J8" s="1298" t="s">
        <v>1426</v>
      </c>
      <c r="K8" s="1299"/>
      <c r="L8" s="1300"/>
    </row>
    <row r="9" spans="1:12" x14ac:dyDescent="0.25">
      <c r="A9" s="53"/>
      <c r="B9" s="1302"/>
      <c r="C9" s="1077" t="s">
        <v>215</v>
      </c>
      <c r="D9" s="1077" t="s">
        <v>1427</v>
      </c>
      <c r="E9" s="493" t="s">
        <v>1428</v>
      </c>
      <c r="F9" s="494" t="s">
        <v>1360</v>
      </c>
      <c r="G9" s="493" t="s">
        <v>215</v>
      </c>
      <c r="H9" s="493" t="s">
        <v>1427</v>
      </c>
      <c r="I9" s="493" t="s">
        <v>1428</v>
      </c>
      <c r="J9" s="1077" t="s">
        <v>215</v>
      </c>
      <c r="K9" s="493" t="s">
        <v>1427</v>
      </c>
      <c r="L9" s="493" t="s">
        <v>1428</v>
      </c>
    </row>
    <row r="10" spans="1:12" x14ac:dyDescent="0.25">
      <c r="A10" s="53" t="s">
        <v>360</v>
      </c>
      <c r="B10" s="495" t="s">
        <v>1429</v>
      </c>
      <c r="C10" s="280"/>
      <c r="D10" s="280"/>
      <c r="E10" s="496"/>
      <c r="F10" s="497"/>
      <c r="G10" s="496"/>
      <c r="H10" s="496"/>
      <c r="I10" s="496"/>
      <c r="J10" s="280"/>
      <c r="K10" s="496"/>
      <c r="L10" s="496"/>
    </row>
    <row r="11" spans="1:12" x14ac:dyDescent="0.25">
      <c r="A11" s="689">
        <v>1</v>
      </c>
      <c r="B11" s="571" t="s">
        <v>1430</v>
      </c>
      <c r="C11" s="1085">
        <f>SUM(D11:E11)</f>
        <v>0</v>
      </c>
      <c r="D11" s="565"/>
      <c r="E11" s="565"/>
      <c r="F11" s="1086"/>
      <c r="G11" s="1087">
        <f t="shared" ref="G11:G61" si="0">SUM(H11:I11)</f>
        <v>0</v>
      </c>
      <c r="H11" s="565"/>
      <c r="I11" s="565"/>
      <c r="J11" s="720">
        <f>SUM(K11:L11)</f>
        <v>0</v>
      </c>
      <c r="K11" s="720">
        <f>D11+H11</f>
        <v>0</v>
      </c>
      <c r="L11" s="720">
        <f>E11+I11</f>
        <v>0</v>
      </c>
    </row>
    <row r="12" spans="1:12" x14ac:dyDescent="0.25">
      <c r="A12" s="689">
        <f>A11+1</f>
        <v>2</v>
      </c>
      <c r="B12" s="571" t="s">
        <v>1431</v>
      </c>
      <c r="C12" s="1085">
        <f t="shared" ref="C12:C59" si="1">SUM(D12:E12)</f>
        <v>0</v>
      </c>
      <c r="D12" s="565"/>
      <c r="E12" s="565"/>
      <c r="F12" s="1086"/>
      <c r="G12" s="1087">
        <f t="shared" si="0"/>
        <v>0</v>
      </c>
      <c r="H12" s="565"/>
      <c r="I12" s="565"/>
      <c r="J12" s="720">
        <f t="shared" ref="J12:J61" si="2">SUM(K12:L12)</f>
        <v>0</v>
      </c>
      <c r="K12" s="720">
        <f t="shared" ref="K12:L27" si="3">D12+H12</f>
        <v>0</v>
      </c>
      <c r="L12" s="720">
        <f t="shared" si="3"/>
        <v>0</v>
      </c>
    </row>
    <row r="13" spans="1:12" x14ac:dyDescent="0.25">
      <c r="A13" s="689">
        <f t="shared" ref="A13:A63" si="4">A12+1</f>
        <v>3</v>
      </c>
      <c r="B13" s="717" t="s">
        <v>1432</v>
      </c>
      <c r="C13" s="1085">
        <f t="shared" si="1"/>
        <v>0</v>
      </c>
      <c r="D13" s="565"/>
      <c r="E13" s="565"/>
      <c r="F13" s="1086"/>
      <c r="G13" s="1087">
        <f t="shared" si="0"/>
        <v>0</v>
      </c>
      <c r="H13" s="565"/>
      <c r="I13" s="565"/>
      <c r="J13" s="720">
        <f t="shared" si="2"/>
        <v>0</v>
      </c>
      <c r="K13" s="720">
        <f t="shared" si="3"/>
        <v>0</v>
      </c>
      <c r="L13" s="720">
        <f t="shared" si="3"/>
        <v>0</v>
      </c>
    </row>
    <row r="14" spans="1:12" x14ac:dyDescent="0.25">
      <c r="A14" s="689">
        <f t="shared" si="4"/>
        <v>4</v>
      </c>
      <c r="B14" s="717" t="s">
        <v>1433</v>
      </c>
      <c r="C14" s="1085">
        <f t="shared" si="1"/>
        <v>0</v>
      </c>
      <c r="D14" s="565"/>
      <c r="E14" s="565"/>
      <c r="F14" s="1086"/>
      <c r="G14" s="1087">
        <f t="shared" si="0"/>
        <v>0</v>
      </c>
      <c r="H14" s="565"/>
      <c r="I14" s="565"/>
      <c r="J14" s="720">
        <f t="shared" si="2"/>
        <v>0</v>
      </c>
      <c r="K14" s="720">
        <f t="shared" si="3"/>
        <v>0</v>
      </c>
      <c r="L14" s="720">
        <f t="shared" si="3"/>
        <v>0</v>
      </c>
    </row>
    <row r="15" spans="1:12" x14ac:dyDescent="0.25">
      <c r="A15" s="689">
        <f t="shared" si="4"/>
        <v>5</v>
      </c>
      <c r="B15" s="717" t="s">
        <v>1434</v>
      </c>
      <c r="C15" s="1085">
        <f t="shared" si="1"/>
        <v>0</v>
      </c>
      <c r="D15" s="565"/>
      <c r="E15" s="565"/>
      <c r="F15" s="1086"/>
      <c r="G15" s="1087">
        <f t="shared" si="0"/>
        <v>0</v>
      </c>
      <c r="H15" s="565"/>
      <c r="I15" s="565"/>
      <c r="J15" s="720">
        <f t="shared" si="2"/>
        <v>0</v>
      </c>
      <c r="K15" s="720">
        <f t="shared" si="3"/>
        <v>0</v>
      </c>
      <c r="L15" s="720">
        <f t="shared" si="3"/>
        <v>0</v>
      </c>
    </row>
    <row r="16" spans="1:12" x14ac:dyDescent="0.25">
      <c r="A16" s="689">
        <f t="shared" si="4"/>
        <v>6</v>
      </c>
      <c r="B16" s="717" t="s">
        <v>1435</v>
      </c>
      <c r="C16" s="1085">
        <f t="shared" si="1"/>
        <v>0</v>
      </c>
      <c r="D16" s="565"/>
      <c r="E16" s="565"/>
      <c r="F16" s="1088"/>
      <c r="G16" s="1087">
        <f t="shared" si="0"/>
        <v>0</v>
      </c>
      <c r="H16" s="565"/>
      <c r="I16" s="565"/>
      <c r="J16" s="720">
        <f t="shared" si="2"/>
        <v>0</v>
      </c>
      <c r="K16" s="720">
        <f t="shared" si="3"/>
        <v>0</v>
      </c>
      <c r="L16" s="720">
        <f t="shared" si="3"/>
        <v>0</v>
      </c>
    </row>
    <row r="17" spans="1:12" x14ac:dyDescent="0.25">
      <c r="A17" s="689">
        <f t="shared" si="4"/>
        <v>7</v>
      </c>
      <c r="B17" s="717" t="s">
        <v>1436</v>
      </c>
      <c r="C17" s="1085">
        <f t="shared" si="1"/>
        <v>0</v>
      </c>
      <c r="D17" s="565"/>
      <c r="E17" s="565"/>
      <c r="F17" s="1086"/>
      <c r="G17" s="1087">
        <f t="shared" si="0"/>
        <v>0</v>
      </c>
      <c r="H17" s="565"/>
      <c r="I17" s="565"/>
      <c r="J17" s="720">
        <f t="shared" si="2"/>
        <v>0</v>
      </c>
      <c r="K17" s="720">
        <f t="shared" si="3"/>
        <v>0</v>
      </c>
      <c r="L17" s="720">
        <f t="shared" si="3"/>
        <v>0</v>
      </c>
    </row>
    <row r="18" spans="1:12" x14ac:dyDescent="0.25">
      <c r="A18" s="689">
        <f t="shared" si="4"/>
        <v>8</v>
      </c>
      <c r="B18" s="717" t="s">
        <v>1437</v>
      </c>
      <c r="C18" s="1085">
        <f t="shared" si="1"/>
        <v>0</v>
      </c>
      <c r="D18" s="565"/>
      <c r="E18" s="565"/>
      <c r="F18" s="1086"/>
      <c r="G18" s="1087">
        <f t="shared" si="0"/>
        <v>0</v>
      </c>
      <c r="H18" s="565"/>
      <c r="I18" s="565"/>
      <c r="J18" s="720">
        <f t="shared" si="2"/>
        <v>0</v>
      </c>
      <c r="K18" s="720">
        <f t="shared" si="3"/>
        <v>0</v>
      </c>
      <c r="L18" s="720">
        <f t="shared" si="3"/>
        <v>0</v>
      </c>
    </row>
    <row r="19" spans="1:12" x14ac:dyDescent="0.25">
      <c r="A19" s="689">
        <f t="shared" si="4"/>
        <v>9</v>
      </c>
      <c r="B19" s="717" t="s">
        <v>1438</v>
      </c>
      <c r="C19" s="1085">
        <f t="shared" si="1"/>
        <v>0</v>
      </c>
      <c r="D19" s="565"/>
      <c r="E19" s="565"/>
      <c r="F19" s="1086"/>
      <c r="G19" s="1087">
        <f t="shared" si="0"/>
        <v>0</v>
      </c>
      <c r="H19" s="565"/>
      <c r="I19" s="565"/>
      <c r="J19" s="720">
        <f t="shared" si="2"/>
        <v>0</v>
      </c>
      <c r="K19" s="720">
        <f t="shared" si="3"/>
        <v>0</v>
      </c>
      <c r="L19" s="720">
        <f t="shared" si="3"/>
        <v>0</v>
      </c>
    </row>
    <row r="20" spans="1:12" x14ac:dyDescent="0.25">
      <c r="A20" s="689">
        <f t="shared" si="4"/>
        <v>10</v>
      </c>
      <c r="B20" s="717" t="s">
        <v>1439</v>
      </c>
      <c r="C20" s="1085">
        <f t="shared" si="1"/>
        <v>0</v>
      </c>
      <c r="D20" s="565"/>
      <c r="E20" s="565"/>
      <c r="F20" s="1086"/>
      <c r="G20" s="1087">
        <f t="shared" si="0"/>
        <v>0</v>
      </c>
      <c r="H20" s="565"/>
      <c r="I20" s="565"/>
      <c r="J20" s="720">
        <f t="shared" si="2"/>
        <v>0</v>
      </c>
      <c r="K20" s="720">
        <f t="shared" si="3"/>
        <v>0</v>
      </c>
      <c r="L20" s="720">
        <f t="shared" si="3"/>
        <v>0</v>
      </c>
    </row>
    <row r="21" spans="1:12" x14ac:dyDescent="0.25">
      <c r="A21" s="689">
        <f t="shared" si="4"/>
        <v>11</v>
      </c>
      <c r="B21" s="717" t="s">
        <v>1440</v>
      </c>
      <c r="C21" s="1085">
        <f t="shared" si="1"/>
        <v>0</v>
      </c>
      <c r="D21" s="565"/>
      <c r="E21" s="565"/>
      <c r="F21" s="1086"/>
      <c r="G21" s="1087">
        <f t="shared" si="0"/>
        <v>0</v>
      </c>
      <c r="H21" s="565"/>
      <c r="I21" s="565"/>
      <c r="J21" s="720">
        <f t="shared" si="2"/>
        <v>0</v>
      </c>
      <c r="K21" s="720">
        <f t="shared" si="3"/>
        <v>0</v>
      </c>
      <c r="L21" s="720">
        <f t="shared" si="3"/>
        <v>0</v>
      </c>
    </row>
    <row r="22" spans="1:12" x14ac:dyDescent="0.25">
      <c r="A22" s="689">
        <f t="shared" si="4"/>
        <v>12</v>
      </c>
      <c r="B22" s="717" t="s">
        <v>1441</v>
      </c>
      <c r="C22" s="1085">
        <f t="shared" si="1"/>
        <v>0</v>
      </c>
      <c r="D22" s="565"/>
      <c r="E22" s="565"/>
      <c r="F22" s="1086"/>
      <c r="G22" s="1089">
        <f t="shared" si="0"/>
        <v>0</v>
      </c>
      <c r="H22" s="565"/>
      <c r="I22" s="565"/>
      <c r="J22" s="720">
        <f t="shared" si="2"/>
        <v>0</v>
      </c>
      <c r="K22" s="720">
        <f t="shared" si="3"/>
        <v>0</v>
      </c>
      <c r="L22" s="720">
        <f t="shared" si="3"/>
        <v>0</v>
      </c>
    </row>
    <row r="23" spans="1:12" x14ac:dyDescent="0.25">
      <c r="A23" s="689">
        <f t="shared" si="4"/>
        <v>13</v>
      </c>
      <c r="B23" s="717" t="s">
        <v>1442</v>
      </c>
      <c r="C23" s="1085">
        <f t="shared" si="1"/>
        <v>0</v>
      </c>
      <c r="D23" s="565"/>
      <c r="E23" s="565"/>
      <c r="F23" s="1086"/>
      <c r="G23" s="1087">
        <f t="shared" si="0"/>
        <v>0</v>
      </c>
      <c r="H23" s="565"/>
      <c r="I23" s="565"/>
      <c r="J23" s="720">
        <f t="shared" si="2"/>
        <v>0</v>
      </c>
      <c r="K23" s="720">
        <f t="shared" si="3"/>
        <v>0</v>
      </c>
      <c r="L23" s="720">
        <f t="shared" si="3"/>
        <v>0</v>
      </c>
    </row>
    <row r="24" spans="1:12" x14ac:dyDescent="0.25">
      <c r="A24" s="689">
        <f t="shared" si="4"/>
        <v>14</v>
      </c>
      <c r="B24" s="717" t="s">
        <v>1443</v>
      </c>
      <c r="C24" s="1085">
        <f t="shared" si="1"/>
        <v>0</v>
      </c>
      <c r="D24" s="565"/>
      <c r="E24" s="565"/>
      <c r="F24" s="1086"/>
      <c r="G24" s="1087">
        <f>SUM(H24:I24)</f>
        <v>0</v>
      </c>
      <c r="H24" s="565"/>
      <c r="I24" s="565"/>
      <c r="J24" s="720">
        <f>SUM(K24:L24)</f>
        <v>0</v>
      </c>
      <c r="K24" s="720">
        <f t="shared" si="3"/>
        <v>0</v>
      </c>
      <c r="L24" s="720">
        <f t="shared" si="3"/>
        <v>0</v>
      </c>
    </row>
    <row r="25" spans="1:12" x14ac:dyDescent="0.25">
      <c r="A25" s="689">
        <f t="shared" si="4"/>
        <v>15</v>
      </c>
      <c r="B25" s="717" t="s">
        <v>1444</v>
      </c>
      <c r="C25" s="1085">
        <f t="shared" si="1"/>
        <v>0</v>
      </c>
      <c r="D25" s="565"/>
      <c r="E25" s="565"/>
      <c r="F25" s="1090"/>
      <c r="G25" s="1087">
        <f t="shared" si="0"/>
        <v>0</v>
      </c>
      <c r="H25" s="913"/>
      <c r="I25" s="913"/>
      <c r="J25" s="720">
        <f t="shared" si="2"/>
        <v>0</v>
      </c>
      <c r="K25" s="720">
        <f t="shared" si="3"/>
        <v>0</v>
      </c>
      <c r="L25" s="720">
        <f t="shared" si="3"/>
        <v>0</v>
      </c>
    </row>
    <row r="26" spans="1:12" x14ac:dyDescent="0.25">
      <c r="A26" s="689">
        <f t="shared" si="4"/>
        <v>16</v>
      </c>
      <c r="B26" s="717" t="s">
        <v>1445</v>
      </c>
      <c r="C26" s="1085">
        <f t="shared" si="1"/>
        <v>0</v>
      </c>
      <c r="D26" s="565"/>
      <c r="E26" s="565"/>
      <c r="F26" s="1086"/>
      <c r="G26" s="1087">
        <f t="shared" si="0"/>
        <v>0</v>
      </c>
      <c r="H26" s="565"/>
      <c r="I26" s="565"/>
      <c r="J26" s="720">
        <f t="shared" si="2"/>
        <v>0</v>
      </c>
      <c r="K26" s="720">
        <f t="shared" si="3"/>
        <v>0</v>
      </c>
      <c r="L26" s="720">
        <f t="shared" si="3"/>
        <v>0</v>
      </c>
    </row>
    <row r="27" spans="1:12" x14ac:dyDescent="0.25">
      <c r="A27" s="689">
        <f t="shared" si="4"/>
        <v>17</v>
      </c>
      <c r="B27" s="717" t="s">
        <v>1446</v>
      </c>
      <c r="C27" s="1085">
        <f t="shared" si="1"/>
        <v>0</v>
      </c>
      <c r="D27" s="565"/>
      <c r="E27" s="565"/>
      <c r="F27" s="1086"/>
      <c r="G27" s="1089">
        <f t="shared" si="0"/>
        <v>0</v>
      </c>
      <c r="H27" s="565"/>
      <c r="I27" s="565"/>
      <c r="J27" s="720">
        <f t="shared" si="2"/>
        <v>0</v>
      </c>
      <c r="K27" s="720">
        <f t="shared" si="3"/>
        <v>0</v>
      </c>
      <c r="L27" s="720">
        <f t="shared" si="3"/>
        <v>0</v>
      </c>
    </row>
    <row r="28" spans="1:12" x14ac:dyDescent="0.25">
      <c r="A28" s="121">
        <f t="shared" si="4"/>
        <v>18</v>
      </c>
      <c r="B28" s="717" t="s">
        <v>2084</v>
      </c>
      <c r="C28" s="1085">
        <f t="shared" si="1"/>
        <v>0</v>
      </c>
      <c r="D28" s="565"/>
      <c r="E28" s="565"/>
      <c r="F28" s="1142"/>
      <c r="G28" s="1087">
        <f t="shared" si="0"/>
        <v>0</v>
      </c>
      <c r="H28" s="565"/>
      <c r="I28" s="565"/>
      <c r="J28" s="1107">
        <f t="shared" si="2"/>
        <v>0</v>
      </c>
      <c r="K28" s="1107">
        <f t="shared" ref="K28:L59" si="5">D28+H28</f>
        <v>0</v>
      </c>
      <c r="L28" s="1107">
        <f t="shared" si="5"/>
        <v>0</v>
      </c>
    </row>
    <row r="29" spans="1:12" x14ac:dyDescent="0.25">
      <c r="A29" s="121">
        <f t="shared" si="4"/>
        <v>19</v>
      </c>
      <c r="B29" s="717" t="s">
        <v>2085</v>
      </c>
      <c r="C29" s="1085">
        <f t="shared" si="1"/>
        <v>0</v>
      </c>
      <c r="D29" s="565"/>
      <c r="E29" s="565"/>
      <c r="F29" s="1086"/>
      <c r="G29" s="1089">
        <f t="shared" si="0"/>
        <v>0</v>
      </c>
      <c r="H29" s="565"/>
      <c r="I29" s="565"/>
      <c r="J29" s="1107">
        <f t="shared" ref="J29" si="6">SUM(K29:L29)</f>
        <v>0</v>
      </c>
      <c r="K29" s="1107">
        <f t="shared" ref="K29" si="7">D29+H29</f>
        <v>0</v>
      </c>
      <c r="L29" s="1107">
        <f t="shared" ref="L29" si="8">E29+I29</f>
        <v>0</v>
      </c>
    </row>
    <row r="30" spans="1:12" x14ac:dyDescent="0.25">
      <c r="A30" s="121">
        <f t="shared" si="4"/>
        <v>20</v>
      </c>
      <c r="B30" s="717" t="s">
        <v>1447</v>
      </c>
      <c r="C30" s="1085">
        <f t="shared" si="1"/>
        <v>0</v>
      </c>
      <c r="D30" s="565"/>
      <c r="E30" s="565"/>
      <c r="F30" s="1086"/>
      <c r="G30" s="1087">
        <f t="shared" si="0"/>
        <v>0</v>
      </c>
      <c r="H30" s="565"/>
      <c r="I30" s="565"/>
      <c r="J30" s="720">
        <f t="shared" si="2"/>
        <v>0</v>
      </c>
      <c r="K30" s="720">
        <f t="shared" si="5"/>
        <v>0</v>
      </c>
      <c r="L30" s="720">
        <f t="shared" si="5"/>
        <v>0</v>
      </c>
    </row>
    <row r="31" spans="1:12" x14ac:dyDescent="0.25">
      <c r="A31" s="121">
        <f t="shared" si="4"/>
        <v>21</v>
      </c>
      <c r="B31" s="717" t="s">
        <v>1448</v>
      </c>
      <c r="C31" s="1085">
        <f t="shared" si="1"/>
        <v>0</v>
      </c>
      <c r="D31" s="565"/>
      <c r="E31" s="565"/>
      <c r="F31" s="1086"/>
      <c r="G31" s="1087">
        <f t="shared" si="0"/>
        <v>0</v>
      </c>
      <c r="H31" s="565"/>
      <c r="I31" s="565"/>
      <c r="J31" s="720">
        <f t="shared" si="2"/>
        <v>0</v>
      </c>
      <c r="K31" s="720">
        <f t="shared" si="5"/>
        <v>0</v>
      </c>
      <c r="L31" s="720">
        <f t="shared" si="5"/>
        <v>0</v>
      </c>
    </row>
    <row r="32" spans="1:12" x14ac:dyDescent="0.25">
      <c r="A32" s="121">
        <f t="shared" si="4"/>
        <v>22</v>
      </c>
      <c r="B32" s="717" t="s">
        <v>1449</v>
      </c>
      <c r="C32" s="1085">
        <f t="shared" si="1"/>
        <v>0</v>
      </c>
      <c r="D32" s="565"/>
      <c r="E32" s="565"/>
      <c r="F32" s="1086"/>
      <c r="G32" s="1087">
        <f t="shared" si="0"/>
        <v>0</v>
      </c>
      <c r="H32" s="565"/>
      <c r="I32" s="565"/>
      <c r="J32" s="720">
        <f t="shared" si="2"/>
        <v>0</v>
      </c>
      <c r="K32" s="720">
        <f t="shared" si="5"/>
        <v>0</v>
      </c>
      <c r="L32" s="720">
        <f t="shared" si="5"/>
        <v>0</v>
      </c>
    </row>
    <row r="33" spans="1:14" x14ac:dyDescent="0.25">
      <c r="A33" s="121">
        <f t="shared" si="4"/>
        <v>23</v>
      </c>
      <c r="B33" s="717" t="s">
        <v>1450</v>
      </c>
      <c r="C33" s="1085">
        <f t="shared" si="1"/>
        <v>0</v>
      </c>
      <c r="D33" s="565"/>
      <c r="E33" s="565"/>
      <c r="F33" s="1086"/>
      <c r="G33" s="1087">
        <f t="shared" si="0"/>
        <v>0</v>
      </c>
      <c r="H33" s="565"/>
      <c r="I33" s="565"/>
      <c r="J33" s="720">
        <f t="shared" si="2"/>
        <v>0</v>
      </c>
      <c r="K33" s="720">
        <f t="shared" si="5"/>
        <v>0</v>
      </c>
      <c r="L33" s="720">
        <f t="shared" si="5"/>
        <v>0</v>
      </c>
    </row>
    <row r="34" spans="1:14" x14ac:dyDescent="0.25">
      <c r="A34" s="121">
        <f t="shared" si="4"/>
        <v>24</v>
      </c>
      <c r="B34" s="717" t="s">
        <v>1451</v>
      </c>
      <c r="C34" s="1085">
        <f t="shared" si="1"/>
        <v>0</v>
      </c>
      <c r="D34" s="565"/>
      <c r="E34" s="565"/>
      <c r="F34" s="1086"/>
      <c r="G34" s="1087">
        <f t="shared" si="0"/>
        <v>0</v>
      </c>
      <c r="H34" s="565"/>
      <c r="I34" s="565"/>
      <c r="J34" s="720">
        <f t="shared" si="2"/>
        <v>0</v>
      </c>
      <c r="K34" s="720">
        <f t="shared" si="5"/>
        <v>0</v>
      </c>
      <c r="L34" s="720">
        <f t="shared" si="5"/>
        <v>0</v>
      </c>
    </row>
    <row r="35" spans="1:14" x14ac:dyDescent="0.25">
      <c r="A35" s="121">
        <f t="shared" si="4"/>
        <v>25</v>
      </c>
      <c r="B35" s="717" t="s">
        <v>1452</v>
      </c>
      <c r="C35" s="1085">
        <f t="shared" si="1"/>
        <v>0</v>
      </c>
      <c r="D35" s="565"/>
      <c r="E35" s="565"/>
      <c r="F35" s="1086"/>
      <c r="G35" s="1087">
        <f t="shared" si="0"/>
        <v>0</v>
      </c>
      <c r="H35" s="565"/>
      <c r="I35" s="565"/>
      <c r="J35" s="720">
        <f t="shared" si="2"/>
        <v>0</v>
      </c>
      <c r="K35" s="720">
        <f t="shared" si="5"/>
        <v>0</v>
      </c>
      <c r="L35" s="720">
        <f t="shared" si="5"/>
        <v>0</v>
      </c>
    </row>
    <row r="36" spans="1:14" x14ac:dyDescent="0.25">
      <c r="A36" s="121">
        <f t="shared" si="4"/>
        <v>26</v>
      </c>
      <c r="B36" s="717" t="s">
        <v>1453</v>
      </c>
      <c r="C36" s="1085">
        <f t="shared" si="1"/>
        <v>0</v>
      </c>
      <c r="D36" s="565"/>
      <c r="E36" s="565"/>
      <c r="F36" s="1086"/>
      <c r="G36" s="1087">
        <f t="shared" si="0"/>
        <v>0</v>
      </c>
      <c r="H36" s="565"/>
      <c r="I36" s="565"/>
      <c r="J36" s="720">
        <f t="shared" si="2"/>
        <v>0</v>
      </c>
      <c r="K36" s="720">
        <f t="shared" si="5"/>
        <v>0</v>
      </c>
      <c r="L36" s="720">
        <f t="shared" si="5"/>
        <v>0</v>
      </c>
    </row>
    <row r="37" spans="1:14" x14ac:dyDescent="0.25">
      <c r="A37" s="121">
        <f t="shared" si="4"/>
        <v>27</v>
      </c>
      <c r="B37" s="717" t="s">
        <v>1454</v>
      </c>
      <c r="C37" s="1085">
        <f t="shared" si="1"/>
        <v>0</v>
      </c>
      <c r="D37" s="565"/>
      <c r="E37" s="565"/>
      <c r="F37" s="1086"/>
      <c r="G37" s="1087">
        <f t="shared" si="0"/>
        <v>0</v>
      </c>
      <c r="H37" s="565"/>
      <c r="I37" s="565"/>
      <c r="J37" s="720">
        <f t="shared" si="2"/>
        <v>0</v>
      </c>
      <c r="K37" s="720">
        <f t="shared" si="5"/>
        <v>0</v>
      </c>
      <c r="L37" s="720">
        <f t="shared" si="5"/>
        <v>0</v>
      </c>
    </row>
    <row r="38" spans="1:14" x14ac:dyDescent="0.25">
      <c r="A38" s="121">
        <f t="shared" si="4"/>
        <v>28</v>
      </c>
      <c r="B38" s="717" t="s">
        <v>1455</v>
      </c>
      <c r="C38" s="1085">
        <f t="shared" si="1"/>
        <v>0</v>
      </c>
      <c r="D38" s="565"/>
      <c r="E38" s="565"/>
      <c r="F38" s="1086"/>
      <c r="G38" s="1087">
        <f t="shared" si="0"/>
        <v>0</v>
      </c>
      <c r="H38" s="565"/>
      <c r="I38" s="565"/>
      <c r="J38" s="720">
        <f t="shared" si="2"/>
        <v>0</v>
      </c>
      <c r="K38" s="720">
        <f t="shared" si="5"/>
        <v>0</v>
      </c>
      <c r="L38" s="720">
        <f t="shared" si="5"/>
        <v>0</v>
      </c>
    </row>
    <row r="39" spans="1:14" x14ac:dyDescent="0.25">
      <c r="A39" s="121">
        <f t="shared" si="4"/>
        <v>29</v>
      </c>
      <c r="B39" s="717" t="s">
        <v>1456</v>
      </c>
      <c r="C39" s="1085">
        <f t="shared" si="1"/>
        <v>0</v>
      </c>
      <c r="D39" s="565"/>
      <c r="E39" s="565"/>
      <c r="F39" s="1086"/>
      <c r="G39" s="1087">
        <f t="shared" si="0"/>
        <v>0</v>
      </c>
      <c r="H39" s="565"/>
      <c r="I39" s="565"/>
      <c r="J39" s="720">
        <f t="shared" si="2"/>
        <v>0</v>
      </c>
      <c r="K39" s="720">
        <f t="shared" si="5"/>
        <v>0</v>
      </c>
      <c r="L39" s="720">
        <f t="shared" si="5"/>
        <v>0</v>
      </c>
    </row>
    <row r="40" spans="1:14" x14ac:dyDescent="0.25">
      <c r="A40" s="121">
        <f t="shared" si="4"/>
        <v>30</v>
      </c>
      <c r="B40" s="717" t="s">
        <v>1457</v>
      </c>
      <c r="C40" s="1085">
        <f t="shared" si="1"/>
        <v>0</v>
      </c>
      <c r="D40" s="565"/>
      <c r="E40" s="565"/>
      <c r="F40" s="1086"/>
      <c r="G40" s="1087">
        <f t="shared" si="0"/>
        <v>0</v>
      </c>
      <c r="H40" s="565"/>
      <c r="I40" s="565"/>
      <c r="J40" s="720">
        <f t="shared" si="2"/>
        <v>0</v>
      </c>
      <c r="K40" s="720">
        <f t="shared" si="5"/>
        <v>0</v>
      </c>
      <c r="L40" s="720">
        <f t="shared" si="5"/>
        <v>0</v>
      </c>
    </row>
    <row r="41" spans="1:14" x14ac:dyDescent="0.25">
      <c r="A41" s="121">
        <f t="shared" si="4"/>
        <v>31</v>
      </c>
      <c r="B41" s="717" t="s">
        <v>1458</v>
      </c>
      <c r="C41" s="1085">
        <f t="shared" si="1"/>
        <v>0</v>
      </c>
      <c r="D41" s="565"/>
      <c r="E41" s="565"/>
      <c r="F41" s="1086"/>
      <c r="G41" s="1087">
        <f t="shared" si="0"/>
        <v>0</v>
      </c>
      <c r="H41" s="565"/>
      <c r="I41" s="565"/>
      <c r="J41" s="720">
        <f t="shared" si="2"/>
        <v>0</v>
      </c>
      <c r="K41" s="720">
        <f t="shared" si="5"/>
        <v>0</v>
      </c>
      <c r="L41" s="720">
        <f t="shared" si="5"/>
        <v>0</v>
      </c>
    </row>
    <row r="42" spans="1:14" x14ac:dyDescent="0.25">
      <c r="A42" s="121">
        <f t="shared" si="4"/>
        <v>32</v>
      </c>
      <c r="B42" s="717" t="s">
        <v>2780</v>
      </c>
      <c r="C42" s="1085">
        <f t="shared" si="1"/>
        <v>0</v>
      </c>
      <c r="D42" s="565"/>
      <c r="E42" s="565"/>
      <c r="F42" s="1086"/>
      <c r="G42" s="1087">
        <f t="shared" si="0"/>
        <v>0</v>
      </c>
      <c r="H42" s="565"/>
      <c r="I42" s="565"/>
      <c r="J42" s="720">
        <f t="shared" si="2"/>
        <v>0</v>
      </c>
      <c r="K42" s="720">
        <f t="shared" si="5"/>
        <v>0</v>
      </c>
      <c r="L42" s="720">
        <f t="shared" si="5"/>
        <v>0</v>
      </c>
      <c r="N42" s="558"/>
    </row>
    <row r="43" spans="1:14" x14ac:dyDescent="0.25">
      <c r="A43" s="121">
        <f t="shared" si="4"/>
        <v>33</v>
      </c>
      <c r="B43" s="717" t="s">
        <v>2781</v>
      </c>
      <c r="C43" s="1085">
        <f t="shared" si="1"/>
        <v>0</v>
      </c>
      <c r="D43" s="565"/>
      <c r="E43" s="565"/>
      <c r="F43" s="1086"/>
      <c r="G43" s="1087">
        <f t="shared" si="0"/>
        <v>0</v>
      </c>
      <c r="H43" s="565"/>
      <c r="I43" s="565"/>
      <c r="J43" s="720">
        <f t="shared" si="2"/>
        <v>0</v>
      </c>
      <c r="K43" s="720">
        <f t="shared" si="5"/>
        <v>0</v>
      </c>
      <c r="L43" s="720">
        <f t="shared" si="5"/>
        <v>0</v>
      </c>
      <c r="N43" s="558"/>
    </row>
    <row r="44" spans="1:14" x14ac:dyDescent="0.25">
      <c r="A44" s="121">
        <f t="shared" si="4"/>
        <v>34</v>
      </c>
      <c r="B44" s="717" t="s">
        <v>2782</v>
      </c>
      <c r="C44" s="1085">
        <f t="shared" si="1"/>
        <v>0</v>
      </c>
      <c r="D44" s="565"/>
      <c r="E44" s="565"/>
      <c r="F44" s="1086"/>
      <c r="G44" s="1087">
        <f t="shared" si="0"/>
        <v>0</v>
      </c>
      <c r="H44" s="565"/>
      <c r="I44" s="565"/>
      <c r="J44" s="720">
        <f t="shared" si="2"/>
        <v>0</v>
      </c>
      <c r="K44" s="720">
        <f t="shared" si="5"/>
        <v>0</v>
      </c>
      <c r="L44" s="720">
        <f t="shared" si="5"/>
        <v>0</v>
      </c>
      <c r="N44" s="558"/>
    </row>
    <row r="45" spans="1:14" x14ac:dyDescent="0.25">
      <c r="A45" s="121">
        <f t="shared" si="4"/>
        <v>35</v>
      </c>
      <c r="B45" s="717" t="s">
        <v>1459</v>
      </c>
      <c r="C45" s="1085">
        <f t="shared" si="1"/>
        <v>0</v>
      </c>
      <c r="D45" s="565"/>
      <c r="E45" s="565"/>
      <c r="F45" s="1086"/>
      <c r="G45" s="1087">
        <f t="shared" si="0"/>
        <v>0</v>
      </c>
      <c r="H45" s="565"/>
      <c r="I45" s="565"/>
      <c r="J45" s="720">
        <f t="shared" si="2"/>
        <v>0</v>
      </c>
      <c r="K45" s="720">
        <f t="shared" si="5"/>
        <v>0</v>
      </c>
      <c r="L45" s="720">
        <f t="shared" si="5"/>
        <v>0</v>
      </c>
    </row>
    <row r="46" spans="1:14" x14ac:dyDescent="0.25">
      <c r="A46" s="121">
        <f t="shared" si="4"/>
        <v>36</v>
      </c>
      <c r="B46" s="717" t="s">
        <v>1460</v>
      </c>
      <c r="C46" s="1085">
        <f t="shared" si="1"/>
        <v>0</v>
      </c>
      <c r="D46" s="565"/>
      <c r="E46" s="565"/>
      <c r="F46" s="1086"/>
      <c r="G46" s="1087">
        <f t="shared" si="0"/>
        <v>0</v>
      </c>
      <c r="H46" s="565"/>
      <c r="I46" s="565"/>
      <c r="J46" s="720">
        <f t="shared" si="2"/>
        <v>0</v>
      </c>
      <c r="K46" s="720">
        <f t="shared" si="5"/>
        <v>0</v>
      </c>
      <c r="L46" s="720">
        <f t="shared" si="5"/>
        <v>0</v>
      </c>
    </row>
    <row r="47" spans="1:14" x14ac:dyDescent="0.25">
      <c r="A47" s="121">
        <f t="shared" si="4"/>
        <v>37</v>
      </c>
      <c r="B47" s="717" t="s">
        <v>1461</v>
      </c>
      <c r="C47" s="1085">
        <f t="shared" si="1"/>
        <v>0</v>
      </c>
      <c r="D47" s="565"/>
      <c r="E47" s="565"/>
      <c r="F47" s="1086"/>
      <c r="G47" s="1087">
        <f t="shared" si="0"/>
        <v>0</v>
      </c>
      <c r="H47" s="565"/>
      <c r="I47" s="565"/>
      <c r="J47" s="720">
        <f t="shared" si="2"/>
        <v>0</v>
      </c>
      <c r="K47" s="720">
        <f t="shared" si="5"/>
        <v>0</v>
      </c>
      <c r="L47" s="720">
        <f t="shared" si="5"/>
        <v>0</v>
      </c>
    </row>
    <row r="48" spans="1:14" x14ac:dyDescent="0.25">
      <c r="A48" s="121">
        <f t="shared" si="4"/>
        <v>38</v>
      </c>
      <c r="B48" s="717" t="s">
        <v>1462</v>
      </c>
      <c r="C48" s="1085">
        <f t="shared" si="1"/>
        <v>0</v>
      </c>
      <c r="D48" s="565"/>
      <c r="E48" s="565"/>
      <c r="F48" s="1086"/>
      <c r="G48" s="1087">
        <f t="shared" si="0"/>
        <v>0</v>
      </c>
      <c r="H48" s="565"/>
      <c r="I48" s="565"/>
      <c r="J48" s="720">
        <f t="shared" si="2"/>
        <v>0</v>
      </c>
      <c r="K48" s="720">
        <f t="shared" si="5"/>
        <v>0</v>
      </c>
      <c r="L48" s="720">
        <f t="shared" si="5"/>
        <v>0</v>
      </c>
    </row>
    <row r="49" spans="1:12" x14ac:dyDescent="0.25">
      <c r="A49" s="121">
        <f t="shared" si="4"/>
        <v>39</v>
      </c>
      <c r="B49" s="717" t="s">
        <v>1463</v>
      </c>
      <c r="C49" s="1085">
        <f t="shared" si="1"/>
        <v>0</v>
      </c>
      <c r="D49" s="565"/>
      <c r="E49" s="565"/>
      <c r="F49" s="1086"/>
      <c r="G49" s="1087">
        <f t="shared" si="0"/>
        <v>0</v>
      </c>
      <c r="H49" s="565"/>
      <c r="I49" s="565"/>
      <c r="J49" s="720">
        <f t="shared" si="2"/>
        <v>0</v>
      </c>
      <c r="K49" s="720">
        <f t="shared" si="5"/>
        <v>0</v>
      </c>
      <c r="L49" s="720">
        <f t="shared" si="5"/>
        <v>0</v>
      </c>
    </row>
    <row r="50" spans="1:12" x14ac:dyDescent="0.25">
      <c r="A50" s="121">
        <f t="shared" si="4"/>
        <v>40</v>
      </c>
      <c r="B50" s="553" t="s">
        <v>1860</v>
      </c>
      <c r="C50" s="1085">
        <f t="shared" si="1"/>
        <v>0</v>
      </c>
      <c r="D50" s="565"/>
      <c r="E50" s="565"/>
      <c r="F50" s="1086"/>
      <c r="G50" s="1087">
        <f t="shared" si="0"/>
        <v>0</v>
      </c>
      <c r="H50" s="565"/>
      <c r="I50" s="565"/>
      <c r="J50" s="720">
        <f t="shared" si="2"/>
        <v>0</v>
      </c>
      <c r="K50" s="720">
        <f t="shared" si="5"/>
        <v>0</v>
      </c>
      <c r="L50" s="720">
        <f t="shared" si="5"/>
        <v>0</v>
      </c>
    </row>
    <row r="51" spans="1:12" x14ac:dyDescent="0.25">
      <c r="A51" s="121">
        <f t="shared" si="4"/>
        <v>41</v>
      </c>
      <c r="B51" s="717" t="s">
        <v>1464</v>
      </c>
      <c r="C51" s="1085">
        <f t="shared" si="1"/>
        <v>0</v>
      </c>
      <c r="D51" s="565"/>
      <c r="E51" s="565"/>
      <c r="F51" s="1086"/>
      <c r="G51" s="1087">
        <f t="shared" si="0"/>
        <v>0</v>
      </c>
      <c r="H51" s="565"/>
      <c r="I51" s="565"/>
      <c r="J51" s="720">
        <f t="shared" si="2"/>
        <v>0</v>
      </c>
      <c r="K51" s="720">
        <f t="shared" si="5"/>
        <v>0</v>
      </c>
      <c r="L51" s="720">
        <f t="shared" si="5"/>
        <v>0</v>
      </c>
    </row>
    <row r="52" spans="1:12" x14ac:dyDescent="0.25">
      <c r="A52" s="121">
        <f t="shared" si="4"/>
        <v>42</v>
      </c>
      <c r="B52" s="717" t="s">
        <v>1465</v>
      </c>
      <c r="C52" s="1085">
        <f t="shared" si="1"/>
        <v>0</v>
      </c>
      <c r="D52" s="565"/>
      <c r="E52" s="565"/>
      <c r="F52" s="1086"/>
      <c r="G52" s="1087">
        <f t="shared" si="0"/>
        <v>0</v>
      </c>
      <c r="H52" s="565"/>
      <c r="I52" s="565"/>
      <c r="J52" s="720">
        <f t="shared" si="2"/>
        <v>0</v>
      </c>
      <c r="K52" s="720">
        <f t="shared" si="5"/>
        <v>0</v>
      </c>
      <c r="L52" s="720">
        <f t="shared" si="5"/>
        <v>0</v>
      </c>
    </row>
    <row r="53" spans="1:12" x14ac:dyDescent="0.25">
      <c r="A53" s="121">
        <f t="shared" si="4"/>
        <v>43</v>
      </c>
      <c r="B53" s="717" t="s">
        <v>1466</v>
      </c>
      <c r="C53" s="1085">
        <f t="shared" si="1"/>
        <v>0</v>
      </c>
      <c r="D53" s="565"/>
      <c r="E53" s="565"/>
      <c r="F53" s="1086"/>
      <c r="G53" s="1087">
        <f t="shared" si="0"/>
        <v>0</v>
      </c>
      <c r="H53" s="565"/>
      <c r="I53" s="565"/>
      <c r="J53" s="720">
        <f t="shared" si="2"/>
        <v>0</v>
      </c>
      <c r="K53" s="720">
        <f t="shared" si="5"/>
        <v>0</v>
      </c>
      <c r="L53" s="720">
        <f t="shared" si="5"/>
        <v>0</v>
      </c>
    </row>
    <row r="54" spans="1:12" x14ac:dyDescent="0.25">
      <c r="A54" s="121">
        <f t="shared" si="4"/>
        <v>44</v>
      </c>
      <c r="B54" s="717" t="s">
        <v>1467</v>
      </c>
      <c r="C54" s="1085">
        <f t="shared" si="1"/>
        <v>0</v>
      </c>
      <c r="D54" s="565"/>
      <c r="E54" s="565"/>
      <c r="F54" s="1086"/>
      <c r="G54" s="1089">
        <f t="shared" si="0"/>
        <v>0</v>
      </c>
      <c r="H54" s="565"/>
      <c r="I54" s="565"/>
      <c r="J54" s="720">
        <f t="shared" si="2"/>
        <v>0</v>
      </c>
      <c r="K54" s="720">
        <f t="shared" si="5"/>
        <v>0</v>
      </c>
      <c r="L54" s="720">
        <f t="shared" si="5"/>
        <v>0</v>
      </c>
    </row>
    <row r="55" spans="1:12" x14ac:dyDescent="0.25">
      <c r="A55" s="121">
        <f t="shared" si="4"/>
        <v>45</v>
      </c>
      <c r="B55" s="717" t="s">
        <v>1663</v>
      </c>
      <c r="C55" s="1085">
        <f t="shared" si="1"/>
        <v>0</v>
      </c>
      <c r="D55" s="565"/>
      <c r="E55" s="565"/>
      <c r="F55" s="1086"/>
      <c r="G55" s="1089">
        <f t="shared" si="0"/>
        <v>0</v>
      </c>
      <c r="H55" s="565"/>
      <c r="I55" s="565"/>
      <c r="J55" s="720">
        <f t="shared" ref="J55" si="9">SUM(K55:L55)</f>
        <v>0</v>
      </c>
      <c r="K55" s="720">
        <f t="shared" ref="K55" si="10">D55+H55</f>
        <v>0</v>
      </c>
      <c r="L55" s="720">
        <f t="shared" ref="L55" si="11">E55+I55</f>
        <v>0</v>
      </c>
    </row>
    <row r="56" spans="1:12" x14ac:dyDescent="0.25">
      <c r="A56" s="121">
        <f t="shared" si="4"/>
        <v>46</v>
      </c>
      <c r="B56" s="717" t="s">
        <v>1468</v>
      </c>
      <c r="C56" s="1085">
        <f t="shared" si="1"/>
        <v>0</v>
      </c>
      <c r="D56" s="565"/>
      <c r="E56" s="565"/>
      <c r="F56" s="1086"/>
      <c r="G56" s="1087">
        <f t="shared" si="0"/>
        <v>0</v>
      </c>
      <c r="H56" s="565"/>
      <c r="I56" s="565"/>
      <c r="J56" s="720">
        <f t="shared" si="2"/>
        <v>0</v>
      </c>
      <c r="K56" s="720">
        <f t="shared" si="5"/>
        <v>0</v>
      </c>
      <c r="L56" s="720">
        <f t="shared" si="5"/>
        <v>0</v>
      </c>
    </row>
    <row r="57" spans="1:12" x14ac:dyDescent="0.25">
      <c r="A57" s="121">
        <f t="shared" si="4"/>
        <v>47</v>
      </c>
      <c r="B57" s="717" t="s">
        <v>1469</v>
      </c>
      <c r="C57" s="1085">
        <f t="shared" si="1"/>
        <v>0</v>
      </c>
      <c r="D57" s="565"/>
      <c r="E57" s="565"/>
      <c r="F57" s="1086"/>
      <c r="G57" s="1087">
        <f t="shared" si="0"/>
        <v>0</v>
      </c>
      <c r="H57" s="565"/>
      <c r="I57" s="565"/>
      <c r="J57" s="720">
        <f t="shared" si="2"/>
        <v>0</v>
      </c>
      <c r="K57" s="720">
        <f t="shared" si="5"/>
        <v>0</v>
      </c>
      <c r="L57" s="720">
        <f t="shared" si="5"/>
        <v>0</v>
      </c>
    </row>
    <row r="58" spans="1:12" x14ac:dyDescent="0.25">
      <c r="A58" s="121">
        <f t="shared" si="4"/>
        <v>48</v>
      </c>
      <c r="B58" s="717" t="s">
        <v>1470</v>
      </c>
      <c r="C58" s="1085">
        <f t="shared" si="1"/>
        <v>0</v>
      </c>
      <c r="D58" s="565"/>
      <c r="E58" s="565"/>
      <c r="F58" s="1086"/>
      <c r="G58" s="1087">
        <f t="shared" si="0"/>
        <v>0</v>
      </c>
      <c r="H58" s="565"/>
      <c r="I58" s="565"/>
      <c r="J58" s="720">
        <f t="shared" si="2"/>
        <v>0</v>
      </c>
      <c r="K58" s="720">
        <f t="shared" si="5"/>
        <v>0</v>
      </c>
      <c r="L58" s="720">
        <f t="shared" si="5"/>
        <v>0</v>
      </c>
    </row>
    <row r="59" spans="1:12" ht="15" x14ac:dyDescent="0.4">
      <c r="A59" s="121">
        <f t="shared" si="4"/>
        <v>49</v>
      </c>
      <c r="B59" s="717" t="s">
        <v>1471</v>
      </c>
      <c r="C59" s="1085">
        <f t="shared" si="1"/>
        <v>0</v>
      </c>
      <c r="D59" s="565"/>
      <c r="E59" s="565"/>
      <c r="F59" s="498"/>
      <c r="G59" s="1087">
        <f t="shared" si="0"/>
        <v>0</v>
      </c>
      <c r="H59" s="515"/>
      <c r="I59" s="515"/>
      <c r="J59" s="720">
        <f t="shared" si="2"/>
        <v>0</v>
      </c>
      <c r="K59" s="720">
        <f t="shared" si="5"/>
        <v>0</v>
      </c>
      <c r="L59" s="720">
        <f t="shared" si="5"/>
        <v>0</v>
      </c>
    </row>
    <row r="60" spans="1:12" ht="15" x14ac:dyDescent="0.4">
      <c r="A60" s="121">
        <f t="shared" si="4"/>
        <v>50</v>
      </c>
      <c r="B60" s="623" t="s">
        <v>565</v>
      </c>
      <c r="C60" s="1092" t="s">
        <v>86</v>
      </c>
      <c r="D60" s="1092" t="s">
        <v>86</v>
      </c>
      <c r="E60" s="1092" t="s">
        <v>86</v>
      </c>
      <c r="F60" s="1092" t="s">
        <v>86</v>
      </c>
      <c r="G60" s="1089">
        <f t="shared" si="0"/>
        <v>0</v>
      </c>
      <c r="H60" s="1092" t="s">
        <v>86</v>
      </c>
      <c r="I60" s="1092" t="s">
        <v>86</v>
      </c>
      <c r="J60" s="499"/>
      <c r="K60" s="499"/>
      <c r="L60" s="499"/>
    </row>
    <row r="61" spans="1:12" x14ac:dyDescent="0.25">
      <c r="A61" s="121">
        <f t="shared" si="4"/>
        <v>51</v>
      </c>
      <c r="B61" s="717" t="s">
        <v>2514</v>
      </c>
      <c r="C61" s="1093">
        <v>0</v>
      </c>
      <c r="D61" s="1093">
        <v>0</v>
      </c>
      <c r="E61" s="1093">
        <v>0</v>
      </c>
      <c r="F61" s="1110"/>
      <c r="G61" s="1094" t="e">
        <f t="shared" si="0"/>
        <v>#DIV/0!</v>
      </c>
      <c r="H61" s="1095" t="e">
        <f>+C87*C192</f>
        <v>#DIV/0!</v>
      </c>
      <c r="I61" s="1095">
        <v>0</v>
      </c>
      <c r="J61" s="1096" t="e">
        <f t="shared" si="2"/>
        <v>#DIV/0!</v>
      </c>
      <c r="K61" s="1096" t="e">
        <f>D61+H61</f>
        <v>#DIV/0!</v>
      </c>
      <c r="L61" s="1096">
        <f>E61+I61</f>
        <v>0</v>
      </c>
    </row>
    <row r="62" spans="1:12" x14ac:dyDescent="0.25">
      <c r="A62" s="121">
        <f t="shared" si="4"/>
        <v>52</v>
      </c>
      <c r="B62" s="500" t="s">
        <v>1472</v>
      </c>
      <c r="C62" s="1085">
        <f>SUM(D62:E62)</f>
        <v>0</v>
      </c>
      <c r="D62" s="1097">
        <f>SUM(D11:D61)</f>
        <v>0</v>
      </c>
      <c r="E62" s="1097">
        <f>SUM(E11:E61)</f>
        <v>0</v>
      </c>
      <c r="F62" s="1098"/>
      <c r="G62" s="1099" t="e">
        <f t="shared" ref="G62:L62" si="12">SUM(G11:G61)</f>
        <v>#DIV/0!</v>
      </c>
      <c r="H62" s="1100" t="e">
        <f t="shared" si="12"/>
        <v>#DIV/0!</v>
      </c>
      <c r="I62" s="1100">
        <f t="shared" si="12"/>
        <v>0</v>
      </c>
      <c r="J62" s="1100" t="e">
        <f t="shared" si="12"/>
        <v>#DIV/0!</v>
      </c>
      <c r="K62" s="1100" t="e">
        <f t="shared" si="12"/>
        <v>#DIV/0!</v>
      </c>
      <c r="L62" s="1100">
        <f t="shared" si="12"/>
        <v>0</v>
      </c>
    </row>
    <row r="63" spans="1:12" x14ac:dyDescent="0.25">
      <c r="A63" s="121">
        <f t="shared" si="4"/>
        <v>53</v>
      </c>
      <c r="B63" s="600"/>
      <c r="C63" s="1101"/>
      <c r="D63" s="1102"/>
      <c r="E63" s="1102"/>
      <c r="F63" s="1103"/>
      <c r="G63" s="1104"/>
      <c r="H63" s="1105"/>
      <c r="I63" s="1105"/>
      <c r="J63" s="720"/>
      <c r="K63" s="720"/>
      <c r="L63" s="720"/>
    </row>
    <row r="64" spans="1:12" x14ac:dyDescent="0.25">
      <c r="A64" s="689"/>
      <c r="B64" s="501"/>
      <c r="C64" s="1102"/>
      <c r="D64" s="1102"/>
      <c r="E64" s="1102"/>
      <c r="F64" s="1103"/>
      <c r="G64" s="1106"/>
      <c r="H64" s="1102"/>
      <c r="I64" s="1102"/>
      <c r="J64" s="1102"/>
      <c r="K64" s="1102"/>
      <c r="L64" s="1102"/>
    </row>
    <row r="65" spans="1:12" x14ac:dyDescent="0.25">
      <c r="A65" s="689"/>
      <c r="B65" s="488" t="s">
        <v>394</v>
      </c>
      <c r="C65" s="488" t="s">
        <v>378</v>
      </c>
      <c r="D65" s="488" t="s">
        <v>379</v>
      </c>
      <c r="E65" s="488" t="s">
        <v>380</v>
      </c>
      <c r="F65" s="489" t="s">
        <v>381</v>
      </c>
      <c r="G65" s="488" t="s">
        <v>382</v>
      </c>
      <c r="H65" s="488" t="s">
        <v>383</v>
      </c>
      <c r="I65" s="488" t="s">
        <v>597</v>
      </c>
      <c r="J65" s="488" t="s">
        <v>1046</v>
      </c>
      <c r="K65" s="488" t="s">
        <v>1062</v>
      </c>
      <c r="L65" s="488" t="s">
        <v>1065</v>
      </c>
    </row>
    <row r="66" spans="1:12" x14ac:dyDescent="0.25">
      <c r="A66" s="689"/>
      <c r="B66" s="501"/>
      <c r="C66" s="668" t="s">
        <v>1418</v>
      </c>
      <c r="D66" s="486"/>
      <c r="E66" s="486"/>
      <c r="F66" s="1078" t="s">
        <v>396</v>
      </c>
      <c r="G66" s="668" t="s">
        <v>1419</v>
      </c>
      <c r="H66" s="490"/>
      <c r="I66" s="490"/>
      <c r="J66" s="668" t="s">
        <v>1420</v>
      </c>
      <c r="K66" s="668" t="s">
        <v>1421</v>
      </c>
      <c r="L66" s="669" t="s">
        <v>1422</v>
      </c>
    </row>
    <row r="67" spans="1:12" x14ac:dyDescent="0.25">
      <c r="A67" s="689"/>
      <c r="C67" s="1101"/>
      <c r="D67" s="1102"/>
      <c r="E67" s="1102"/>
      <c r="F67" s="1103"/>
      <c r="G67" s="1104"/>
      <c r="H67" s="1102"/>
      <c r="I67" s="1102"/>
      <c r="J67" s="720"/>
      <c r="K67" s="720"/>
      <c r="L67" s="720"/>
    </row>
    <row r="68" spans="1:12" x14ac:dyDescent="0.25">
      <c r="A68" s="689"/>
      <c r="B68" s="1301" t="s">
        <v>1423</v>
      </c>
      <c r="C68" s="1303" t="s">
        <v>1424</v>
      </c>
      <c r="D68" s="1303"/>
      <c r="E68" s="1303"/>
      <c r="F68" s="492"/>
      <c r="G68" s="1299" t="s">
        <v>1425</v>
      </c>
      <c r="H68" s="1299"/>
      <c r="I68" s="1300"/>
      <c r="J68" s="1298" t="s">
        <v>1426</v>
      </c>
      <c r="K68" s="1299"/>
      <c r="L68" s="1300"/>
    </row>
    <row r="69" spans="1:12" x14ac:dyDescent="0.25">
      <c r="A69" s="689"/>
      <c r="B69" s="1302"/>
      <c r="C69" s="1077" t="s">
        <v>215</v>
      </c>
      <c r="D69" s="1077" t="s">
        <v>1427</v>
      </c>
      <c r="E69" s="493" t="s">
        <v>1428</v>
      </c>
      <c r="F69" s="494" t="s">
        <v>1360</v>
      </c>
      <c r="G69" s="493" t="s">
        <v>215</v>
      </c>
      <c r="H69" s="493" t="s">
        <v>1427</v>
      </c>
      <c r="I69" s="493" t="s">
        <v>1428</v>
      </c>
      <c r="J69" s="1077" t="s">
        <v>215</v>
      </c>
      <c r="K69" s="493" t="s">
        <v>1427</v>
      </c>
      <c r="L69" s="493" t="s">
        <v>1428</v>
      </c>
    </row>
    <row r="70" spans="1:12" x14ac:dyDescent="0.25">
      <c r="A70" s="689"/>
      <c r="B70" s="502" t="s">
        <v>1473</v>
      </c>
      <c r="C70" s="280"/>
      <c r="D70" s="280"/>
      <c r="E70" s="496"/>
      <c r="F70" s="497"/>
      <c r="G70" s="496"/>
      <c r="H70" s="496"/>
      <c r="I70" s="496"/>
      <c r="J70" s="280"/>
      <c r="K70" s="496"/>
      <c r="L70" s="496"/>
    </row>
    <row r="71" spans="1:12" x14ac:dyDescent="0.25">
      <c r="A71" s="121">
        <f>A63+1</f>
        <v>54</v>
      </c>
      <c r="B71" s="717" t="s">
        <v>1474</v>
      </c>
      <c r="C71" s="1107">
        <f t="shared" ref="C71:C79" si="13">SUM(D71:E71)</f>
        <v>0</v>
      </c>
      <c r="D71" s="565"/>
      <c r="E71" s="565"/>
      <c r="F71" s="1086"/>
      <c r="G71" s="1104">
        <f t="shared" ref="G71:G79" si="14">SUM(H71:I71)</f>
        <v>0</v>
      </c>
      <c r="H71" s="565"/>
      <c r="I71" s="565"/>
      <c r="J71" s="720">
        <f t="shared" ref="J71:J78" si="15">SUM(K71:L71)</f>
        <v>0</v>
      </c>
      <c r="K71" s="720">
        <f t="shared" ref="K71:L80" si="16">D71+H71</f>
        <v>0</v>
      </c>
      <c r="L71" s="720">
        <f t="shared" si="16"/>
        <v>0</v>
      </c>
    </row>
    <row r="72" spans="1:12" x14ac:dyDescent="0.25">
      <c r="A72" s="121">
        <f t="shared" ref="A72:A85" si="17">A71+1</f>
        <v>55</v>
      </c>
      <c r="B72" s="717" t="s">
        <v>1475</v>
      </c>
      <c r="C72" s="1107">
        <f t="shared" si="13"/>
        <v>0</v>
      </c>
      <c r="D72" s="565"/>
      <c r="E72" s="565"/>
      <c r="F72" s="1086"/>
      <c r="G72" s="1104">
        <f t="shared" si="14"/>
        <v>0</v>
      </c>
      <c r="H72" s="565"/>
      <c r="I72" s="565"/>
      <c r="J72" s="720">
        <f t="shared" si="15"/>
        <v>0</v>
      </c>
      <c r="K72" s="720">
        <f t="shared" si="16"/>
        <v>0</v>
      </c>
      <c r="L72" s="720">
        <f t="shared" si="16"/>
        <v>0</v>
      </c>
    </row>
    <row r="73" spans="1:12" x14ac:dyDescent="0.25">
      <c r="A73" s="121">
        <f t="shared" si="17"/>
        <v>56</v>
      </c>
      <c r="B73" s="717" t="s">
        <v>1476</v>
      </c>
      <c r="C73" s="1107">
        <f t="shared" si="13"/>
        <v>0</v>
      </c>
      <c r="D73" s="565"/>
      <c r="E73" s="565"/>
      <c r="F73" s="1086"/>
      <c r="G73" s="1104">
        <f t="shared" si="14"/>
        <v>0</v>
      </c>
      <c r="H73" s="565"/>
      <c r="I73" s="565"/>
      <c r="J73" s="720">
        <f t="shared" si="15"/>
        <v>0</v>
      </c>
      <c r="K73" s="720">
        <f t="shared" si="16"/>
        <v>0</v>
      </c>
      <c r="L73" s="720">
        <f t="shared" si="16"/>
        <v>0</v>
      </c>
    </row>
    <row r="74" spans="1:12" x14ac:dyDescent="0.25">
      <c r="A74" s="121">
        <f t="shared" si="17"/>
        <v>57</v>
      </c>
      <c r="B74" s="717" t="s">
        <v>1477</v>
      </c>
      <c r="C74" s="1107">
        <f t="shared" si="13"/>
        <v>0</v>
      </c>
      <c r="D74" s="565"/>
      <c r="E74" s="565"/>
      <c r="F74" s="1086"/>
      <c r="G74" s="1104">
        <f t="shared" si="14"/>
        <v>0</v>
      </c>
      <c r="H74" s="565"/>
      <c r="I74" s="565"/>
      <c r="J74" s="720">
        <f t="shared" si="15"/>
        <v>0</v>
      </c>
      <c r="K74" s="720">
        <f t="shared" si="16"/>
        <v>0</v>
      </c>
      <c r="L74" s="720">
        <f t="shared" si="16"/>
        <v>0</v>
      </c>
    </row>
    <row r="75" spans="1:12" x14ac:dyDescent="0.25">
      <c r="A75" s="121">
        <f t="shared" si="17"/>
        <v>58</v>
      </c>
      <c r="B75" s="717" t="s">
        <v>1478</v>
      </c>
      <c r="C75" s="1107">
        <f t="shared" si="13"/>
        <v>0</v>
      </c>
      <c r="D75" s="565"/>
      <c r="E75" s="565"/>
      <c r="F75" s="1086"/>
      <c r="G75" s="1104">
        <f t="shared" si="14"/>
        <v>0</v>
      </c>
      <c r="H75" s="565"/>
      <c r="I75" s="565"/>
      <c r="J75" s="720">
        <f t="shared" si="15"/>
        <v>0</v>
      </c>
      <c r="K75" s="720">
        <f t="shared" si="16"/>
        <v>0</v>
      </c>
      <c r="L75" s="720">
        <f t="shared" si="16"/>
        <v>0</v>
      </c>
    </row>
    <row r="76" spans="1:12" x14ac:dyDescent="0.25">
      <c r="A76" s="121">
        <f t="shared" si="17"/>
        <v>59</v>
      </c>
      <c r="B76" s="717" t="s">
        <v>1479</v>
      </c>
      <c r="C76" s="1107">
        <f t="shared" si="13"/>
        <v>0</v>
      </c>
      <c r="D76" s="565"/>
      <c r="E76" s="565"/>
      <c r="F76" s="1086"/>
      <c r="G76" s="1104">
        <f t="shared" si="14"/>
        <v>0</v>
      </c>
      <c r="H76" s="565"/>
      <c r="I76" s="565"/>
      <c r="J76" s="720">
        <f t="shared" si="15"/>
        <v>0</v>
      </c>
      <c r="K76" s="720">
        <f t="shared" si="16"/>
        <v>0</v>
      </c>
      <c r="L76" s="720">
        <f t="shared" si="16"/>
        <v>0</v>
      </c>
    </row>
    <row r="77" spans="1:12" x14ac:dyDescent="0.25">
      <c r="A77" s="121">
        <f t="shared" si="17"/>
        <v>60</v>
      </c>
      <c r="B77" s="717" t="s">
        <v>1480</v>
      </c>
      <c r="C77" s="1107">
        <f t="shared" si="13"/>
        <v>0</v>
      </c>
      <c r="D77" s="565"/>
      <c r="E77" s="565"/>
      <c r="F77" s="1086"/>
      <c r="G77" s="1104">
        <f t="shared" si="14"/>
        <v>0</v>
      </c>
      <c r="H77" s="565"/>
      <c r="I77" s="565"/>
      <c r="J77" s="720">
        <f t="shared" si="15"/>
        <v>0</v>
      </c>
      <c r="K77" s="720">
        <f t="shared" si="16"/>
        <v>0</v>
      </c>
      <c r="L77" s="720">
        <f t="shared" si="16"/>
        <v>0</v>
      </c>
    </row>
    <row r="78" spans="1:12" x14ac:dyDescent="0.25">
      <c r="A78" s="121">
        <f t="shared" si="17"/>
        <v>61</v>
      </c>
      <c r="B78" s="717" t="s">
        <v>1481</v>
      </c>
      <c r="C78" s="1107">
        <f t="shared" si="13"/>
        <v>0</v>
      </c>
      <c r="D78" s="565"/>
      <c r="E78" s="565"/>
      <c r="F78" s="1086"/>
      <c r="G78" s="1197">
        <f t="shared" si="14"/>
        <v>0</v>
      </c>
      <c r="H78" s="565"/>
      <c r="I78" s="565"/>
      <c r="J78" s="720">
        <f t="shared" si="15"/>
        <v>0</v>
      </c>
      <c r="K78" s="720">
        <f t="shared" si="16"/>
        <v>0</v>
      </c>
      <c r="L78" s="720">
        <f t="shared" si="16"/>
        <v>0</v>
      </c>
    </row>
    <row r="79" spans="1:12" x14ac:dyDescent="0.25">
      <c r="A79" s="121">
        <f t="shared" si="17"/>
        <v>62</v>
      </c>
      <c r="B79" s="717" t="s">
        <v>1482</v>
      </c>
      <c r="C79" s="1107">
        <f t="shared" si="13"/>
        <v>0</v>
      </c>
      <c r="D79" s="1108"/>
      <c r="E79" s="1108"/>
      <c r="F79" s="1086"/>
      <c r="G79" s="1197">
        <f t="shared" si="14"/>
        <v>0</v>
      </c>
      <c r="H79" s="565"/>
      <c r="I79" s="565"/>
      <c r="J79" s="720">
        <f>C79+G79</f>
        <v>0</v>
      </c>
      <c r="K79" s="720">
        <f t="shared" si="16"/>
        <v>0</v>
      </c>
      <c r="L79" s="720">
        <f t="shared" si="16"/>
        <v>0</v>
      </c>
    </row>
    <row r="80" spans="1:12" x14ac:dyDescent="0.25">
      <c r="A80" s="121">
        <f>A79+1</f>
        <v>63</v>
      </c>
      <c r="B80" s="717" t="s">
        <v>2515</v>
      </c>
      <c r="C80" s="1093">
        <v>0</v>
      </c>
      <c r="D80" s="1093">
        <v>0</v>
      </c>
      <c r="E80" s="1093">
        <v>0</v>
      </c>
      <c r="F80" s="1110"/>
      <c r="G80" s="1109" t="e">
        <f>SUM(H80:I80)</f>
        <v>#DIV/0!</v>
      </c>
      <c r="H80" s="1110" t="e">
        <f>+C87*C193</f>
        <v>#DIV/0!</v>
      </c>
      <c r="I80" s="1110">
        <v>0</v>
      </c>
      <c r="J80" s="1111" t="e">
        <f>SUM(K80:L80)</f>
        <v>#DIV/0!</v>
      </c>
      <c r="K80" s="1111" t="e">
        <f t="shared" si="16"/>
        <v>#DIV/0!</v>
      </c>
      <c r="L80" s="1111">
        <f t="shared" si="16"/>
        <v>0</v>
      </c>
    </row>
    <row r="81" spans="1:12" x14ac:dyDescent="0.25">
      <c r="A81" s="121">
        <f t="shared" si="17"/>
        <v>64</v>
      </c>
      <c r="B81" s="501" t="s">
        <v>1483</v>
      </c>
      <c r="C81" s="1102">
        <f>SUM(C71:C80)</f>
        <v>0</v>
      </c>
      <c r="D81" s="1102">
        <f>SUM(D71:D80)</f>
        <v>0</v>
      </c>
      <c r="E81" s="1102">
        <f>SUM(E71:E80)</f>
        <v>0</v>
      </c>
      <c r="F81" s="1103"/>
      <c r="G81" s="1106" t="e">
        <f t="shared" ref="G81:L81" si="18">SUM(G71:G80)</f>
        <v>#DIV/0!</v>
      </c>
      <c r="H81" s="1102" t="e">
        <f t="shared" si="18"/>
        <v>#DIV/0!</v>
      </c>
      <c r="I81" s="1102">
        <f t="shared" si="18"/>
        <v>0</v>
      </c>
      <c r="J81" s="1102" t="e">
        <f>SUM(J71:J80)</f>
        <v>#DIV/0!</v>
      </c>
      <c r="K81" s="1102" t="e">
        <f t="shared" si="18"/>
        <v>#DIV/0!</v>
      </c>
      <c r="L81" s="1102">
        <f t="shared" si="18"/>
        <v>0</v>
      </c>
    </row>
    <row r="82" spans="1:12" x14ac:dyDescent="0.25">
      <c r="A82" s="121">
        <f t="shared" si="17"/>
        <v>65</v>
      </c>
      <c r="B82" s="1101"/>
      <c r="C82" s="1107"/>
      <c r="D82" s="1102"/>
      <c r="E82" s="1102"/>
      <c r="F82" s="1112"/>
      <c r="G82" s="1104"/>
      <c r="H82" s="1105"/>
      <c r="I82" s="1105"/>
      <c r="J82" s="720"/>
      <c r="K82" s="720"/>
      <c r="L82" s="720"/>
    </row>
    <row r="83" spans="1:12" x14ac:dyDescent="0.25">
      <c r="A83" s="121">
        <f t="shared" si="17"/>
        <v>66</v>
      </c>
      <c r="B83" s="501" t="s">
        <v>1484</v>
      </c>
      <c r="C83" s="1107">
        <f>+C62+C81</f>
        <v>0</v>
      </c>
      <c r="D83" s="1107">
        <f>D81+D62</f>
        <v>0</v>
      </c>
      <c r="E83" s="1107">
        <f>E81+E62</f>
        <v>0</v>
      </c>
      <c r="F83" s="1113"/>
      <c r="G83" s="1104" t="e">
        <f>+G62+G81</f>
        <v>#DIV/0!</v>
      </c>
      <c r="H83" s="720" t="e">
        <f>H81+H62</f>
        <v>#DIV/0!</v>
      </c>
      <c r="I83" s="720">
        <f>I81+I62</f>
        <v>0</v>
      </c>
      <c r="J83" s="720" t="e">
        <f>J81+J62</f>
        <v>#DIV/0!</v>
      </c>
      <c r="K83" s="720" t="e">
        <f>K81+K62</f>
        <v>#DIV/0!</v>
      </c>
      <c r="L83" s="720">
        <f>L81+L62</f>
        <v>0</v>
      </c>
    </row>
    <row r="84" spans="1:12" x14ac:dyDescent="0.25">
      <c r="A84" s="121">
        <f t="shared" si="17"/>
        <v>67</v>
      </c>
      <c r="B84" s="1101"/>
      <c r="C84" s="1101"/>
      <c r="D84" s="1101"/>
      <c r="E84" s="1101"/>
      <c r="F84" s="1113"/>
      <c r="G84" s="1114"/>
      <c r="H84" s="1105"/>
      <c r="I84" s="1105"/>
      <c r="J84" s="600"/>
      <c r="K84" s="600"/>
      <c r="L84" s="600"/>
    </row>
    <row r="85" spans="1:12" x14ac:dyDescent="0.25">
      <c r="A85" s="121">
        <f t="shared" si="17"/>
        <v>68</v>
      </c>
      <c r="B85" s="717" t="s">
        <v>1485</v>
      </c>
      <c r="C85" s="1115"/>
      <c r="D85" s="1116" t="s">
        <v>1486</v>
      </c>
      <c r="E85" s="1107" t="str">
        <f>"Must equal Line "&amp;A62&amp;", Column 2."</f>
        <v>Must equal Line 52, Column 2.</v>
      </c>
      <c r="F85" s="1113"/>
      <c r="G85" s="503"/>
      <c r="H85" s="504"/>
      <c r="I85" s="504"/>
      <c r="J85" s="504"/>
      <c r="K85" s="504"/>
      <c r="L85" s="504"/>
    </row>
    <row r="86" spans="1:12" x14ac:dyDescent="0.25">
      <c r="A86" s="121">
        <f>A85+1</f>
        <v>69</v>
      </c>
      <c r="B86" s="717" t="s">
        <v>1487</v>
      </c>
      <c r="C86" s="1115"/>
      <c r="D86" s="1116" t="s">
        <v>1488</v>
      </c>
      <c r="E86" s="1107" t="str">
        <f>"Must equal Line "&amp;A81&amp;", Column 2."</f>
        <v>Must equal Line 64, Column 2.</v>
      </c>
      <c r="F86" s="1113"/>
      <c r="G86" s="1104"/>
      <c r="H86" s="720"/>
      <c r="I86" s="720"/>
      <c r="J86" s="720"/>
      <c r="K86" s="720"/>
      <c r="L86" s="720"/>
    </row>
    <row r="87" spans="1:12" x14ac:dyDescent="0.25">
      <c r="A87" s="121">
        <f>A86+1</f>
        <v>70</v>
      </c>
      <c r="B87" s="717" t="s">
        <v>2516</v>
      </c>
      <c r="C87" s="1117">
        <f>'20-AandG'!E63</f>
        <v>0</v>
      </c>
      <c r="D87" s="1116" t="str">
        <f>"20-AandG, Note 2, "&amp;'20-AandG'!B63&amp;""</f>
        <v>20-AandG, Note 2, f</v>
      </c>
      <c r="E87" s="1107"/>
      <c r="F87" s="689"/>
      <c r="G87" s="1104"/>
      <c r="H87" s="720"/>
      <c r="I87" s="720"/>
      <c r="J87" s="720"/>
      <c r="K87" s="720"/>
      <c r="L87" s="720"/>
    </row>
    <row r="88" spans="1:12" x14ac:dyDescent="0.25">
      <c r="A88" s="505"/>
      <c r="C88" s="506"/>
      <c r="D88" s="1107"/>
      <c r="E88" s="1107"/>
      <c r="F88" s="1113"/>
      <c r="G88" s="1104"/>
      <c r="H88" s="720"/>
      <c r="I88" s="720"/>
      <c r="J88" s="720"/>
      <c r="K88" s="720"/>
      <c r="L88" s="720"/>
    </row>
    <row r="89" spans="1:12" x14ac:dyDescent="0.25">
      <c r="A89" s="600"/>
      <c r="B89" s="477" t="s">
        <v>1564</v>
      </c>
      <c r="C89" s="1101"/>
      <c r="D89" s="1101"/>
      <c r="E89" s="1101"/>
      <c r="F89" s="1113"/>
      <c r="G89" s="1114"/>
      <c r="H89" s="600"/>
      <c r="I89" s="600"/>
      <c r="J89" s="600"/>
      <c r="K89" s="600"/>
      <c r="L89" s="600"/>
    </row>
    <row r="90" spans="1:12" x14ac:dyDescent="0.25">
      <c r="A90" s="600"/>
      <c r="C90" s="1101"/>
      <c r="D90" s="1101"/>
      <c r="E90" s="1101"/>
      <c r="F90" s="1113"/>
      <c r="G90" s="1114"/>
      <c r="H90" s="600"/>
      <c r="I90" s="600"/>
      <c r="J90" s="600"/>
      <c r="K90" s="600"/>
      <c r="L90" s="600"/>
    </row>
    <row r="91" spans="1:12" x14ac:dyDescent="0.25">
      <c r="A91" s="600"/>
      <c r="B91" s="92" t="s">
        <v>394</v>
      </c>
      <c r="C91" s="488" t="s">
        <v>378</v>
      </c>
      <c r="D91" s="488" t="s">
        <v>379</v>
      </c>
      <c r="E91" s="488" t="s">
        <v>380</v>
      </c>
      <c r="F91" s="489" t="s">
        <v>381</v>
      </c>
      <c r="G91" s="488" t="s">
        <v>382</v>
      </c>
      <c r="H91" s="488" t="s">
        <v>383</v>
      </c>
      <c r="I91" s="488" t="s">
        <v>597</v>
      </c>
      <c r="J91" s="1198" t="s">
        <v>1046</v>
      </c>
      <c r="K91" s="388"/>
      <c r="L91" s="92"/>
    </row>
    <row r="92" spans="1:12" x14ac:dyDescent="0.25">
      <c r="A92" s="600"/>
      <c r="C92" s="1101" t="s">
        <v>1489</v>
      </c>
      <c r="D92" s="1101" t="s">
        <v>1490</v>
      </c>
      <c r="E92" s="1101" t="s">
        <v>1491</v>
      </c>
      <c r="F92" s="1114" t="s">
        <v>1312</v>
      </c>
      <c r="G92" s="669" t="s">
        <v>1419</v>
      </c>
      <c r="H92" s="670" t="s">
        <v>1912</v>
      </c>
      <c r="I92" s="670" t="s">
        <v>1913</v>
      </c>
      <c r="J92" s="562"/>
      <c r="K92" s="1101"/>
      <c r="L92" s="600"/>
    </row>
    <row r="93" spans="1:12" x14ac:dyDescent="0.25">
      <c r="C93" s="1101"/>
      <c r="D93" s="1101"/>
      <c r="E93" s="1101"/>
      <c r="F93" s="1113"/>
      <c r="G93" s="1114"/>
      <c r="H93" s="600"/>
      <c r="I93" s="600"/>
      <c r="J93" s="1101"/>
      <c r="K93" s="1101"/>
      <c r="L93" s="600"/>
    </row>
    <row r="94" spans="1:12" x14ac:dyDescent="0.25">
      <c r="A94" s="491"/>
      <c r="B94" s="1307" t="s">
        <v>1423</v>
      </c>
      <c r="C94" s="1298" t="s">
        <v>1426</v>
      </c>
      <c r="D94" s="1299"/>
      <c r="E94" s="1300"/>
      <c r="F94" s="507" t="s">
        <v>1627</v>
      </c>
      <c r="G94" s="1304" t="s">
        <v>1492</v>
      </c>
      <c r="H94" s="1305"/>
      <c r="I94" s="1306"/>
      <c r="J94" s="1199" t="s">
        <v>2005</v>
      </c>
      <c r="K94" s="1101"/>
    </row>
    <row r="95" spans="1:12" x14ac:dyDescent="0.25">
      <c r="B95" s="1307"/>
      <c r="C95" s="1077" t="s">
        <v>215</v>
      </c>
      <c r="D95" s="493" t="s">
        <v>1427</v>
      </c>
      <c r="E95" s="493" t="s">
        <v>1428</v>
      </c>
      <c r="F95" s="507" t="s">
        <v>478</v>
      </c>
      <c r="G95" s="1077" t="s">
        <v>215</v>
      </c>
      <c r="H95" s="493" t="s">
        <v>1427</v>
      </c>
      <c r="I95" s="493" t="s">
        <v>1428</v>
      </c>
      <c r="J95" s="1143" t="s">
        <v>224</v>
      </c>
      <c r="K95" s="1101"/>
      <c r="L95" s="600"/>
    </row>
    <row r="96" spans="1:12" x14ac:dyDescent="0.25">
      <c r="A96" s="53" t="s">
        <v>360</v>
      </c>
      <c r="B96" s="495" t="s">
        <v>1429</v>
      </c>
      <c r="C96" s="280"/>
      <c r="D96" s="496"/>
      <c r="E96" s="496"/>
      <c r="F96" s="508"/>
      <c r="G96" s="280"/>
      <c r="H96" s="496"/>
      <c r="I96" s="496"/>
      <c r="J96" s="562"/>
      <c r="K96" s="1101"/>
      <c r="L96" s="600"/>
    </row>
    <row r="97" spans="1:12" x14ac:dyDescent="0.25">
      <c r="A97" s="121">
        <f>A87+1</f>
        <v>71</v>
      </c>
      <c r="B97" s="717" t="s">
        <v>1430</v>
      </c>
      <c r="C97" s="1107">
        <f t="shared" ref="C97:C112" si="19">J11</f>
        <v>0</v>
      </c>
      <c r="D97" s="1107">
        <f t="shared" ref="D97:D112" si="20">K11</f>
        <v>0</v>
      </c>
      <c r="E97" s="1107">
        <f t="shared" ref="E97:E112" si="21">L11</f>
        <v>0</v>
      </c>
      <c r="F97" s="1125" t="e">
        <f>J203</f>
        <v>#DIV/0!</v>
      </c>
      <c r="G97" s="1118" t="e">
        <f>SUM(H97:I97)</f>
        <v>#DIV/0!</v>
      </c>
      <c r="H97" s="1118" t="e">
        <f>D97*F97</f>
        <v>#DIV/0!</v>
      </c>
      <c r="I97" s="1118" t="e">
        <f>E97*F97</f>
        <v>#DIV/0!</v>
      </c>
      <c r="J97" s="562" t="s">
        <v>2170</v>
      </c>
      <c r="K97" s="1101"/>
      <c r="L97" s="600"/>
    </row>
    <row r="98" spans="1:12" x14ac:dyDescent="0.25">
      <c r="A98" s="121">
        <f t="shared" ref="A98:A149" si="22">A97+1</f>
        <v>72</v>
      </c>
      <c r="B98" s="717" t="s">
        <v>1431</v>
      </c>
      <c r="C98" s="1107">
        <f t="shared" si="19"/>
        <v>0</v>
      </c>
      <c r="D98" s="1107">
        <f t="shared" si="20"/>
        <v>0</v>
      </c>
      <c r="E98" s="1107">
        <f t="shared" si="21"/>
        <v>0</v>
      </c>
      <c r="F98" s="1125">
        <v>1</v>
      </c>
      <c r="G98" s="1118">
        <f t="shared" ref="G98:G145" si="23">SUM(H98:I98)</f>
        <v>0</v>
      </c>
      <c r="H98" s="1118">
        <f t="shared" ref="H98:H145" si="24">D98*F98</f>
        <v>0</v>
      </c>
      <c r="I98" s="1118">
        <f t="shared" ref="I98:I145" si="25">E98*F98</f>
        <v>0</v>
      </c>
      <c r="J98" s="1200" t="s">
        <v>2172</v>
      </c>
      <c r="K98" s="1101"/>
      <c r="L98" s="600"/>
    </row>
    <row r="99" spans="1:12" x14ac:dyDescent="0.25">
      <c r="A99" s="121">
        <f t="shared" si="22"/>
        <v>73</v>
      </c>
      <c r="B99" s="717" t="s">
        <v>1432</v>
      </c>
      <c r="C99" s="1107">
        <f t="shared" si="19"/>
        <v>0</v>
      </c>
      <c r="D99" s="1107">
        <f t="shared" si="20"/>
        <v>0</v>
      </c>
      <c r="E99" s="1107">
        <f t="shared" si="21"/>
        <v>0</v>
      </c>
      <c r="F99" s="1125" t="e">
        <f>'27-Allocators'!D36</f>
        <v>#DIV/0!</v>
      </c>
      <c r="G99" s="1118" t="e">
        <f t="shared" si="23"/>
        <v>#DIV/0!</v>
      </c>
      <c r="H99" s="1118" t="e">
        <f t="shared" si="24"/>
        <v>#DIV/0!</v>
      </c>
      <c r="I99" s="1118" t="e">
        <f t="shared" si="25"/>
        <v>#DIV/0!</v>
      </c>
      <c r="J99" s="562" t="str">
        <f>"27-Allocators Line "&amp;'27-Allocators'!A36&amp;""</f>
        <v>27-Allocators Line 30</v>
      </c>
      <c r="K99" s="1101"/>
      <c r="L99" s="600"/>
    </row>
    <row r="100" spans="1:12" x14ac:dyDescent="0.25">
      <c r="A100" s="121">
        <f t="shared" si="22"/>
        <v>74</v>
      </c>
      <c r="B100" s="717" t="s">
        <v>1433</v>
      </c>
      <c r="C100" s="1107">
        <f t="shared" si="19"/>
        <v>0</v>
      </c>
      <c r="D100" s="1107">
        <f t="shared" si="20"/>
        <v>0</v>
      </c>
      <c r="E100" s="1107">
        <f t="shared" si="21"/>
        <v>0</v>
      </c>
      <c r="F100" s="1125" t="e">
        <f>'27-Allocators'!D36</f>
        <v>#DIV/0!</v>
      </c>
      <c r="G100" s="1118" t="e">
        <f t="shared" si="23"/>
        <v>#DIV/0!</v>
      </c>
      <c r="H100" s="1118" t="e">
        <f t="shared" si="24"/>
        <v>#DIV/0!</v>
      </c>
      <c r="I100" s="1118" t="e">
        <f t="shared" si="25"/>
        <v>#DIV/0!</v>
      </c>
      <c r="J100" s="562" t="str">
        <f>"27-Allocators Line "&amp;'27-Allocators'!A36&amp;""</f>
        <v>27-Allocators Line 30</v>
      </c>
      <c r="K100" s="1101"/>
      <c r="L100" s="600"/>
    </row>
    <row r="101" spans="1:12" x14ac:dyDescent="0.25">
      <c r="A101" s="121">
        <f t="shared" si="22"/>
        <v>75</v>
      </c>
      <c r="B101" s="717" t="s">
        <v>1434</v>
      </c>
      <c r="C101" s="1107">
        <f t="shared" si="19"/>
        <v>0</v>
      </c>
      <c r="D101" s="1107">
        <f t="shared" si="20"/>
        <v>0</v>
      </c>
      <c r="E101" s="1107">
        <f t="shared" si="21"/>
        <v>0</v>
      </c>
      <c r="F101" s="1125" t="e">
        <f>'27-Allocators'!D36</f>
        <v>#DIV/0!</v>
      </c>
      <c r="G101" s="1118" t="e">
        <f t="shared" si="23"/>
        <v>#DIV/0!</v>
      </c>
      <c r="H101" s="1118" t="e">
        <f t="shared" si="24"/>
        <v>#DIV/0!</v>
      </c>
      <c r="I101" s="1118" t="e">
        <f t="shared" si="25"/>
        <v>#DIV/0!</v>
      </c>
      <c r="J101" s="562" t="str">
        <f>"27-Allocators Line "&amp;'27-Allocators'!A36&amp;""</f>
        <v>27-Allocators Line 30</v>
      </c>
      <c r="K101" s="1101"/>
      <c r="L101" s="600"/>
    </row>
    <row r="102" spans="1:12" x14ac:dyDescent="0.25">
      <c r="A102" s="121">
        <f t="shared" si="22"/>
        <v>76</v>
      </c>
      <c r="B102" s="717" t="s">
        <v>1435</v>
      </c>
      <c r="C102" s="1107">
        <f t="shared" si="19"/>
        <v>0</v>
      </c>
      <c r="D102" s="1107">
        <f t="shared" si="20"/>
        <v>0</v>
      </c>
      <c r="E102" s="1107">
        <f t="shared" si="21"/>
        <v>0</v>
      </c>
      <c r="F102" s="1125">
        <v>0</v>
      </c>
      <c r="G102" s="1118">
        <f t="shared" si="23"/>
        <v>0</v>
      </c>
      <c r="H102" s="1118">
        <f t="shared" si="24"/>
        <v>0</v>
      </c>
      <c r="I102" s="1118">
        <f t="shared" si="25"/>
        <v>0</v>
      </c>
      <c r="J102" s="1200" t="s">
        <v>2173</v>
      </c>
      <c r="K102" s="1101"/>
      <c r="L102" s="600"/>
    </row>
    <row r="103" spans="1:12" x14ac:dyDescent="0.25">
      <c r="A103" s="121">
        <f t="shared" si="22"/>
        <v>77</v>
      </c>
      <c r="B103" s="717" t="s">
        <v>1436</v>
      </c>
      <c r="C103" s="1107">
        <f t="shared" si="19"/>
        <v>0</v>
      </c>
      <c r="D103" s="1107">
        <f t="shared" si="20"/>
        <v>0</v>
      </c>
      <c r="E103" s="1107">
        <f t="shared" si="21"/>
        <v>0</v>
      </c>
      <c r="F103" s="1125">
        <v>1</v>
      </c>
      <c r="G103" s="1118">
        <f t="shared" si="23"/>
        <v>0</v>
      </c>
      <c r="H103" s="1118">
        <f t="shared" si="24"/>
        <v>0</v>
      </c>
      <c r="I103" s="1118">
        <f t="shared" si="25"/>
        <v>0</v>
      </c>
      <c r="J103" s="1200" t="s">
        <v>2172</v>
      </c>
      <c r="K103" s="1101"/>
      <c r="L103" s="600"/>
    </row>
    <row r="104" spans="1:12" x14ac:dyDescent="0.25">
      <c r="A104" s="121">
        <f t="shared" si="22"/>
        <v>78</v>
      </c>
      <c r="B104" s="717" t="s">
        <v>1437</v>
      </c>
      <c r="C104" s="1107">
        <f t="shared" si="19"/>
        <v>0</v>
      </c>
      <c r="D104" s="1107">
        <f t="shared" si="20"/>
        <v>0</v>
      </c>
      <c r="E104" s="1107">
        <f t="shared" si="21"/>
        <v>0</v>
      </c>
      <c r="F104" s="1125">
        <v>0</v>
      </c>
      <c r="G104" s="1118">
        <f t="shared" si="23"/>
        <v>0</v>
      </c>
      <c r="H104" s="1118">
        <f t="shared" si="24"/>
        <v>0</v>
      </c>
      <c r="I104" s="1118">
        <f t="shared" si="25"/>
        <v>0</v>
      </c>
      <c r="J104" s="1200" t="s">
        <v>2173</v>
      </c>
      <c r="K104" s="1107"/>
      <c r="L104" s="720"/>
    </row>
    <row r="105" spans="1:12" x14ac:dyDescent="0.25">
      <c r="A105" s="121">
        <f t="shared" si="22"/>
        <v>79</v>
      </c>
      <c r="B105" s="717" t="s">
        <v>1438</v>
      </c>
      <c r="C105" s="1107">
        <f t="shared" si="19"/>
        <v>0</v>
      </c>
      <c r="D105" s="1107">
        <f t="shared" si="20"/>
        <v>0</v>
      </c>
      <c r="E105" s="1107">
        <f t="shared" si="21"/>
        <v>0</v>
      </c>
      <c r="F105" s="1125" t="e">
        <f>'27-Allocators'!D42</f>
        <v>#DIV/0!</v>
      </c>
      <c r="G105" s="1118" t="e">
        <f t="shared" si="23"/>
        <v>#DIV/0!</v>
      </c>
      <c r="H105" s="1118" t="e">
        <f t="shared" si="24"/>
        <v>#DIV/0!</v>
      </c>
      <c r="I105" s="1118" t="e">
        <f t="shared" si="25"/>
        <v>#DIV/0!</v>
      </c>
      <c r="J105" s="562" t="str">
        <f>"27-Allocators Line "&amp;'27-Allocators'!A42&amp;""</f>
        <v>27-Allocators Line 36</v>
      </c>
      <c r="K105" s="1101"/>
      <c r="L105" s="600"/>
    </row>
    <row r="106" spans="1:12" ht="12.75" customHeight="1" x14ac:dyDescent="0.25">
      <c r="A106" s="121">
        <f t="shared" si="22"/>
        <v>80</v>
      </c>
      <c r="B106" s="1119" t="s">
        <v>1439</v>
      </c>
      <c r="C106" s="1116">
        <f t="shared" si="19"/>
        <v>0</v>
      </c>
      <c r="D106" s="1116">
        <f t="shared" si="20"/>
        <v>0</v>
      </c>
      <c r="E106" s="1116">
        <f t="shared" si="21"/>
        <v>0</v>
      </c>
      <c r="F106" s="1209" t="e">
        <f>'27-Allocators'!D48</f>
        <v>#DIV/0!</v>
      </c>
      <c r="G106" s="1120" t="e">
        <f t="shared" si="23"/>
        <v>#DIV/0!</v>
      </c>
      <c r="H106" s="1120" t="e">
        <f t="shared" si="24"/>
        <v>#DIV/0!</v>
      </c>
      <c r="I106" s="1120" t="e">
        <f t="shared" si="25"/>
        <v>#DIV/0!</v>
      </c>
      <c r="J106" s="562" t="str">
        <f>"27-Allocators Line "&amp;'27-Allocators'!A48&amp;""</f>
        <v>27-Allocators Line 42</v>
      </c>
      <c r="K106" s="1107"/>
      <c r="L106" s="600"/>
    </row>
    <row r="107" spans="1:12" x14ac:dyDescent="0.25">
      <c r="A107" s="121">
        <f t="shared" si="22"/>
        <v>81</v>
      </c>
      <c r="B107" s="717" t="s">
        <v>1440</v>
      </c>
      <c r="C107" s="1107">
        <f t="shared" si="19"/>
        <v>0</v>
      </c>
      <c r="D107" s="1107">
        <f t="shared" si="20"/>
        <v>0</v>
      </c>
      <c r="E107" s="1107">
        <f t="shared" si="21"/>
        <v>0</v>
      </c>
      <c r="F107" s="1125">
        <v>1</v>
      </c>
      <c r="G107" s="1118">
        <f t="shared" si="23"/>
        <v>0</v>
      </c>
      <c r="H107" s="1118">
        <f t="shared" si="24"/>
        <v>0</v>
      </c>
      <c r="I107" s="1118">
        <f t="shared" si="25"/>
        <v>0</v>
      </c>
      <c r="J107" s="1200" t="s">
        <v>2172</v>
      </c>
      <c r="K107" s="1101"/>
      <c r="L107" s="600"/>
    </row>
    <row r="108" spans="1:12" x14ac:dyDescent="0.25">
      <c r="A108" s="121">
        <f t="shared" si="22"/>
        <v>82</v>
      </c>
      <c r="B108" s="717" t="s">
        <v>1441</v>
      </c>
      <c r="C108" s="1107">
        <f t="shared" si="19"/>
        <v>0</v>
      </c>
      <c r="D108" s="1107">
        <f t="shared" si="20"/>
        <v>0</v>
      </c>
      <c r="E108" s="1107">
        <f t="shared" si="21"/>
        <v>0</v>
      </c>
      <c r="F108" s="1125" t="e">
        <f>'27-Allocators'!D54</f>
        <v>#DIV/0!</v>
      </c>
      <c r="G108" s="1118" t="e">
        <f t="shared" si="23"/>
        <v>#DIV/0!</v>
      </c>
      <c r="H108" s="1118" t="e">
        <f t="shared" si="24"/>
        <v>#DIV/0!</v>
      </c>
      <c r="I108" s="1118" t="e">
        <f t="shared" si="25"/>
        <v>#DIV/0!</v>
      </c>
      <c r="J108" s="562" t="str">
        <f>"27-Allocators Line "&amp;'27-Allocators'!A54&amp;""</f>
        <v>27-Allocators Line 48</v>
      </c>
      <c r="K108" s="1101"/>
      <c r="L108" s="600"/>
    </row>
    <row r="109" spans="1:12" x14ac:dyDescent="0.25">
      <c r="A109" s="121">
        <f t="shared" si="22"/>
        <v>83</v>
      </c>
      <c r="B109" s="717" t="s">
        <v>1442</v>
      </c>
      <c r="C109" s="1107">
        <f t="shared" si="19"/>
        <v>0</v>
      </c>
      <c r="D109" s="1107">
        <f t="shared" si="20"/>
        <v>0</v>
      </c>
      <c r="E109" s="1107">
        <f t="shared" si="21"/>
        <v>0</v>
      </c>
      <c r="F109" s="1125" t="e">
        <f>'27-Allocators'!D60</f>
        <v>#DIV/0!</v>
      </c>
      <c r="G109" s="1118" t="e">
        <f t="shared" si="23"/>
        <v>#DIV/0!</v>
      </c>
      <c r="H109" s="1118" t="e">
        <f t="shared" si="24"/>
        <v>#DIV/0!</v>
      </c>
      <c r="I109" s="1118" t="e">
        <f t="shared" si="25"/>
        <v>#DIV/0!</v>
      </c>
      <c r="J109" s="562" t="str">
        <f>"27-Allocators Line "&amp;'27-Allocators'!A60&amp;""</f>
        <v>27-Allocators Line 54</v>
      </c>
      <c r="K109" s="1101"/>
      <c r="L109" s="600"/>
    </row>
    <row r="110" spans="1:12" x14ac:dyDescent="0.25">
      <c r="A110" s="121">
        <f t="shared" si="22"/>
        <v>84</v>
      </c>
      <c r="B110" s="717" t="s">
        <v>1443</v>
      </c>
      <c r="C110" s="1107">
        <f t="shared" si="19"/>
        <v>0</v>
      </c>
      <c r="D110" s="1107">
        <f t="shared" si="20"/>
        <v>0</v>
      </c>
      <c r="E110" s="1107">
        <f t="shared" si="21"/>
        <v>0</v>
      </c>
      <c r="F110" s="1125">
        <v>0</v>
      </c>
      <c r="G110" s="1118">
        <f t="shared" si="23"/>
        <v>0</v>
      </c>
      <c r="H110" s="1118">
        <f t="shared" si="24"/>
        <v>0</v>
      </c>
      <c r="I110" s="1118">
        <f t="shared" si="25"/>
        <v>0</v>
      </c>
      <c r="J110" s="1200" t="s">
        <v>2173</v>
      </c>
      <c r="K110" s="1107"/>
      <c r="L110" s="720"/>
    </row>
    <row r="111" spans="1:12" x14ac:dyDescent="0.25">
      <c r="A111" s="121">
        <f t="shared" si="22"/>
        <v>85</v>
      </c>
      <c r="B111" s="717" t="s">
        <v>1444</v>
      </c>
      <c r="C111" s="1107">
        <f t="shared" si="19"/>
        <v>0</v>
      </c>
      <c r="D111" s="1107">
        <f t="shared" si="20"/>
        <v>0</v>
      </c>
      <c r="E111" s="1107">
        <f t="shared" si="21"/>
        <v>0</v>
      </c>
      <c r="F111" s="1125">
        <v>0</v>
      </c>
      <c r="G111" s="1118">
        <f t="shared" si="23"/>
        <v>0</v>
      </c>
      <c r="H111" s="1118">
        <f t="shared" si="24"/>
        <v>0</v>
      </c>
      <c r="I111" s="1118">
        <f t="shared" si="25"/>
        <v>0</v>
      </c>
      <c r="J111" s="1200" t="s">
        <v>2173</v>
      </c>
      <c r="K111" s="1101"/>
      <c r="L111" s="600"/>
    </row>
    <row r="112" spans="1:12" x14ac:dyDescent="0.25">
      <c r="A112" s="121">
        <f t="shared" si="22"/>
        <v>86</v>
      </c>
      <c r="B112" s="717" t="s">
        <v>1445</v>
      </c>
      <c r="C112" s="1107">
        <f t="shared" si="19"/>
        <v>0</v>
      </c>
      <c r="D112" s="1107">
        <f t="shared" si="20"/>
        <v>0</v>
      </c>
      <c r="E112" s="1107">
        <f t="shared" si="21"/>
        <v>0</v>
      </c>
      <c r="F112" s="1125">
        <v>1</v>
      </c>
      <c r="G112" s="1118">
        <f t="shared" si="23"/>
        <v>0</v>
      </c>
      <c r="H112" s="1118">
        <f t="shared" si="24"/>
        <v>0</v>
      </c>
      <c r="I112" s="1118">
        <f t="shared" si="25"/>
        <v>0</v>
      </c>
      <c r="J112" s="1200" t="s">
        <v>2172</v>
      </c>
      <c r="K112" s="1101"/>
      <c r="L112" s="600"/>
    </row>
    <row r="113" spans="1:12" x14ac:dyDescent="0.25">
      <c r="A113" s="121">
        <f t="shared" si="22"/>
        <v>87</v>
      </c>
      <c r="B113" s="717" t="s">
        <v>1446</v>
      </c>
      <c r="C113" s="1107">
        <f>SUM(D113:E113)</f>
        <v>0</v>
      </c>
      <c r="D113" s="1107">
        <f t="shared" ref="D113:E115" si="26">K27</f>
        <v>0</v>
      </c>
      <c r="E113" s="1107">
        <f t="shared" si="26"/>
        <v>0</v>
      </c>
      <c r="F113" s="1125">
        <v>0</v>
      </c>
      <c r="G113" s="1118">
        <f t="shared" si="23"/>
        <v>0</v>
      </c>
      <c r="H113" s="1118">
        <f t="shared" si="24"/>
        <v>0</v>
      </c>
      <c r="I113" s="1118">
        <f t="shared" si="25"/>
        <v>0</v>
      </c>
      <c r="J113" s="1200" t="s">
        <v>2173</v>
      </c>
      <c r="K113" s="1107"/>
      <c r="L113" s="720"/>
    </row>
    <row r="114" spans="1:12" x14ac:dyDescent="0.25">
      <c r="A114" s="121">
        <f t="shared" si="22"/>
        <v>88</v>
      </c>
      <c r="B114" s="717" t="s">
        <v>2084</v>
      </c>
      <c r="C114" s="1107">
        <f>J28</f>
        <v>0</v>
      </c>
      <c r="D114" s="1107">
        <f t="shared" si="26"/>
        <v>0</v>
      </c>
      <c r="E114" s="1107">
        <f t="shared" si="26"/>
        <v>0</v>
      </c>
      <c r="F114" s="1125" t="e">
        <f>J203</f>
        <v>#DIV/0!</v>
      </c>
      <c r="G114" s="1118" t="e">
        <f t="shared" si="23"/>
        <v>#DIV/0!</v>
      </c>
      <c r="H114" s="1118" t="e">
        <f t="shared" si="24"/>
        <v>#DIV/0!</v>
      </c>
      <c r="I114" s="1118" t="e">
        <f t="shared" si="25"/>
        <v>#DIV/0!</v>
      </c>
      <c r="J114" s="562" t="s">
        <v>2170</v>
      </c>
      <c r="K114" s="562"/>
      <c r="L114" s="500"/>
    </row>
    <row r="115" spans="1:12" x14ac:dyDescent="0.25">
      <c r="A115" s="121">
        <f t="shared" si="22"/>
        <v>89</v>
      </c>
      <c r="B115" s="717" t="s">
        <v>2085</v>
      </c>
      <c r="C115" s="1107">
        <f>J29</f>
        <v>0</v>
      </c>
      <c r="D115" s="1107">
        <f t="shared" si="26"/>
        <v>0</v>
      </c>
      <c r="E115" s="1107">
        <f t="shared" si="26"/>
        <v>0</v>
      </c>
      <c r="F115" s="1125" t="e">
        <f>J203</f>
        <v>#DIV/0!</v>
      </c>
      <c r="G115" s="1118" t="e">
        <f t="shared" ref="G115" si="27">SUM(H115:I115)</f>
        <v>#DIV/0!</v>
      </c>
      <c r="H115" s="1118" t="e">
        <f t="shared" ref="H115" si="28">D115*F115</f>
        <v>#DIV/0!</v>
      </c>
      <c r="I115" s="1118" t="e">
        <f t="shared" ref="I115" si="29">E115*F115</f>
        <v>#DIV/0!</v>
      </c>
      <c r="J115" s="562" t="s">
        <v>2170</v>
      </c>
      <c r="K115" s="562"/>
      <c r="L115" s="500"/>
    </row>
    <row r="116" spans="1:12" x14ac:dyDescent="0.25">
      <c r="A116" s="121">
        <f t="shared" si="22"/>
        <v>90</v>
      </c>
      <c r="B116" s="717" t="s">
        <v>1447</v>
      </c>
      <c r="C116" s="1107">
        <f t="shared" ref="C116:C141" si="30">J30</f>
        <v>0</v>
      </c>
      <c r="D116" s="1107">
        <f t="shared" ref="D116:D141" si="31">K30</f>
        <v>0</v>
      </c>
      <c r="E116" s="1107">
        <f t="shared" ref="E116:E141" si="32">L30</f>
        <v>0</v>
      </c>
      <c r="F116" s="1125" t="e">
        <f>'7-PlantStudy'!F28</f>
        <v>#DIV/0!</v>
      </c>
      <c r="G116" s="1118" t="e">
        <f t="shared" si="23"/>
        <v>#DIV/0!</v>
      </c>
      <c r="H116" s="1118" t="e">
        <f t="shared" si="24"/>
        <v>#DIV/0!</v>
      </c>
      <c r="I116" s="1118" t="e">
        <f t="shared" si="25"/>
        <v>#DIV/0!</v>
      </c>
      <c r="J116" s="562" t="str">
        <f>"7-PlantStudy, Line "&amp;'7-PlantStudy'!A28&amp;", C3"</f>
        <v>7-PlantStudy, Line 21, C3</v>
      </c>
      <c r="K116" s="1101"/>
      <c r="L116" s="600"/>
    </row>
    <row r="117" spans="1:12" x14ac:dyDescent="0.25">
      <c r="A117" s="121">
        <f t="shared" si="22"/>
        <v>91</v>
      </c>
      <c r="B117" s="717" t="s">
        <v>1448</v>
      </c>
      <c r="C117" s="1107">
        <f t="shared" si="30"/>
        <v>0</v>
      </c>
      <c r="D117" s="1107">
        <f t="shared" si="31"/>
        <v>0</v>
      </c>
      <c r="E117" s="1107">
        <f t="shared" si="32"/>
        <v>0</v>
      </c>
      <c r="F117" s="1125" t="e">
        <f>'7-PlantStudy'!F28</f>
        <v>#DIV/0!</v>
      </c>
      <c r="G117" s="1118" t="e">
        <f t="shared" si="23"/>
        <v>#DIV/0!</v>
      </c>
      <c r="H117" s="1118" t="e">
        <f t="shared" si="24"/>
        <v>#DIV/0!</v>
      </c>
      <c r="I117" s="1118" t="e">
        <f t="shared" si="25"/>
        <v>#DIV/0!</v>
      </c>
      <c r="J117" s="562" t="str">
        <f>"7-PlantStudy, Line "&amp;'7-PlantStudy'!A28&amp;", C3"</f>
        <v>7-PlantStudy, Line 21, C3</v>
      </c>
      <c r="K117" s="1107"/>
      <c r="L117" s="720"/>
    </row>
    <row r="118" spans="1:12" x14ac:dyDescent="0.25">
      <c r="A118" s="121">
        <f t="shared" si="22"/>
        <v>92</v>
      </c>
      <c r="B118" s="717" t="s">
        <v>1449</v>
      </c>
      <c r="C118" s="1107">
        <f t="shared" si="30"/>
        <v>0</v>
      </c>
      <c r="D118" s="1107">
        <f t="shared" si="31"/>
        <v>0</v>
      </c>
      <c r="E118" s="1107">
        <f t="shared" si="32"/>
        <v>0</v>
      </c>
      <c r="F118" s="1125" t="e">
        <f>'7-PlantStudy'!F28</f>
        <v>#DIV/0!</v>
      </c>
      <c r="G118" s="1118" t="e">
        <f t="shared" si="23"/>
        <v>#DIV/0!</v>
      </c>
      <c r="H118" s="1118" t="e">
        <f t="shared" si="24"/>
        <v>#DIV/0!</v>
      </c>
      <c r="I118" s="1118" t="e">
        <f t="shared" si="25"/>
        <v>#DIV/0!</v>
      </c>
      <c r="J118" s="562" t="str">
        <f>"7-PlantStudy, Line "&amp;'7-PlantStudy'!A28&amp;", C3"</f>
        <v>7-PlantStudy, Line 21, C3</v>
      </c>
      <c r="K118" s="562"/>
    </row>
    <row r="119" spans="1:12" x14ac:dyDescent="0.25">
      <c r="A119" s="121">
        <f t="shared" si="22"/>
        <v>93</v>
      </c>
      <c r="B119" s="717" t="s">
        <v>1450</v>
      </c>
      <c r="C119" s="1107">
        <f t="shared" si="30"/>
        <v>0</v>
      </c>
      <c r="D119" s="1107">
        <f t="shared" si="31"/>
        <v>0</v>
      </c>
      <c r="E119" s="1107">
        <f t="shared" si="32"/>
        <v>0</v>
      </c>
      <c r="F119" s="1125" t="e">
        <f>'7-PlantStudy'!F28</f>
        <v>#DIV/0!</v>
      </c>
      <c r="G119" s="1118" t="e">
        <f t="shared" si="23"/>
        <v>#DIV/0!</v>
      </c>
      <c r="H119" s="1118" t="e">
        <f t="shared" si="24"/>
        <v>#DIV/0!</v>
      </c>
      <c r="I119" s="1118" t="e">
        <f t="shared" si="25"/>
        <v>#DIV/0!</v>
      </c>
      <c r="J119" s="562" t="str">
        <f>"7-PlantStudy, Line "&amp;'7-PlantStudy'!A28&amp;", C3"</f>
        <v>7-PlantStudy, Line 21, C3</v>
      </c>
      <c r="K119" s="562"/>
    </row>
    <row r="120" spans="1:12" x14ac:dyDescent="0.25">
      <c r="A120" s="121">
        <f t="shared" si="22"/>
        <v>94</v>
      </c>
      <c r="B120" s="717" t="s">
        <v>1451</v>
      </c>
      <c r="C120" s="1107">
        <f t="shared" si="30"/>
        <v>0</v>
      </c>
      <c r="D120" s="1107">
        <f t="shared" si="31"/>
        <v>0</v>
      </c>
      <c r="E120" s="1107">
        <f t="shared" si="32"/>
        <v>0</v>
      </c>
      <c r="F120" s="1125">
        <v>1</v>
      </c>
      <c r="G120" s="1118">
        <f t="shared" si="23"/>
        <v>0</v>
      </c>
      <c r="H120" s="1118">
        <f t="shared" si="24"/>
        <v>0</v>
      </c>
      <c r="I120" s="1118">
        <f t="shared" si="25"/>
        <v>0</v>
      </c>
      <c r="J120" s="1200" t="s">
        <v>2172</v>
      </c>
      <c r="K120" s="562"/>
    </row>
    <row r="121" spans="1:12" x14ac:dyDescent="0.25">
      <c r="A121" s="121">
        <f t="shared" si="22"/>
        <v>95</v>
      </c>
      <c r="B121" s="717" t="s">
        <v>1452</v>
      </c>
      <c r="C121" s="1107">
        <f t="shared" si="30"/>
        <v>0</v>
      </c>
      <c r="D121" s="1107">
        <f t="shared" si="31"/>
        <v>0</v>
      </c>
      <c r="E121" s="1107">
        <f t="shared" si="32"/>
        <v>0</v>
      </c>
      <c r="F121" s="1125" t="e">
        <f>'27-Allocators'!D66</f>
        <v>#DIV/0!</v>
      </c>
      <c r="G121" s="1118" t="e">
        <f t="shared" si="23"/>
        <v>#DIV/0!</v>
      </c>
      <c r="H121" s="1118" t="e">
        <f t="shared" si="24"/>
        <v>#DIV/0!</v>
      </c>
      <c r="I121" s="1118" t="e">
        <f t="shared" si="25"/>
        <v>#DIV/0!</v>
      </c>
      <c r="J121" s="562" t="str">
        <f>"27-Allocators Line "&amp;'27-Allocators'!A66&amp;""</f>
        <v>27-Allocators Line 60</v>
      </c>
      <c r="K121" s="562"/>
    </row>
    <row r="122" spans="1:12" x14ac:dyDescent="0.25">
      <c r="A122" s="121">
        <f t="shared" si="22"/>
        <v>96</v>
      </c>
      <c r="B122" s="717" t="s">
        <v>1453</v>
      </c>
      <c r="C122" s="1107">
        <f t="shared" si="30"/>
        <v>0</v>
      </c>
      <c r="D122" s="1107">
        <f t="shared" si="31"/>
        <v>0</v>
      </c>
      <c r="E122" s="1107">
        <f t="shared" si="32"/>
        <v>0</v>
      </c>
      <c r="F122" s="1125" t="e">
        <f>'27-Allocators'!D72</f>
        <v>#DIV/0!</v>
      </c>
      <c r="G122" s="1118" t="e">
        <f t="shared" si="23"/>
        <v>#DIV/0!</v>
      </c>
      <c r="H122" s="1118" t="e">
        <f t="shared" si="24"/>
        <v>#DIV/0!</v>
      </c>
      <c r="I122" s="1118" t="e">
        <f t="shared" si="25"/>
        <v>#DIV/0!</v>
      </c>
      <c r="J122" s="562" t="str">
        <f>"27-Allocators Line "&amp;'27-Allocators'!A72&amp;""</f>
        <v>27-Allocators Line 66</v>
      </c>
      <c r="K122" s="562"/>
    </row>
    <row r="123" spans="1:12" x14ac:dyDescent="0.25">
      <c r="A123" s="121">
        <f t="shared" si="22"/>
        <v>97</v>
      </c>
      <c r="B123" s="717" t="s">
        <v>1454</v>
      </c>
      <c r="C123" s="1107">
        <f t="shared" si="30"/>
        <v>0</v>
      </c>
      <c r="D123" s="1107">
        <f t="shared" si="31"/>
        <v>0</v>
      </c>
      <c r="E123" s="1107">
        <f t="shared" si="32"/>
        <v>0</v>
      </c>
      <c r="F123" s="1125">
        <v>1</v>
      </c>
      <c r="G123" s="1118">
        <f t="shared" si="23"/>
        <v>0</v>
      </c>
      <c r="H123" s="1118">
        <f t="shared" si="24"/>
        <v>0</v>
      </c>
      <c r="I123" s="1118">
        <f t="shared" si="25"/>
        <v>0</v>
      </c>
      <c r="J123" s="1200" t="s">
        <v>2172</v>
      </c>
      <c r="K123" s="562"/>
      <c r="L123" s="562"/>
    </row>
    <row r="124" spans="1:12" x14ac:dyDescent="0.25">
      <c r="A124" s="121">
        <f t="shared" si="22"/>
        <v>98</v>
      </c>
      <c r="B124" s="717" t="s">
        <v>1455</v>
      </c>
      <c r="C124" s="1107">
        <f t="shared" si="30"/>
        <v>0</v>
      </c>
      <c r="D124" s="1107">
        <f t="shared" si="31"/>
        <v>0</v>
      </c>
      <c r="E124" s="1107">
        <f t="shared" si="32"/>
        <v>0</v>
      </c>
      <c r="F124" s="1125">
        <v>1</v>
      </c>
      <c r="G124" s="1118">
        <f t="shared" si="23"/>
        <v>0</v>
      </c>
      <c r="H124" s="1118">
        <f t="shared" si="24"/>
        <v>0</v>
      </c>
      <c r="I124" s="1118">
        <f t="shared" si="25"/>
        <v>0</v>
      </c>
      <c r="J124" s="1200" t="s">
        <v>2172</v>
      </c>
      <c r="K124" s="562"/>
    </row>
    <row r="125" spans="1:12" x14ac:dyDescent="0.25">
      <c r="A125" s="121">
        <f t="shared" si="22"/>
        <v>99</v>
      </c>
      <c r="B125" s="717" t="s">
        <v>1456</v>
      </c>
      <c r="C125" s="1107">
        <f t="shared" si="30"/>
        <v>0</v>
      </c>
      <c r="D125" s="1107">
        <f t="shared" si="31"/>
        <v>0</v>
      </c>
      <c r="E125" s="1107">
        <f t="shared" si="32"/>
        <v>0</v>
      </c>
      <c r="F125" s="1125" t="e">
        <f>J208</f>
        <v>#DIV/0!</v>
      </c>
      <c r="G125" s="1118" t="e">
        <f t="shared" si="23"/>
        <v>#DIV/0!</v>
      </c>
      <c r="H125" s="1118" t="e">
        <f t="shared" si="24"/>
        <v>#DIV/0!</v>
      </c>
      <c r="I125" s="1118" t="e">
        <f t="shared" si="25"/>
        <v>#DIV/0!</v>
      </c>
      <c r="J125" s="562" t="s">
        <v>2175</v>
      </c>
      <c r="K125" s="562"/>
      <c r="L125" s="551"/>
    </row>
    <row r="126" spans="1:12" x14ac:dyDescent="0.25">
      <c r="A126" s="121">
        <f t="shared" si="22"/>
        <v>100</v>
      </c>
      <c r="B126" s="717" t="s">
        <v>1457</v>
      </c>
      <c r="C126" s="1107">
        <f t="shared" si="30"/>
        <v>0</v>
      </c>
      <c r="D126" s="1107">
        <f t="shared" si="31"/>
        <v>0</v>
      </c>
      <c r="E126" s="1107">
        <f t="shared" si="32"/>
        <v>0</v>
      </c>
      <c r="F126" s="1125">
        <v>1</v>
      </c>
      <c r="G126" s="1118">
        <f t="shared" si="23"/>
        <v>0</v>
      </c>
      <c r="H126" s="1118">
        <f t="shared" si="24"/>
        <v>0</v>
      </c>
      <c r="I126" s="1118">
        <f t="shared" si="25"/>
        <v>0</v>
      </c>
      <c r="J126" s="1200" t="s">
        <v>2172</v>
      </c>
      <c r="K126" s="562"/>
    </row>
    <row r="127" spans="1:12" x14ac:dyDescent="0.25">
      <c r="A127" s="121">
        <f t="shared" si="22"/>
        <v>101</v>
      </c>
      <c r="B127" s="717" t="s">
        <v>1458</v>
      </c>
      <c r="C127" s="1107">
        <f t="shared" si="30"/>
        <v>0</v>
      </c>
      <c r="D127" s="1107">
        <f t="shared" si="31"/>
        <v>0</v>
      </c>
      <c r="E127" s="1107">
        <f t="shared" si="32"/>
        <v>0</v>
      </c>
      <c r="F127" s="1125" t="e">
        <f>J206</f>
        <v>#DIV/0!</v>
      </c>
      <c r="G127" s="1118" t="e">
        <f t="shared" si="23"/>
        <v>#DIV/0!</v>
      </c>
      <c r="H127" s="1118" t="e">
        <f t="shared" si="24"/>
        <v>#DIV/0!</v>
      </c>
      <c r="I127" s="1118" t="e">
        <f t="shared" si="25"/>
        <v>#DIV/0!</v>
      </c>
      <c r="J127" s="562" t="s">
        <v>2174</v>
      </c>
      <c r="K127" s="562"/>
    </row>
    <row r="128" spans="1:12" x14ac:dyDescent="0.25">
      <c r="A128" s="121">
        <f t="shared" si="22"/>
        <v>102</v>
      </c>
      <c r="B128" s="717" t="s">
        <v>2780</v>
      </c>
      <c r="C128" s="1107">
        <f t="shared" si="30"/>
        <v>0</v>
      </c>
      <c r="D128" s="1107">
        <f t="shared" si="31"/>
        <v>0</v>
      </c>
      <c r="E128" s="1107">
        <f t="shared" si="32"/>
        <v>0</v>
      </c>
      <c r="F128" s="1125" t="e">
        <f>J203</f>
        <v>#DIV/0!</v>
      </c>
      <c r="G128" s="1118" t="e">
        <f t="shared" si="23"/>
        <v>#DIV/0!</v>
      </c>
      <c r="H128" s="1118" t="e">
        <f t="shared" si="24"/>
        <v>#DIV/0!</v>
      </c>
      <c r="I128" s="1118" t="e">
        <f t="shared" si="25"/>
        <v>#DIV/0!</v>
      </c>
      <c r="J128" s="562" t="s">
        <v>2170</v>
      </c>
      <c r="K128" s="562"/>
    </row>
    <row r="129" spans="1:12" x14ac:dyDescent="0.25">
      <c r="A129" s="121">
        <f t="shared" si="22"/>
        <v>103</v>
      </c>
      <c r="B129" s="717" t="s">
        <v>2781</v>
      </c>
      <c r="C129" s="1107">
        <f t="shared" si="30"/>
        <v>0</v>
      </c>
      <c r="D129" s="1107">
        <f t="shared" si="31"/>
        <v>0</v>
      </c>
      <c r="E129" s="1107">
        <f t="shared" si="32"/>
        <v>0</v>
      </c>
      <c r="F129" s="1125" t="e">
        <f>J203</f>
        <v>#DIV/0!</v>
      </c>
      <c r="G129" s="1118" t="e">
        <f t="shared" si="23"/>
        <v>#DIV/0!</v>
      </c>
      <c r="H129" s="1118" t="e">
        <f t="shared" si="24"/>
        <v>#DIV/0!</v>
      </c>
      <c r="I129" s="1118" t="e">
        <f t="shared" si="25"/>
        <v>#DIV/0!</v>
      </c>
      <c r="J129" s="562" t="s">
        <v>2170</v>
      </c>
      <c r="K129" s="562"/>
    </row>
    <row r="130" spans="1:12" x14ac:dyDescent="0.25">
      <c r="A130" s="121">
        <f t="shared" si="22"/>
        <v>104</v>
      </c>
      <c r="B130" s="717" t="s">
        <v>2782</v>
      </c>
      <c r="C130" s="1107">
        <f t="shared" si="30"/>
        <v>0</v>
      </c>
      <c r="D130" s="1107">
        <f t="shared" si="31"/>
        <v>0</v>
      </c>
      <c r="E130" s="1107">
        <f t="shared" si="32"/>
        <v>0</v>
      </c>
      <c r="F130" s="1125" t="e">
        <f>J203</f>
        <v>#DIV/0!</v>
      </c>
      <c r="G130" s="1118" t="e">
        <f t="shared" si="23"/>
        <v>#DIV/0!</v>
      </c>
      <c r="H130" s="1118" t="e">
        <f t="shared" si="24"/>
        <v>#DIV/0!</v>
      </c>
      <c r="I130" s="1118" t="e">
        <f t="shared" si="25"/>
        <v>#DIV/0!</v>
      </c>
      <c r="J130" s="562" t="s">
        <v>2170</v>
      </c>
      <c r="K130" s="562"/>
    </row>
    <row r="131" spans="1:12" x14ac:dyDescent="0.25">
      <c r="A131" s="121">
        <f t="shared" si="22"/>
        <v>105</v>
      </c>
      <c r="B131" s="717" t="s">
        <v>1459</v>
      </c>
      <c r="C131" s="1107">
        <f t="shared" si="30"/>
        <v>0</v>
      </c>
      <c r="D131" s="1107">
        <f t="shared" si="31"/>
        <v>0</v>
      </c>
      <c r="E131" s="1107">
        <f t="shared" si="32"/>
        <v>0</v>
      </c>
      <c r="F131" s="1125">
        <v>1</v>
      </c>
      <c r="G131" s="1118">
        <f t="shared" si="23"/>
        <v>0</v>
      </c>
      <c r="H131" s="1118">
        <f t="shared" si="24"/>
        <v>0</v>
      </c>
      <c r="I131" s="1118">
        <f t="shared" si="25"/>
        <v>0</v>
      </c>
      <c r="J131" s="1200" t="s">
        <v>2172</v>
      </c>
      <c r="K131" s="562"/>
    </row>
    <row r="132" spans="1:12" x14ac:dyDescent="0.25">
      <c r="A132" s="121">
        <f t="shared" si="22"/>
        <v>106</v>
      </c>
      <c r="B132" s="717" t="s">
        <v>1460</v>
      </c>
      <c r="C132" s="1107">
        <f t="shared" si="30"/>
        <v>0</v>
      </c>
      <c r="D132" s="1107">
        <f t="shared" si="31"/>
        <v>0</v>
      </c>
      <c r="E132" s="1107">
        <f t="shared" si="32"/>
        <v>0</v>
      </c>
      <c r="F132" s="1125" t="e">
        <f>'27-Allocators'!D78</f>
        <v>#DIV/0!</v>
      </c>
      <c r="G132" s="1118" t="e">
        <f t="shared" si="23"/>
        <v>#DIV/0!</v>
      </c>
      <c r="H132" s="1118" t="e">
        <f t="shared" si="24"/>
        <v>#DIV/0!</v>
      </c>
      <c r="I132" s="1118" t="e">
        <f t="shared" si="25"/>
        <v>#DIV/0!</v>
      </c>
      <c r="J132" s="562" t="str">
        <f>"27-Allocators Line "&amp;'27-Allocators'!A78&amp;""</f>
        <v>27-Allocators Line 72</v>
      </c>
      <c r="K132" s="562"/>
      <c r="L132" s="275"/>
    </row>
    <row r="133" spans="1:12" x14ac:dyDescent="0.25">
      <c r="A133" s="121">
        <f t="shared" si="22"/>
        <v>107</v>
      </c>
      <c r="B133" s="717" t="s">
        <v>1461</v>
      </c>
      <c r="C133" s="1107">
        <f t="shared" si="30"/>
        <v>0</v>
      </c>
      <c r="D133" s="1107">
        <f t="shared" si="31"/>
        <v>0</v>
      </c>
      <c r="E133" s="1107">
        <f t="shared" si="32"/>
        <v>0</v>
      </c>
      <c r="F133" s="1125" t="e">
        <f>'27-Allocators'!D84</f>
        <v>#DIV/0!</v>
      </c>
      <c r="G133" s="1118" t="e">
        <f t="shared" si="23"/>
        <v>#DIV/0!</v>
      </c>
      <c r="H133" s="1118" t="e">
        <f t="shared" si="24"/>
        <v>#DIV/0!</v>
      </c>
      <c r="I133" s="1118" t="e">
        <f t="shared" si="25"/>
        <v>#DIV/0!</v>
      </c>
      <c r="J133" s="562" t="str">
        <f>"27-Allocators Line "&amp;'27-Allocators'!A84&amp;""</f>
        <v>27-Allocators Line 78</v>
      </c>
      <c r="K133" s="562"/>
      <c r="L133" s="275"/>
    </row>
    <row r="134" spans="1:12" x14ac:dyDescent="0.25">
      <c r="A134" s="121">
        <f t="shared" si="22"/>
        <v>108</v>
      </c>
      <c r="B134" s="717" t="s">
        <v>1462</v>
      </c>
      <c r="C134" s="1107">
        <f t="shared" si="30"/>
        <v>0</v>
      </c>
      <c r="D134" s="1107">
        <f t="shared" si="31"/>
        <v>0</v>
      </c>
      <c r="E134" s="1107">
        <f t="shared" si="32"/>
        <v>0</v>
      </c>
      <c r="F134" s="1125" t="e">
        <f>'27-Allocators'!D90</f>
        <v>#DIV/0!</v>
      </c>
      <c r="G134" s="1118" t="e">
        <f t="shared" si="23"/>
        <v>#DIV/0!</v>
      </c>
      <c r="H134" s="1118" t="e">
        <f t="shared" si="24"/>
        <v>#DIV/0!</v>
      </c>
      <c r="I134" s="1118" t="e">
        <f t="shared" si="25"/>
        <v>#DIV/0!</v>
      </c>
      <c r="J134" s="562" t="str">
        <f>"27-Allocators Line "&amp;'27-Allocators'!A90&amp;""</f>
        <v>27-Allocators Line 84</v>
      </c>
      <c r="K134" s="562"/>
      <c r="L134" s="275"/>
    </row>
    <row r="135" spans="1:12" x14ac:dyDescent="0.25">
      <c r="A135" s="121">
        <f t="shared" si="22"/>
        <v>109</v>
      </c>
      <c r="B135" s="717" t="s">
        <v>1463</v>
      </c>
      <c r="C135" s="1107">
        <f t="shared" si="30"/>
        <v>0</v>
      </c>
      <c r="D135" s="1107">
        <f t="shared" si="31"/>
        <v>0</v>
      </c>
      <c r="E135" s="1107">
        <f t="shared" si="32"/>
        <v>0</v>
      </c>
      <c r="F135" s="1125" t="e">
        <f>J208</f>
        <v>#DIV/0!</v>
      </c>
      <c r="G135" s="1118" t="e">
        <f t="shared" si="23"/>
        <v>#DIV/0!</v>
      </c>
      <c r="H135" s="1118" t="e">
        <f t="shared" si="24"/>
        <v>#DIV/0!</v>
      </c>
      <c r="I135" s="1118" t="e">
        <f t="shared" si="25"/>
        <v>#DIV/0!</v>
      </c>
      <c r="J135" s="562" t="s">
        <v>2175</v>
      </c>
      <c r="K135" s="562"/>
    </row>
    <row r="136" spans="1:12" x14ac:dyDescent="0.25">
      <c r="A136" s="121">
        <f t="shared" si="22"/>
        <v>110</v>
      </c>
      <c r="B136" s="553" t="s">
        <v>1860</v>
      </c>
      <c r="C136" s="1107">
        <f t="shared" si="30"/>
        <v>0</v>
      </c>
      <c r="D136" s="1107">
        <f t="shared" si="31"/>
        <v>0</v>
      </c>
      <c r="E136" s="1107">
        <f t="shared" si="32"/>
        <v>0</v>
      </c>
      <c r="F136" s="1125" t="e">
        <f>'27-Allocators'!D96</f>
        <v>#DIV/0!</v>
      </c>
      <c r="G136" s="1118" t="e">
        <f t="shared" si="23"/>
        <v>#DIV/0!</v>
      </c>
      <c r="H136" s="1118" t="e">
        <f t="shared" si="24"/>
        <v>#DIV/0!</v>
      </c>
      <c r="I136" s="1118" t="e">
        <f t="shared" si="25"/>
        <v>#DIV/0!</v>
      </c>
      <c r="J136" s="562" t="str">
        <f>"27-Allocators Line "&amp;'27-Allocators'!A96&amp;""</f>
        <v>27-Allocators Line 90</v>
      </c>
      <c r="K136" s="562"/>
    </row>
    <row r="137" spans="1:12" x14ac:dyDescent="0.25">
      <c r="A137" s="121">
        <f t="shared" si="22"/>
        <v>111</v>
      </c>
      <c r="B137" s="717" t="s">
        <v>1464</v>
      </c>
      <c r="C137" s="1107">
        <f t="shared" si="30"/>
        <v>0</v>
      </c>
      <c r="D137" s="1107">
        <f t="shared" si="31"/>
        <v>0</v>
      </c>
      <c r="E137" s="1107">
        <f t="shared" si="32"/>
        <v>0</v>
      </c>
      <c r="F137" s="1125">
        <v>1</v>
      </c>
      <c r="G137" s="1118">
        <f t="shared" si="23"/>
        <v>0</v>
      </c>
      <c r="H137" s="1118">
        <f t="shared" si="24"/>
        <v>0</v>
      </c>
      <c r="I137" s="1118">
        <f t="shared" si="25"/>
        <v>0</v>
      </c>
      <c r="J137" s="1200" t="s">
        <v>2172</v>
      </c>
      <c r="K137" s="562"/>
    </row>
    <row r="138" spans="1:12" x14ac:dyDescent="0.25">
      <c r="A138" s="121">
        <f t="shared" si="22"/>
        <v>112</v>
      </c>
      <c r="B138" s="717" t="s">
        <v>1465</v>
      </c>
      <c r="C138" s="1107">
        <f t="shared" si="30"/>
        <v>0</v>
      </c>
      <c r="D138" s="1107">
        <f t="shared" si="31"/>
        <v>0</v>
      </c>
      <c r="E138" s="1107">
        <f t="shared" si="32"/>
        <v>0</v>
      </c>
      <c r="F138" s="1125" t="e">
        <f>'27-Allocators'!D54</f>
        <v>#DIV/0!</v>
      </c>
      <c r="G138" s="1118" t="e">
        <f t="shared" si="23"/>
        <v>#DIV/0!</v>
      </c>
      <c r="H138" s="1118" t="e">
        <f t="shared" si="24"/>
        <v>#DIV/0!</v>
      </c>
      <c r="I138" s="1118" t="e">
        <f t="shared" si="25"/>
        <v>#DIV/0!</v>
      </c>
      <c r="J138" s="562" t="str">
        <f>"27-Allocators Line "&amp;'27-Allocators'!A54&amp;""</f>
        <v>27-Allocators Line 48</v>
      </c>
      <c r="K138" s="562"/>
      <c r="L138" s="562"/>
    </row>
    <row r="139" spans="1:12" x14ac:dyDescent="0.25">
      <c r="A139" s="121">
        <f t="shared" si="22"/>
        <v>113</v>
      </c>
      <c r="B139" s="717" t="s">
        <v>1466</v>
      </c>
      <c r="C139" s="1107">
        <f t="shared" si="30"/>
        <v>0</v>
      </c>
      <c r="D139" s="1107">
        <f t="shared" si="31"/>
        <v>0</v>
      </c>
      <c r="E139" s="1107">
        <f t="shared" si="32"/>
        <v>0</v>
      </c>
      <c r="F139" s="1125" t="e">
        <f>'27-Allocators'!D54</f>
        <v>#DIV/0!</v>
      </c>
      <c r="G139" s="1118" t="e">
        <f t="shared" si="23"/>
        <v>#DIV/0!</v>
      </c>
      <c r="H139" s="1118" t="e">
        <f t="shared" si="24"/>
        <v>#DIV/0!</v>
      </c>
      <c r="I139" s="1118" t="e">
        <f t="shared" si="25"/>
        <v>#DIV/0!</v>
      </c>
      <c r="J139" s="562" t="str">
        <f>"27-Allocators Line "&amp;'27-Allocators'!A54&amp;""</f>
        <v>27-Allocators Line 48</v>
      </c>
      <c r="K139" s="562"/>
      <c r="L139" s="562"/>
    </row>
    <row r="140" spans="1:12" x14ac:dyDescent="0.25">
      <c r="A140" s="121">
        <f t="shared" si="22"/>
        <v>114</v>
      </c>
      <c r="B140" s="717" t="s">
        <v>1467</v>
      </c>
      <c r="C140" s="1107">
        <f t="shared" si="30"/>
        <v>0</v>
      </c>
      <c r="D140" s="1107">
        <f t="shared" si="31"/>
        <v>0</v>
      </c>
      <c r="E140" s="1107">
        <f t="shared" si="32"/>
        <v>0</v>
      </c>
      <c r="F140" s="1125" t="e">
        <f>'27-Allocators'!D54</f>
        <v>#DIV/0!</v>
      </c>
      <c r="G140" s="1118" t="e">
        <f t="shared" si="23"/>
        <v>#DIV/0!</v>
      </c>
      <c r="H140" s="1118" t="e">
        <f t="shared" si="24"/>
        <v>#DIV/0!</v>
      </c>
      <c r="I140" s="1118" t="e">
        <f t="shared" si="25"/>
        <v>#DIV/0!</v>
      </c>
      <c r="J140" s="562" t="str">
        <f>"27-Allocators Line "&amp;'27-Allocators'!A54&amp;""</f>
        <v>27-Allocators Line 48</v>
      </c>
      <c r="K140" s="562"/>
      <c r="L140" s="562"/>
    </row>
    <row r="141" spans="1:12" x14ac:dyDescent="0.25">
      <c r="A141" s="121">
        <f t="shared" si="22"/>
        <v>115</v>
      </c>
      <c r="B141" s="717" t="s">
        <v>1663</v>
      </c>
      <c r="C141" s="1107">
        <f t="shared" si="30"/>
        <v>0</v>
      </c>
      <c r="D141" s="1107">
        <f t="shared" si="31"/>
        <v>0</v>
      </c>
      <c r="E141" s="1107">
        <f t="shared" si="32"/>
        <v>0</v>
      </c>
      <c r="F141" s="1125" t="e">
        <f>'27-Allocators'!D102</f>
        <v>#DIV/0!</v>
      </c>
      <c r="G141" s="1118" t="e">
        <f t="shared" ref="G141" si="33">SUM(H141:I141)</f>
        <v>#DIV/0!</v>
      </c>
      <c r="H141" s="1118" t="e">
        <f t="shared" ref="H141" si="34">D141*F141</f>
        <v>#DIV/0!</v>
      </c>
      <c r="I141" s="1118" t="e">
        <f t="shared" ref="I141" si="35">E141*F141</f>
        <v>#DIV/0!</v>
      </c>
      <c r="J141" s="562" t="str">
        <f>"27-Allocators Line "&amp;'27-Allocators'!A102&amp;""</f>
        <v>27-Allocators Line 96</v>
      </c>
      <c r="K141" s="562"/>
      <c r="L141" s="562"/>
    </row>
    <row r="142" spans="1:12" x14ac:dyDescent="0.25">
      <c r="A142" s="121">
        <f t="shared" si="22"/>
        <v>116</v>
      </c>
      <c r="B142" s="717" t="s">
        <v>1468</v>
      </c>
      <c r="C142" s="1107">
        <f t="shared" ref="C142" si="36">J56</f>
        <v>0</v>
      </c>
      <c r="D142" s="1107">
        <f t="shared" ref="D142:E145" si="37">K56</f>
        <v>0</v>
      </c>
      <c r="E142" s="1107">
        <f t="shared" si="37"/>
        <v>0</v>
      </c>
      <c r="F142" s="1125">
        <v>1</v>
      </c>
      <c r="G142" s="1118">
        <f t="shared" si="23"/>
        <v>0</v>
      </c>
      <c r="H142" s="1118">
        <f t="shared" si="24"/>
        <v>0</v>
      </c>
      <c r="I142" s="1118">
        <f t="shared" si="25"/>
        <v>0</v>
      </c>
      <c r="J142" s="1200" t="s">
        <v>2172</v>
      </c>
      <c r="K142" s="562"/>
      <c r="L142" s="562"/>
    </row>
    <row r="143" spans="1:12" x14ac:dyDescent="0.25">
      <c r="A143" s="121">
        <f t="shared" si="22"/>
        <v>117</v>
      </c>
      <c r="B143" s="717" t="s">
        <v>1469</v>
      </c>
      <c r="C143" s="1107">
        <f>J57</f>
        <v>0</v>
      </c>
      <c r="D143" s="1107">
        <f t="shared" si="37"/>
        <v>0</v>
      </c>
      <c r="E143" s="1107">
        <f t="shared" si="37"/>
        <v>0</v>
      </c>
      <c r="F143" s="1125" t="e">
        <f>'27-Allocators'!D60</f>
        <v>#DIV/0!</v>
      </c>
      <c r="G143" s="1118" t="e">
        <f t="shared" si="23"/>
        <v>#DIV/0!</v>
      </c>
      <c r="H143" s="1118" t="e">
        <f t="shared" si="24"/>
        <v>#DIV/0!</v>
      </c>
      <c r="I143" s="1118" t="e">
        <f t="shared" si="25"/>
        <v>#DIV/0!</v>
      </c>
      <c r="J143" s="562" t="str">
        <f>"27-Allocators Line "&amp;'27-Allocators'!A60&amp;""</f>
        <v>27-Allocators Line 54</v>
      </c>
      <c r="K143" s="562"/>
    </row>
    <row r="144" spans="1:12" x14ac:dyDescent="0.25">
      <c r="A144" s="121">
        <f t="shared" si="22"/>
        <v>118</v>
      </c>
      <c r="B144" s="717" t="s">
        <v>1470</v>
      </c>
      <c r="C144" s="1107">
        <f>J58</f>
        <v>0</v>
      </c>
      <c r="D144" s="1107">
        <f t="shared" si="37"/>
        <v>0</v>
      </c>
      <c r="E144" s="1107">
        <f t="shared" si="37"/>
        <v>0</v>
      </c>
      <c r="F144" s="1125">
        <v>1</v>
      </c>
      <c r="G144" s="1118">
        <f t="shared" si="23"/>
        <v>0</v>
      </c>
      <c r="H144" s="1118">
        <f t="shared" si="24"/>
        <v>0</v>
      </c>
      <c r="I144" s="1118">
        <f t="shared" si="25"/>
        <v>0</v>
      </c>
      <c r="J144" s="1200" t="s">
        <v>2172</v>
      </c>
      <c r="K144" s="562"/>
    </row>
    <row r="145" spans="1:12" x14ac:dyDescent="0.25">
      <c r="A145" s="121">
        <f t="shared" si="22"/>
        <v>119</v>
      </c>
      <c r="B145" s="717" t="s">
        <v>1471</v>
      </c>
      <c r="C145" s="1107">
        <f>J59</f>
        <v>0</v>
      </c>
      <c r="D145" s="1107">
        <f t="shared" si="37"/>
        <v>0</v>
      </c>
      <c r="E145" s="1107">
        <f t="shared" si="37"/>
        <v>0</v>
      </c>
      <c r="F145" s="1125" t="e">
        <f>'27-Allocators'!D108</f>
        <v>#DIV/0!</v>
      </c>
      <c r="G145" s="1118" t="e">
        <f t="shared" si="23"/>
        <v>#DIV/0!</v>
      </c>
      <c r="H145" s="1118" t="e">
        <f t="shared" si="24"/>
        <v>#DIV/0!</v>
      </c>
      <c r="I145" s="1118" t="e">
        <f t="shared" si="25"/>
        <v>#DIV/0!</v>
      </c>
      <c r="J145" s="562" t="str">
        <f>"27-Allocators Line "&amp;'27-Allocators'!A108&amp;""</f>
        <v>27-Allocators Line 102</v>
      </c>
      <c r="K145" s="562"/>
      <c r="L145" s="275"/>
    </row>
    <row r="146" spans="1:12" x14ac:dyDescent="0.25">
      <c r="A146" s="121">
        <f t="shared" si="22"/>
        <v>120</v>
      </c>
      <c r="B146" s="623" t="s">
        <v>565</v>
      </c>
      <c r="C146" s="1092" t="s">
        <v>86</v>
      </c>
      <c r="D146" s="1092" t="s">
        <v>86</v>
      </c>
      <c r="E146" s="1092" t="s">
        <v>86</v>
      </c>
      <c r="F146" s="1092" t="s">
        <v>86</v>
      </c>
      <c r="G146" s="1092" t="s">
        <v>86</v>
      </c>
      <c r="H146" s="1092" t="s">
        <v>86</v>
      </c>
      <c r="I146" s="1092" t="s">
        <v>86</v>
      </c>
      <c r="J146" s="562"/>
      <c r="K146" s="562"/>
    </row>
    <row r="147" spans="1:12" x14ac:dyDescent="0.25">
      <c r="A147" s="121">
        <f t="shared" si="22"/>
        <v>121</v>
      </c>
      <c r="B147" s="717" t="s">
        <v>2517</v>
      </c>
      <c r="C147" s="1121" t="e">
        <f>J61</f>
        <v>#DIV/0!</v>
      </c>
      <c r="D147" s="1121" t="e">
        <f>K61</f>
        <v>#DIV/0!</v>
      </c>
      <c r="E147" s="1121">
        <f>L61</f>
        <v>0</v>
      </c>
      <c r="F147" s="1122"/>
      <c r="G147" s="1123" t="e">
        <f>SUM(H147:I147)</f>
        <v>#DIV/0!</v>
      </c>
      <c r="H147" s="1123" t="e">
        <f>D147*C197</f>
        <v>#DIV/0!</v>
      </c>
      <c r="I147" s="1123">
        <v>0</v>
      </c>
      <c r="J147" s="562"/>
      <c r="K147" s="562"/>
    </row>
    <row r="148" spans="1:12" x14ac:dyDescent="0.25">
      <c r="A148" s="121">
        <f t="shared" si="22"/>
        <v>122</v>
      </c>
      <c r="B148" s="500" t="s">
        <v>1493</v>
      </c>
      <c r="C148" s="1105" t="e">
        <f>SUM(C97:C147)</f>
        <v>#DIV/0!</v>
      </c>
      <c r="D148" s="1105" t="e">
        <f>SUM(D97:D147)</f>
        <v>#DIV/0!</v>
      </c>
      <c r="E148" s="1105">
        <f>SUM(E97:E147)</f>
        <v>0</v>
      </c>
      <c r="F148" s="1124"/>
      <c r="G148" s="1105" t="e">
        <f>SUM(G97:G147)</f>
        <v>#DIV/0!</v>
      </c>
      <c r="H148" s="1105" t="e">
        <f>SUM(H97:H147)</f>
        <v>#DIV/0!</v>
      </c>
      <c r="I148" s="1105" t="e">
        <f>SUM(I97:I147)</f>
        <v>#DIV/0!</v>
      </c>
      <c r="J148" s="562"/>
      <c r="K148" s="1079"/>
      <c r="L148" s="562"/>
    </row>
    <row r="149" spans="1:12" x14ac:dyDescent="0.25">
      <c r="A149" s="121">
        <f t="shared" si="22"/>
        <v>123</v>
      </c>
      <c r="B149" s="600"/>
      <c r="C149" s="720"/>
      <c r="D149" s="720"/>
      <c r="E149" s="720"/>
      <c r="F149" s="1124"/>
      <c r="G149" s="1125"/>
      <c r="H149" s="1118"/>
      <c r="I149" s="1118"/>
      <c r="J149" s="1118"/>
      <c r="K149" s="1079"/>
    </row>
    <row r="150" spans="1:12" x14ac:dyDescent="0.25">
      <c r="A150" s="121"/>
      <c r="B150" s="501"/>
      <c r="C150" s="509"/>
      <c r="D150" s="509"/>
      <c r="E150" s="509"/>
      <c r="F150" s="510"/>
      <c r="G150" s="511"/>
      <c r="H150" s="509"/>
      <c r="I150" s="509"/>
      <c r="J150" s="509"/>
      <c r="K150" s="562"/>
    </row>
    <row r="151" spans="1:12" x14ac:dyDescent="0.25">
      <c r="A151" s="121"/>
      <c r="B151" s="92" t="s">
        <v>394</v>
      </c>
      <c r="C151" s="488" t="s">
        <v>378</v>
      </c>
      <c r="D151" s="488" t="s">
        <v>379</v>
      </c>
      <c r="E151" s="488" t="s">
        <v>380</v>
      </c>
      <c r="F151" s="489" t="s">
        <v>381</v>
      </c>
      <c r="G151" s="488" t="s">
        <v>382</v>
      </c>
      <c r="H151" s="488" t="s">
        <v>383</v>
      </c>
      <c r="I151" s="488" t="s">
        <v>597</v>
      </c>
      <c r="J151" s="1198" t="s">
        <v>1046</v>
      </c>
      <c r="K151" s="562"/>
    </row>
    <row r="152" spans="1:12" x14ac:dyDescent="0.25">
      <c r="A152" s="121"/>
      <c r="C152" s="1101" t="s">
        <v>1489</v>
      </c>
      <c r="D152" s="1101" t="s">
        <v>1490</v>
      </c>
      <c r="E152" s="1101" t="s">
        <v>1491</v>
      </c>
      <c r="F152" s="1114" t="s">
        <v>1312</v>
      </c>
      <c r="G152" s="669" t="s">
        <v>1419</v>
      </c>
      <c r="H152" s="670" t="s">
        <v>1912</v>
      </c>
      <c r="I152" s="670" t="s">
        <v>1913</v>
      </c>
      <c r="J152" s="562"/>
      <c r="K152" s="562"/>
    </row>
    <row r="153" spans="1:12" x14ac:dyDescent="0.25">
      <c r="A153" s="121"/>
      <c r="C153" s="1101"/>
      <c r="D153" s="1101"/>
      <c r="E153" s="1101"/>
      <c r="F153" s="1113"/>
      <c r="G153" s="1114"/>
      <c r="H153" s="600"/>
      <c r="I153" s="600"/>
      <c r="J153" s="1101"/>
      <c r="K153" s="562"/>
    </row>
    <row r="154" spans="1:12" x14ac:dyDescent="0.25">
      <c r="A154" s="121"/>
      <c r="B154" s="1307" t="s">
        <v>1423</v>
      </c>
      <c r="C154" s="1298" t="s">
        <v>1426</v>
      </c>
      <c r="D154" s="1299"/>
      <c r="E154" s="1300"/>
      <c r="F154" s="507" t="s">
        <v>1627</v>
      </c>
      <c r="G154" s="1304" t="s">
        <v>1492</v>
      </c>
      <c r="H154" s="1305"/>
      <c r="I154" s="1306"/>
      <c r="J154" s="1199" t="s">
        <v>2005</v>
      </c>
      <c r="K154" s="562"/>
    </row>
    <row r="155" spans="1:12" x14ac:dyDescent="0.25">
      <c r="A155" s="121"/>
      <c r="B155" s="1307"/>
      <c r="C155" s="1077" t="s">
        <v>215</v>
      </c>
      <c r="D155" s="493" t="s">
        <v>1427</v>
      </c>
      <c r="E155" s="493" t="s">
        <v>1428</v>
      </c>
      <c r="F155" s="507" t="s">
        <v>478</v>
      </c>
      <c r="G155" s="1077" t="s">
        <v>215</v>
      </c>
      <c r="H155" s="493" t="s">
        <v>1427</v>
      </c>
      <c r="I155" s="493" t="s">
        <v>1428</v>
      </c>
      <c r="J155" s="1143" t="s">
        <v>224</v>
      </c>
      <c r="K155" s="562"/>
    </row>
    <row r="156" spans="1:12" ht="12.75" customHeight="1" x14ac:dyDescent="0.25">
      <c r="A156" s="121"/>
      <c r="B156" s="502" t="s">
        <v>1473</v>
      </c>
      <c r="C156" s="720"/>
      <c r="D156" s="720"/>
      <c r="E156" s="720"/>
      <c r="F156" s="1124"/>
      <c r="G156" s="1125"/>
      <c r="H156" s="1118"/>
      <c r="I156" s="1118"/>
      <c r="J156" s="1118"/>
      <c r="K156" s="562"/>
    </row>
    <row r="157" spans="1:12" ht="12.75" customHeight="1" x14ac:dyDescent="0.25">
      <c r="A157" s="121">
        <f>A149+1</f>
        <v>124</v>
      </c>
      <c r="B157" s="571" t="s">
        <v>1474</v>
      </c>
      <c r="C157" s="720">
        <f t="shared" ref="C157:E164" si="38">J71</f>
        <v>0</v>
      </c>
      <c r="D157" s="720">
        <f t="shared" si="38"/>
        <v>0</v>
      </c>
      <c r="E157" s="720">
        <f t="shared" si="38"/>
        <v>0</v>
      </c>
      <c r="F157" s="1210" t="e">
        <f>J214</f>
        <v>#DIV/0!</v>
      </c>
      <c r="G157" s="1118" t="e">
        <f t="shared" ref="G157:G164" si="39">SUM(H157:I157)</f>
        <v>#DIV/0!</v>
      </c>
      <c r="H157" s="1118" t="e">
        <f>D157*F157</f>
        <v>#DIV/0!</v>
      </c>
      <c r="I157" s="1118" t="e">
        <f>E157*F157</f>
        <v>#DIV/0!</v>
      </c>
      <c r="J157" s="562" t="s">
        <v>2176</v>
      </c>
      <c r="K157" s="562"/>
    </row>
    <row r="158" spans="1:12" ht="12.75" customHeight="1" x14ac:dyDescent="0.25">
      <c r="A158" s="121">
        <f t="shared" ref="A158:A167" si="40">A157+1</f>
        <v>125</v>
      </c>
      <c r="B158" s="571" t="s">
        <v>1475</v>
      </c>
      <c r="C158" s="720">
        <f t="shared" si="38"/>
        <v>0</v>
      </c>
      <c r="D158" s="720">
        <f t="shared" si="38"/>
        <v>0</v>
      </c>
      <c r="E158" s="720">
        <f t="shared" si="38"/>
        <v>0</v>
      </c>
      <c r="F158" s="1210" t="e">
        <f>J214</f>
        <v>#DIV/0!</v>
      </c>
      <c r="G158" s="1118" t="e">
        <f t="shared" si="39"/>
        <v>#DIV/0!</v>
      </c>
      <c r="H158" s="1118" t="e">
        <f t="shared" ref="H158:H165" si="41">D158*F158</f>
        <v>#DIV/0!</v>
      </c>
      <c r="I158" s="1118" t="e">
        <f t="shared" ref="I158:I165" si="42">E158*F158</f>
        <v>#DIV/0!</v>
      </c>
      <c r="J158" s="562" t="s">
        <v>2176</v>
      </c>
      <c r="K158" s="562"/>
    </row>
    <row r="159" spans="1:12" ht="12.75" customHeight="1" x14ac:dyDescent="0.25">
      <c r="A159" s="121">
        <f t="shared" si="40"/>
        <v>126</v>
      </c>
      <c r="B159" s="571" t="s">
        <v>1476</v>
      </c>
      <c r="C159" s="720">
        <f t="shared" si="38"/>
        <v>0</v>
      </c>
      <c r="D159" s="720">
        <f t="shared" si="38"/>
        <v>0</v>
      </c>
      <c r="E159" s="720">
        <f t="shared" si="38"/>
        <v>0</v>
      </c>
      <c r="F159" s="1210" t="e">
        <f>J214</f>
        <v>#DIV/0!</v>
      </c>
      <c r="G159" s="1118" t="e">
        <f t="shared" si="39"/>
        <v>#DIV/0!</v>
      </c>
      <c r="H159" s="1118" t="e">
        <f t="shared" si="41"/>
        <v>#DIV/0!</v>
      </c>
      <c r="I159" s="1118" t="e">
        <f t="shared" si="42"/>
        <v>#DIV/0!</v>
      </c>
      <c r="J159" s="562" t="s">
        <v>2176</v>
      </c>
      <c r="K159" s="562"/>
    </row>
    <row r="160" spans="1:12" ht="12.75" customHeight="1" x14ac:dyDescent="0.25">
      <c r="A160" s="121">
        <f t="shared" si="40"/>
        <v>127</v>
      </c>
      <c r="B160" s="571" t="s">
        <v>1477</v>
      </c>
      <c r="C160" s="720">
        <f t="shared" si="38"/>
        <v>0</v>
      </c>
      <c r="D160" s="720">
        <f t="shared" si="38"/>
        <v>0</v>
      </c>
      <c r="E160" s="720">
        <f t="shared" si="38"/>
        <v>0</v>
      </c>
      <c r="F160" s="1210" t="e">
        <f>J214</f>
        <v>#DIV/0!</v>
      </c>
      <c r="G160" s="1118" t="e">
        <f t="shared" si="39"/>
        <v>#DIV/0!</v>
      </c>
      <c r="H160" s="1118" t="e">
        <f t="shared" si="41"/>
        <v>#DIV/0!</v>
      </c>
      <c r="I160" s="1118" t="e">
        <f t="shared" si="42"/>
        <v>#DIV/0!</v>
      </c>
      <c r="J160" s="562" t="s">
        <v>2176</v>
      </c>
      <c r="K160" s="562"/>
    </row>
    <row r="161" spans="1:12" ht="12.75" customHeight="1" x14ac:dyDescent="0.25">
      <c r="A161" s="121">
        <f t="shared" si="40"/>
        <v>128</v>
      </c>
      <c r="B161" s="571" t="s">
        <v>1478</v>
      </c>
      <c r="C161" s="720">
        <f t="shared" si="38"/>
        <v>0</v>
      </c>
      <c r="D161" s="720">
        <f t="shared" si="38"/>
        <v>0</v>
      </c>
      <c r="E161" s="720">
        <f t="shared" si="38"/>
        <v>0</v>
      </c>
      <c r="F161" s="1125" t="e">
        <f>'27-Allocators'!D114</f>
        <v>#DIV/0!</v>
      </c>
      <c r="G161" s="1118" t="e">
        <f t="shared" si="39"/>
        <v>#DIV/0!</v>
      </c>
      <c r="H161" s="1118" t="e">
        <f t="shared" si="41"/>
        <v>#DIV/0!</v>
      </c>
      <c r="I161" s="1118" t="e">
        <f t="shared" si="42"/>
        <v>#DIV/0!</v>
      </c>
      <c r="J161" s="562" t="str">
        <f>"27-Allocators Line "&amp;'27-Allocators'!A114&amp;""</f>
        <v>27-Allocators Line 108</v>
      </c>
      <c r="K161" s="562"/>
    </row>
    <row r="162" spans="1:12" ht="12.75" customHeight="1" x14ac:dyDescent="0.25">
      <c r="A162" s="121">
        <f t="shared" si="40"/>
        <v>129</v>
      </c>
      <c r="B162" s="571" t="s">
        <v>1479</v>
      </c>
      <c r="C162" s="720">
        <f t="shared" si="38"/>
        <v>0</v>
      </c>
      <c r="D162" s="720">
        <f t="shared" si="38"/>
        <v>0</v>
      </c>
      <c r="E162" s="720">
        <f t="shared" si="38"/>
        <v>0</v>
      </c>
      <c r="F162" s="1125" t="e">
        <f>'27-Allocators'!D120</f>
        <v>#DIV/0!</v>
      </c>
      <c r="G162" s="1118" t="e">
        <f t="shared" si="39"/>
        <v>#DIV/0!</v>
      </c>
      <c r="H162" s="1118" t="e">
        <f t="shared" si="41"/>
        <v>#DIV/0!</v>
      </c>
      <c r="I162" s="1118" t="e">
        <f t="shared" si="42"/>
        <v>#DIV/0!</v>
      </c>
      <c r="J162" s="562" t="str">
        <f>"27-Allocators Line "&amp;'27-Allocators'!A120&amp;""</f>
        <v>27-Allocators Line 114</v>
      </c>
      <c r="K162" s="562"/>
    </row>
    <row r="163" spans="1:12" ht="12.75" customHeight="1" x14ac:dyDescent="0.25">
      <c r="A163" s="121">
        <f t="shared" si="40"/>
        <v>130</v>
      </c>
      <c r="B163" s="571" t="s">
        <v>1480</v>
      </c>
      <c r="C163" s="720">
        <f t="shared" si="38"/>
        <v>0</v>
      </c>
      <c r="D163" s="720">
        <f t="shared" si="38"/>
        <v>0</v>
      </c>
      <c r="E163" s="720">
        <f t="shared" si="38"/>
        <v>0</v>
      </c>
      <c r="F163" s="1125" t="e">
        <f>'27-Allocators'!D126</f>
        <v>#DIV/0!</v>
      </c>
      <c r="G163" s="1118" t="e">
        <f t="shared" si="39"/>
        <v>#DIV/0!</v>
      </c>
      <c r="H163" s="1118" t="e">
        <f t="shared" si="41"/>
        <v>#DIV/0!</v>
      </c>
      <c r="I163" s="1118" t="e">
        <f t="shared" si="42"/>
        <v>#DIV/0!</v>
      </c>
      <c r="J163" s="562" t="str">
        <f>"27-Allocators Line "&amp;'27-Allocators'!A126&amp;""</f>
        <v>27-Allocators Line 120</v>
      </c>
      <c r="K163" s="562"/>
    </row>
    <row r="164" spans="1:12" ht="12.75" customHeight="1" x14ac:dyDescent="0.25">
      <c r="A164" s="121">
        <f t="shared" si="40"/>
        <v>131</v>
      </c>
      <c r="B164" s="571" t="s">
        <v>1481</v>
      </c>
      <c r="C164" s="720">
        <f t="shared" si="38"/>
        <v>0</v>
      </c>
      <c r="D164" s="720">
        <f t="shared" si="38"/>
        <v>0</v>
      </c>
      <c r="E164" s="720">
        <f t="shared" si="38"/>
        <v>0</v>
      </c>
      <c r="F164" s="1210" t="e">
        <f>J214</f>
        <v>#DIV/0!</v>
      </c>
      <c r="G164" s="1118" t="e">
        <f t="shared" si="39"/>
        <v>#DIV/0!</v>
      </c>
      <c r="H164" s="1118" t="e">
        <f t="shared" si="41"/>
        <v>#DIV/0!</v>
      </c>
      <c r="I164" s="1118" t="e">
        <f t="shared" si="42"/>
        <v>#DIV/0!</v>
      </c>
      <c r="J164" s="562" t="s">
        <v>2176</v>
      </c>
      <c r="K164" s="562"/>
      <c r="L164" s="275"/>
    </row>
    <row r="165" spans="1:12" ht="12.75" customHeight="1" x14ac:dyDescent="0.4">
      <c r="A165" s="1201">
        <f t="shared" si="40"/>
        <v>132</v>
      </c>
      <c r="B165" s="1126" t="s">
        <v>1482</v>
      </c>
      <c r="C165" s="1127">
        <f t="shared" ref="C165:E166" si="43">J79</f>
        <v>0</v>
      </c>
      <c r="D165" s="720">
        <f t="shared" si="43"/>
        <v>0</v>
      </c>
      <c r="E165" s="720">
        <f t="shared" si="43"/>
        <v>0</v>
      </c>
      <c r="F165" s="1211">
        <v>0</v>
      </c>
      <c r="G165" s="512">
        <v>0</v>
      </c>
      <c r="H165" s="1118">
        <f t="shared" si="41"/>
        <v>0</v>
      </c>
      <c r="I165" s="1118">
        <f t="shared" si="42"/>
        <v>0</v>
      </c>
      <c r="J165" s="1200" t="s">
        <v>2173</v>
      </c>
      <c r="K165" s="562"/>
    </row>
    <row r="166" spans="1:12" ht="12.75" customHeight="1" x14ac:dyDescent="0.25">
      <c r="A166" s="121">
        <f t="shared" si="40"/>
        <v>133</v>
      </c>
      <c r="B166" s="717" t="s">
        <v>2518</v>
      </c>
      <c r="C166" s="1111" t="e">
        <f t="shared" si="43"/>
        <v>#DIV/0!</v>
      </c>
      <c r="D166" s="1111" t="e">
        <f t="shared" si="43"/>
        <v>#DIV/0!</v>
      </c>
      <c r="E166" s="1111">
        <f t="shared" si="43"/>
        <v>0</v>
      </c>
      <c r="F166" s="1212">
        <v>0</v>
      </c>
      <c r="G166" s="1123" t="e">
        <f>SUM(H166:I166)</f>
        <v>#DIV/0!</v>
      </c>
      <c r="H166" s="1123" t="e">
        <f>D166*F166</f>
        <v>#DIV/0!</v>
      </c>
      <c r="I166" s="1123">
        <f>E166*F166</f>
        <v>0</v>
      </c>
      <c r="J166" s="1200" t="s">
        <v>2173</v>
      </c>
      <c r="K166" s="562"/>
    </row>
    <row r="167" spans="1:12" x14ac:dyDescent="0.25">
      <c r="A167" s="121">
        <f t="shared" si="40"/>
        <v>134</v>
      </c>
      <c r="B167" s="501" t="s">
        <v>1494</v>
      </c>
      <c r="C167" s="720" t="e">
        <f>SUM(C157:C166)</f>
        <v>#DIV/0!</v>
      </c>
      <c r="D167" s="720" t="e">
        <f>SUM(D157:D166)</f>
        <v>#DIV/0!</v>
      </c>
      <c r="E167" s="720">
        <f>SUM(E157:E166)</f>
        <v>0</v>
      </c>
      <c r="F167" s="510"/>
      <c r="G167" s="1105" t="e">
        <f>SUM(G157:G165)</f>
        <v>#DIV/0!</v>
      </c>
      <c r="H167" s="1105" t="e">
        <f>SUM(H157:H165)</f>
        <v>#DIV/0!</v>
      </c>
      <c r="I167" s="1105" t="e">
        <f>SUM(I157:I165)</f>
        <v>#DIV/0!</v>
      </c>
      <c r="J167" s="562"/>
      <c r="K167" s="562"/>
    </row>
    <row r="168" spans="1:12" x14ac:dyDescent="0.25">
      <c r="A168" s="121">
        <f>+A167+1</f>
        <v>135</v>
      </c>
      <c r="B168" s="501"/>
      <c r="C168" s="720"/>
      <c r="D168" s="720"/>
      <c r="E168" s="720"/>
      <c r="F168" s="510"/>
      <c r="G168" s="1105"/>
      <c r="H168" s="1102"/>
      <c r="I168" s="513"/>
      <c r="J168" s="562"/>
      <c r="K168" s="562"/>
    </row>
    <row r="169" spans="1:12" x14ac:dyDescent="0.25">
      <c r="A169" s="121">
        <f>A168+1</f>
        <v>136</v>
      </c>
      <c r="B169" s="1101"/>
      <c r="C169" s="1107"/>
      <c r="D169" s="1107"/>
      <c r="E169" s="1107"/>
      <c r="F169" s="1124"/>
      <c r="G169" s="1118"/>
      <c r="H169" s="1118"/>
      <c r="I169" s="1118"/>
    </row>
    <row r="170" spans="1:12" x14ac:dyDescent="0.25">
      <c r="A170" s="121">
        <f>A169+1</f>
        <v>137</v>
      </c>
      <c r="B170" s="501" t="s">
        <v>1915</v>
      </c>
      <c r="C170" s="1107" t="e">
        <f>+C148+C167</f>
        <v>#DIV/0!</v>
      </c>
      <c r="D170" s="1107" t="e">
        <f>+D148+D167</f>
        <v>#DIV/0!</v>
      </c>
      <c r="E170" s="1107">
        <f>+E148+E167</f>
        <v>0</v>
      </c>
      <c r="F170" s="497"/>
      <c r="G170" s="1118" t="e">
        <f>SUM(H170:I170)</f>
        <v>#DIV/0!</v>
      </c>
      <c r="H170" s="1107" t="e">
        <f>+H148+H167</f>
        <v>#DIV/0!</v>
      </c>
      <c r="I170" s="1107" t="e">
        <f>+I148+I167</f>
        <v>#DIV/0!</v>
      </c>
    </row>
    <row r="171" spans="1:12" x14ac:dyDescent="0.25">
      <c r="A171" s="121">
        <f>A170+1</f>
        <v>138</v>
      </c>
      <c r="B171" s="564" t="str">
        <f>"Line "&amp;A148&amp;" +  Line "&amp;A167&amp;""</f>
        <v>Line 122 +  Line 134</v>
      </c>
    </row>
    <row r="172" spans="1:12" x14ac:dyDescent="0.25">
      <c r="A172" s="562"/>
    </row>
    <row r="173" spans="1:12" x14ac:dyDescent="0.25">
      <c r="A173" s="562"/>
      <c r="B173" s="514" t="s">
        <v>256</v>
      </c>
    </row>
    <row r="174" spans="1:12" x14ac:dyDescent="0.25">
      <c r="A174" s="562"/>
      <c r="B174" s="1129" t="s">
        <v>1495</v>
      </c>
      <c r="G174" s="1130"/>
      <c r="H174" s="1131"/>
      <c r="I174" s="1131"/>
      <c r="J174" s="562"/>
      <c r="K174" s="562"/>
    </row>
    <row r="175" spans="1:12" x14ac:dyDescent="0.25">
      <c r="A175" s="562"/>
      <c r="B175" s="1132" t="s">
        <v>1496</v>
      </c>
      <c r="G175" s="1130"/>
      <c r="H175" s="1131"/>
      <c r="I175" s="1131"/>
      <c r="J175" s="562"/>
      <c r="K175" s="562"/>
    </row>
    <row r="176" spans="1:12" x14ac:dyDescent="0.25">
      <c r="A176" s="562"/>
      <c r="B176" s="1133" t="s">
        <v>1497</v>
      </c>
      <c r="G176" s="1130"/>
      <c r="H176" s="1131"/>
      <c r="I176" s="1131"/>
      <c r="J176" s="562"/>
      <c r="K176" s="562"/>
    </row>
    <row r="177" spans="1:11" x14ac:dyDescent="0.25">
      <c r="A177" s="562"/>
      <c r="B177" s="723" t="s">
        <v>1498</v>
      </c>
      <c r="G177" s="1130"/>
      <c r="H177" s="1131"/>
      <c r="I177" s="1131"/>
      <c r="J177" s="562"/>
      <c r="K177" s="562"/>
    </row>
    <row r="178" spans="1:11" x14ac:dyDescent="0.25">
      <c r="A178" s="562"/>
      <c r="B178" s="723" t="s">
        <v>1499</v>
      </c>
      <c r="G178" s="1130"/>
      <c r="H178" s="1131"/>
      <c r="I178" s="1131"/>
      <c r="J178" s="562"/>
      <c r="K178" s="562"/>
    </row>
    <row r="179" spans="1:11" x14ac:dyDescent="0.25">
      <c r="A179" s="562"/>
      <c r="B179" s="723" t="s">
        <v>1500</v>
      </c>
      <c r="G179" s="1130"/>
      <c r="H179" s="1131"/>
      <c r="I179" s="1131"/>
      <c r="J179" s="562"/>
      <c r="K179" s="562"/>
    </row>
    <row r="180" spans="1:11" x14ac:dyDescent="0.25">
      <c r="A180" s="562"/>
      <c r="B180" s="1202" t="s">
        <v>1984</v>
      </c>
      <c r="G180" s="1130"/>
      <c r="H180" s="1131"/>
      <c r="I180" s="1131"/>
      <c r="J180" s="562"/>
      <c r="K180" s="562"/>
    </row>
    <row r="181" spans="1:11" x14ac:dyDescent="0.25">
      <c r="A181" s="562"/>
      <c r="B181" s="723" t="s">
        <v>2779</v>
      </c>
      <c r="G181" s="1130"/>
      <c r="H181" s="1131"/>
      <c r="I181" s="1131"/>
      <c r="J181" s="562"/>
      <c r="K181" s="562"/>
    </row>
    <row r="182" spans="1:11" x14ac:dyDescent="0.25">
      <c r="A182" s="562"/>
      <c r="B182" s="723" t="s">
        <v>2778</v>
      </c>
      <c r="G182" s="1130"/>
      <c r="H182" s="1131"/>
      <c r="I182" s="1131"/>
      <c r="J182" s="562"/>
      <c r="K182" s="562"/>
    </row>
    <row r="183" spans="1:11" x14ac:dyDescent="0.25">
      <c r="A183" s="562"/>
      <c r="B183" s="723" t="s">
        <v>2777</v>
      </c>
      <c r="G183" s="1130"/>
      <c r="H183" s="1131"/>
      <c r="I183" s="1131"/>
      <c r="J183" s="562"/>
      <c r="K183" s="562"/>
    </row>
    <row r="184" spans="1:11" x14ac:dyDescent="0.25">
      <c r="A184" s="562"/>
      <c r="B184" s="723" t="s">
        <v>2757</v>
      </c>
      <c r="G184" s="1130"/>
      <c r="H184" s="1131"/>
      <c r="I184" s="1131"/>
      <c r="J184" s="562"/>
      <c r="K184" s="562"/>
    </row>
    <row r="185" spans="1:11" x14ac:dyDescent="0.25">
      <c r="A185" s="562"/>
      <c r="B185" s="1134" t="s">
        <v>565</v>
      </c>
      <c r="C185" s="1090"/>
      <c r="D185" s="1090"/>
      <c r="E185" s="1090"/>
      <c r="F185" s="1091"/>
      <c r="G185" s="1135"/>
      <c r="H185" s="1136"/>
      <c r="I185" s="1136"/>
      <c r="J185" s="1090"/>
      <c r="K185" s="1090"/>
    </row>
    <row r="186" spans="1:11" x14ac:dyDescent="0.25">
      <c r="A186" s="562"/>
      <c r="B186" s="562" t="s">
        <v>2528</v>
      </c>
      <c r="G186" s="1130"/>
      <c r="H186" s="1131"/>
      <c r="I186" s="1131"/>
      <c r="J186" s="562"/>
      <c r="K186" s="562"/>
    </row>
    <row r="187" spans="1:11" x14ac:dyDescent="0.25">
      <c r="A187" s="562"/>
      <c r="B187" s="562" t="s">
        <v>2519</v>
      </c>
      <c r="G187" s="1130"/>
      <c r="H187" s="1131"/>
      <c r="I187" s="1131"/>
      <c r="J187" s="562"/>
      <c r="K187" s="562"/>
    </row>
    <row r="188" spans="1:11" x14ac:dyDescent="0.25">
      <c r="A188" s="562"/>
      <c r="G188" s="1130"/>
      <c r="H188" s="1131"/>
      <c r="I188" s="1131"/>
      <c r="J188" s="562"/>
      <c r="K188" s="562"/>
    </row>
    <row r="189" spans="1:11" x14ac:dyDescent="0.25">
      <c r="A189" s="562"/>
      <c r="B189" s="1203" t="s">
        <v>2520</v>
      </c>
      <c r="C189" s="1090"/>
      <c r="G189" s="1130"/>
      <c r="H189" s="1131"/>
      <c r="I189" s="1131"/>
      <c r="J189" s="562"/>
      <c r="K189" s="562"/>
    </row>
    <row r="190" spans="1:11" x14ac:dyDescent="0.25">
      <c r="A190" s="562"/>
      <c r="G190" s="1130"/>
      <c r="H190" s="1131"/>
      <c r="I190" s="1131"/>
      <c r="J190" s="562"/>
      <c r="K190" s="562"/>
    </row>
    <row r="191" spans="1:11" x14ac:dyDescent="0.25">
      <c r="A191" s="562"/>
      <c r="B191" s="1137"/>
      <c r="C191" s="539" t="s">
        <v>1628</v>
      </c>
      <c r="D191" s="539" t="s">
        <v>171</v>
      </c>
      <c r="G191" s="1130"/>
      <c r="H191" s="1131"/>
      <c r="I191" s="1131"/>
      <c r="J191" s="562"/>
      <c r="K191" s="562"/>
    </row>
    <row r="192" spans="1:11" x14ac:dyDescent="0.25">
      <c r="A192" s="562"/>
      <c r="B192" s="1137" t="s">
        <v>2521</v>
      </c>
      <c r="C192" s="1138" t="e">
        <f>D62/D83</f>
        <v>#DIV/0!</v>
      </c>
      <c r="D192" s="1137" t="str">
        <f>"Line "&amp;A62&amp;", Col 3 / Line "&amp;A83&amp;", Col 3"</f>
        <v>Line 52, Col 3 / Line 66, Col 3</v>
      </c>
      <c r="G192" s="1130"/>
      <c r="H192" s="1131"/>
      <c r="I192" s="1131"/>
      <c r="J192" s="562"/>
      <c r="K192" s="562"/>
    </row>
    <row r="193" spans="1:11" x14ac:dyDescent="0.25">
      <c r="A193" s="562"/>
      <c r="B193" s="1137" t="s">
        <v>2522</v>
      </c>
      <c r="C193" s="1138" t="e">
        <f>D81/D83</f>
        <v>#DIV/0!</v>
      </c>
      <c r="D193" s="1137" t="str">
        <f>"Line "&amp;A81&amp;", Col 3 / Line "&amp;A83&amp;", Col 3"</f>
        <v>Line 64, Col 3 / Line 66, Col 3</v>
      </c>
      <c r="G193" s="1130"/>
      <c r="H193" s="1131"/>
      <c r="I193" s="1131"/>
      <c r="J193" s="562"/>
      <c r="K193" s="562"/>
    </row>
    <row r="194" spans="1:11" x14ac:dyDescent="0.25">
      <c r="A194" s="562"/>
      <c r="G194" s="1130"/>
      <c r="H194" s="1131"/>
      <c r="I194" s="1131"/>
      <c r="J194" s="562"/>
      <c r="K194" s="562"/>
    </row>
    <row r="195" spans="1:11" x14ac:dyDescent="0.25">
      <c r="A195" s="562"/>
      <c r="B195" s="562" t="s">
        <v>2523</v>
      </c>
      <c r="G195" s="1130"/>
      <c r="H195" s="1131"/>
      <c r="I195" s="1131"/>
      <c r="J195" s="562"/>
      <c r="K195" s="562"/>
    </row>
    <row r="196" spans="1:11" x14ac:dyDescent="0.25">
      <c r="A196" s="562"/>
      <c r="B196" s="562" t="s">
        <v>2524</v>
      </c>
      <c r="G196" s="1130"/>
      <c r="H196" s="1131"/>
      <c r="I196" s="1131"/>
      <c r="J196" s="562"/>
      <c r="K196" s="562"/>
    </row>
    <row r="197" spans="1:11" x14ac:dyDescent="0.25">
      <c r="A197" s="562"/>
      <c r="B197" s="562" t="s">
        <v>2004</v>
      </c>
      <c r="C197" s="1204" t="e">
        <f>(SUM(H97:H145)/SUM(D97:D145))</f>
        <v>#DIV/0!</v>
      </c>
      <c r="G197" s="1130"/>
      <c r="H197" s="1131"/>
      <c r="I197" s="1131"/>
      <c r="J197" s="562"/>
      <c r="K197" s="562"/>
    </row>
    <row r="198" spans="1:11" x14ac:dyDescent="0.25">
      <c r="A198" s="562"/>
      <c r="B198" s="562" t="s">
        <v>1914</v>
      </c>
      <c r="G198" s="1130"/>
      <c r="H198" s="1131"/>
      <c r="I198" s="1131"/>
      <c r="J198" s="562"/>
      <c r="K198" s="562"/>
    </row>
    <row r="199" spans="1:11" x14ac:dyDescent="0.25">
      <c r="A199" s="562"/>
      <c r="B199" s="562" t="s">
        <v>2171</v>
      </c>
      <c r="G199" s="1130"/>
      <c r="H199" s="1131"/>
      <c r="I199" s="1131"/>
      <c r="J199" s="562"/>
      <c r="K199" s="562"/>
    </row>
    <row r="200" spans="1:11" x14ac:dyDescent="0.25">
      <c r="A200" s="562"/>
      <c r="B200" s="562"/>
      <c r="G200" s="1130"/>
      <c r="H200" s="1131"/>
      <c r="I200" s="1131"/>
      <c r="J200" s="562"/>
      <c r="K200" s="562"/>
    </row>
    <row r="201" spans="1:11" x14ac:dyDescent="0.25">
      <c r="A201" s="562"/>
      <c r="B201" s="562" t="s">
        <v>2169</v>
      </c>
      <c r="G201" s="1130"/>
      <c r="H201" s="1131"/>
      <c r="I201" s="1131"/>
      <c r="J201" s="562"/>
      <c r="K201" s="562"/>
    </row>
    <row r="202" spans="1:11" x14ac:dyDescent="0.25">
      <c r="A202" s="562"/>
      <c r="B202" s="1137" t="s">
        <v>2177</v>
      </c>
      <c r="G202" s="1130"/>
      <c r="H202" s="1131"/>
      <c r="I202" s="1131"/>
      <c r="J202" s="1205" t="s">
        <v>2005</v>
      </c>
      <c r="K202" s="562"/>
    </row>
    <row r="203" spans="1:11" x14ac:dyDescent="0.25">
      <c r="A203" s="562"/>
      <c r="B203" s="1206" t="s">
        <v>2183</v>
      </c>
      <c r="G203" s="1130"/>
      <c r="H203" s="1131"/>
      <c r="I203" s="1131"/>
      <c r="J203" s="1207" t="e">
        <f>SUM(H99:H109, H113, H116:H120,H132:H144)/SUM(D99:D109,D113,D116:D120,D132:D144)</f>
        <v>#DIV/0!</v>
      </c>
      <c r="K203" s="562"/>
    </row>
    <row r="204" spans="1:11" x14ac:dyDescent="0.25">
      <c r="A204" s="562"/>
      <c r="B204" s="1206" t="s">
        <v>2775</v>
      </c>
      <c r="G204" s="1130"/>
      <c r="H204" s="1131"/>
      <c r="I204" s="1131"/>
      <c r="J204" s="1207"/>
      <c r="K204" s="562"/>
    </row>
    <row r="205" spans="1:11" x14ac:dyDescent="0.25">
      <c r="A205" s="562"/>
      <c r="B205" s="1137" t="s">
        <v>2188</v>
      </c>
      <c r="G205" s="1130"/>
      <c r="H205" s="1131"/>
      <c r="I205" s="1131"/>
      <c r="J205" s="562"/>
      <c r="K205" s="562"/>
    </row>
    <row r="206" spans="1:11" x14ac:dyDescent="0.25">
      <c r="A206" s="562"/>
      <c r="B206" s="1206" t="s">
        <v>2006</v>
      </c>
      <c r="G206" s="1130"/>
      <c r="H206" s="1131"/>
      <c r="I206" s="1131"/>
      <c r="J206" s="1207" t="e">
        <f>SUM(H104:H107, H132:H137)/SUM(D104:D107,D132:D137)</f>
        <v>#DIV/0!</v>
      </c>
      <c r="K206" s="562"/>
    </row>
    <row r="207" spans="1:11" x14ac:dyDescent="0.25">
      <c r="A207" s="562"/>
      <c r="B207" s="1137" t="s">
        <v>2190</v>
      </c>
      <c r="G207" s="1130"/>
      <c r="H207" s="1131"/>
      <c r="I207" s="1131"/>
      <c r="J207" s="562"/>
      <c r="K207" s="562"/>
    </row>
    <row r="208" spans="1:11" x14ac:dyDescent="0.25">
      <c r="A208" s="562"/>
      <c r="B208" s="1206" t="s">
        <v>2007</v>
      </c>
      <c r="G208" s="1130"/>
      <c r="H208" s="1131"/>
      <c r="I208" s="1131"/>
      <c r="J208" s="1207" t="e">
        <f>SUM(H132:H134,H136)/SUM(D132:D134,D136)</f>
        <v>#DIV/0!</v>
      </c>
      <c r="K208" s="562"/>
    </row>
    <row r="209" spans="1:11" x14ac:dyDescent="0.25">
      <c r="A209" s="562"/>
      <c r="B209" s="1208" t="s">
        <v>1460</v>
      </c>
      <c r="G209" s="1130"/>
      <c r="H209" s="1131"/>
      <c r="I209" s="1131"/>
      <c r="J209" s="562"/>
      <c r="K209" s="562"/>
    </row>
    <row r="210" spans="1:11" x14ac:dyDescent="0.25">
      <c r="A210" s="562"/>
      <c r="B210" s="1208" t="s">
        <v>1860</v>
      </c>
      <c r="G210" s="1130"/>
      <c r="H210" s="1131"/>
      <c r="I210" s="1131"/>
      <c r="J210" s="562"/>
      <c r="K210" s="562"/>
    </row>
    <row r="211" spans="1:11" x14ac:dyDescent="0.25">
      <c r="A211" s="562"/>
      <c r="B211" s="1208" t="s">
        <v>1462</v>
      </c>
      <c r="G211" s="1130"/>
      <c r="H211" s="1131"/>
      <c r="I211" s="1131"/>
      <c r="J211" s="562"/>
      <c r="K211" s="562"/>
    </row>
    <row r="212" spans="1:11" x14ac:dyDescent="0.25">
      <c r="A212" s="562"/>
      <c r="B212" s="1208" t="s">
        <v>1461</v>
      </c>
      <c r="G212" s="1130"/>
      <c r="H212" s="1131"/>
      <c r="I212" s="1131"/>
      <c r="J212" s="562"/>
      <c r="K212" s="562"/>
    </row>
    <row r="213" spans="1:11" x14ac:dyDescent="0.25">
      <c r="A213" s="562"/>
      <c r="B213" s="1137" t="s">
        <v>2189</v>
      </c>
      <c r="G213" s="1130"/>
      <c r="H213" s="1131"/>
      <c r="I213" s="1131"/>
      <c r="J213" s="562"/>
      <c r="K213" s="562"/>
    </row>
    <row r="214" spans="1:11" x14ac:dyDescent="0.25">
      <c r="A214" s="562"/>
      <c r="B214" s="1206" t="s">
        <v>2185</v>
      </c>
      <c r="G214" s="1130"/>
      <c r="H214" s="1131"/>
      <c r="I214" s="1131"/>
      <c r="J214" s="1204" t="e">
        <f>SUM(H161:H163)/SUM(D161:D163)</f>
        <v>#DIV/0!</v>
      </c>
      <c r="K214" s="562"/>
    </row>
    <row r="215" spans="1:11" x14ac:dyDescent="0.25">
      <c r="A215" s="562"/>
      <c r="B215" s="1206" t="s">
        <v>2184</v>
      </c>
      <c r="G215" s="1130"/>
      <c r="H215" s="1131"/>
      <c r="I215" s="1131"/>
      <c r="J215" s="562"/>
      <c r="K215" s="562"/>
    </row>
    <row r="216" spans="1:11" x14ac:dyDescent="0.25">
      <c r="A216" s="562"/>
      <c r="B216" s="562" t="s">
        <v>2193</v>
      </c>
      <c r="G216" s="1130"/>
      <c r="H216" s="1131"/>
      <c r="I216" s="1131"/>
      <c r="J216" s="562"/>
      <c r="K216" s="562"/>
    </row>
    <row r="217" spans="1:11" x14ac:dyDescent="0.25">
      <c r="A217" s="562"/>
      <c r="B217" s="562"/>
      <c r="G217" s="1130"/>
      <c r="H217" s="1131"/>
      <c r="I217" s="1131"/>
      <c r="J217" s="562"/>
      <c r="K217" s="562"/>
    </row>
    <row r="218" spans="1:11" x14ac:dyDescent="0.25">
      <c r="A218" s="562"/>
    </row>
    <row r="219" spans="1:11" x14ac:dyDescent="0.25">
      <c r="A219" s="562"/>
    </row>
  </sheetData>
  <mergeCells count="14">
    <mergeCell ref="G154:I154"/>
    <mergeCell ref="G94:I94"/>
    <mergeCell ref="B8:B9"/>
    <mergeCell ref="C8:E8"/>
    <mergeCell ref="G8:I8"/>
    <mergeCell ref="B94:B95"/>
    <mergeCell ref="C94:E94"/>
    <mergeCell ref="B154:B155"/>
    <mergeCell ref="C154:E154"/>
    <mergeCell ref="J8:L8"/>
    <mergeCell ref="B68:B69"/>
    <mergeCell ref="C68:E68"/>
    <mergeCell ref="G68:I68"/>
    <mergeCell ref="J68:L68"/>
  </mergeCells>
  <pageMargins left="0.7" right="0.7" top="0.75" bottom="0.75" header="0.3" footer="0.3"/>
  <pageSetup scale="60" orientation="landscape" cellComments="asDisplayed" r:id="rId1"/>
  <headerFooter>
    <oddHeader>&amp;CSchedule 19
Operations and Maintenance
&amp;"Arial,Bold"Attachment 5</oddHeader>
    <oddFooter>&amp;R&amp;A</oddFooter>
  </headerFooter>
  <rowBreaks count="3" manualBreakCount="3">
    <brk id="64" max="11" man="1"/>
    <brk id="88" max="16383" man="1"/>
    <brk id="150" max="1638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2"/>
  <sheetViews>
    <sheetView zoomScale="90" zoomScaleNormal="90" workbookViewId="0">
      <selection activeCell="E4" sqref="E4"/>
    </sheetView>
  </sheetViews>
  <sheetFormatPr defaultRowHeight="13.2" x14ac:dyDescent="0.25"/>
  <cols>
    <col min="1" max="1" width="4.6640625" customWidth="1"/>
    <col min="2" max="2" width="2.6640625" customWidth="1"/>
    <col min="3" max="3" width="6.6640625" customWidth="1"/>
    <col min="4" max="4" width="32.5546875" customWidth="1"/>
    <col min="5" max="5" width="14.6640625" customWidth="1"/>
    <col min="6" max="6" width="15.6640625" customWidth="1"/>
    <col min="7" max="8" width="14.6640625" customWidth="1"/>
    <col min="9" max="9" width="18.6640625" customWidth="1"/>
    <col min="10" max="10" width="14.6640625" customWidth="1"/>
    <col min="11" max="11" width="11" bestFit="1" customWidth="1"/>
  </cols>
  <sheetData>
    <row r="1" spans="1:24" x14ac:dyDescent="0.25">
      <c r="A1" s="1" t="s">
        <v>308</v>
      </c>
      <c r="F1" s="44" t="s">
        <v>17</v>
      </c>
      <c r="G1" s="105"/>
      <c r="H1" s="63"/>
      <c r="I1" s="63"/>
    </row>
    <row r="2" spans="1:24" x14ac:dyDescent="0.25">
      <c r="E2" s="92" t="s">
        <v>394</v>
      </c>
      <c r="F2" s="92" t="s">
        <v>378</v>
      </c>
      <c r="G2" s="92" t="s">
        <v>379</v>
      </c>
      <c r="H2" s="92" t="s">
        <v>380</v>
      </c>
      <c r="I2" s="63"/>
    </row>
    <row r="3" spans="1:24" x14ac:dyDescent="0.25">
      <c r="G3" s="63" t="s">
        <v>236</v>
      </c>
    </row>
    <row r="4" spans="1:24" x14ac:dyDescent="0.25">
      <c r="E4" s="2" t="s">
        <v>530</v>
      </c>
      <c r="F4" s="26" t="s">
        <v>213</v>
      </c>
      <c r="G4" s="2" t="s">
        <v>1563</v>
      </c>
      <c r="I4" s="2"/>
    </row>
    <row r="5" spans="1:24" x14ac:dyDescent="0.25">
      <c r="A5" s="55" t="s">
        <v>350</v>
      </c>
      <c r="B5" s="3"/>
      <c r="C5" s="3" t="s">
        <v>126</v>
      </c>
      <c r="D5" s="3" t="s">
        <v>111</v>
      </c>
      <c r="E5" s="3" t="s">
        <v>194</v>
      </c>
      <c r="F5" s="25" t="s">
        <v>198</v>
      </c>
      <c r="G5" s="3" t="s">
        <v>127</v>
      </c>
      <c r="H5" s="3" t="s">
        <v>290</v>
      </c>
      <c r="I5" s="3" t="s">
        <v>187</v>
      </c>
      <c r="K5" s="3"/>
      <c r="L5" s="3"/>
      <c r="M5" s="3"/>
      <c r="N5" s="3"/>
      <c r="O5" s="3"/>
      <c r="P5" s="3"/>
      <c r="Q5" s="3"/>
      <c r="R5" s="3"/>
      <c r="S5" s="3"/>
      <c r="T5" s="3"/>
      <c r="U5" s="3"/>
      <c r="V5" s="3"/>
      <c r="W5" s="3"/>
      <c r="X5" s="3"/>
    </row>
    <row r="6" spans="1:24" x14ac:dyDescent="0.25">
      <c r="A6" s="2">
        <v>1</v>
      </c>
      <c r="C6" s="63">
        <v>920</v>
      </c>
      <c r="D6" t="s">
        <v>113</v>
      </c>
      <c r="E6" s="87"/>
      <c r="F6" s="63" t="s">
        <v>128</v>
      </c>
      <c r="G6" s="65">
        <f>D37</f>
        <v>0</v>
      </c>
      <c r="H6" s="7">
        <f t="shared" ref="H6:H19" si="0">E6-G6</f>
        <v>0</v>
      </c>
    </row>
    <row r="7" spans="1:24" x14ac:dyDescent="0.25">
      <c r="A7" s="2">
        <f>A6+1</f>
        <v>2</v>
      </c>
      <c r="C7" s="63">
        <v>921</v>
      </c>
      <c r="D7" t="s">
        <v>114</v>
      </c>
      <c r="E7" s="87"/>
      <c r="F7" s="63" t="s">
        <v>129</v>
      </c>
      <c r="G7" s="65">
        <f t="shared" ref="G7:G19" si="1">D38</f>
        <v>0</v>
      </c>
      <c r="H7" s="7">
        <f t="shared" si="0"/>
        <v>0</v>
      </c>
    </row>
    <row r="8" spans="1:24" x14ac:dyDescent="0.25">
      <c r="A8" s="2">
        <f>A7+1</f>
        <v>3</v>
      </c>
      <c r="C8" s="63">
        <v>922</v>
      </c>
      <c r="D8" t="s">
        <v>115</v>
      </c>
      <c r="E8" s="87"/>
      <c r="F8" s="63" t="s">
        <v>130</v>
      </c>
      <c r="G8" s="65">
        <f t="shared" si="1"/>
        <v>0</v>
      </c>
      <c r="H8" s="7">
        <f t="shared" si="0"/>
        <v>0</v>
      </c>
      <c r="I8" s="124" t="s">
        <v>2039</v>
      </c>
    </row>
    <row r="9" spans="1:24" x14ac:dyDescent="0.25">
      <c r="A9" s="2">
        <f t="shared" ref="A9:A20" si="2">A8+1</f>
        <v>4</v>
      </c>
      <c r="B9" s="2"/>
      <c r="C9" s="63">
        <v>923</v>
      </c>
      <c r="D9" t="s">
        <v>116</v>
      </c>
      <c r="E9" s="87"/>
      <c r="F9" s="63" t="s">
        <v>131</v>
      </c>
      <c r="G9" s="65">
        <f t="shared" si="1"/>
        <v>0</v>
      </c>
      <c r="H9" s="7">
        <f t="shared" si="0"/>
        <v>0</v>
      </c>
    </row>
    <row r="10" spans="1:24" x14ac:dyDescent="0.25">
      <c r="A10" s="2">
        <f t="shared" si="2"/>
        <v>5</v>
      </c>
      <c r="B10" s="2"/>
      <c r="C10" s="63">
        <v>924</v>
      </c>
      <c r="D10" t="s">
        <v>117</v>
      </c>
      <c r="E10" s="87"/>
      <c r="F10" s="63" t="s">
        <v>132</v>
      </c>
      <c r="G10" s="65">
        <f t="shared" si="1"/>
        <v>0</v>
      </c>
      <c r="H10" s="7">
        <f t="shared" si="0"/>
        <v>0</v>
      </c>
    </row>
    <row r="11" spans="1:24" x14ac:dyDescent="0.25">
      <c r="A11" s="2">
        <f t="shared" si="2"/>
        <v>6</v>
      </c>
      <c r="B11" s="2"/>
      <c r="C11" s="63">
        <v>925</v>
      </c>
      <c r="D11" t="s">
        <v>118</v>
      </c>
      <c r="E11" s="87"/>
      <c r="F11" s="63" t="s">
        <v>133</v>
      </c>
      <c r="G11" s="65">
        <f t="shared" si="1"/>
        <v>0</v>
      </c>
      <c r="H11" s="7">
        <f t="shared" si="0"/>
        <v>0</v>
      </c>
    </row>
    <row r="12" spans="1:24" x14ac:dyDescent="0.25">
      <c r="A12" s="2">
        <f t="shared" si="2"/>
        <v>7</v>
      </c>
      <c r="B12" s="2"/>
      <c r="C12" s="63">
        <v>926</v>
      </c>
      <c r="D12" t="s">
        <v>119</v>
      </c>
      <c r="E12" s="87"/>
      <c r="F12" s="63" t="s">
        <v>134</v>
      </c>
      <c r="G12" s="65">
        <f t="shared" si="1"/>
        <v>7105091</v>
      </c>
      <c r="H12" s="7">
        <f t="shared" si="0"/>
        <v>-7105091</v>
      </c>
    </row>
    <row r="13" spans="1:24" x14ac:dyDescent="0.25">
      <c r="A13" s="2">
        <f t="shared" si="2"/>
        <v>8</v>
      </c>
      <c r="B13" s="2"/>
      <c r="C13" s="63">
        <v>927</v>
      </c>
      <c r="D13" t="s">
        <v>120</v>
      </c>
      <c r="E13" s="87"/>
      <c r="F13" s="63" t="s">
        <v>135</v>
      </c>
      <c r="G13" s="65">
        <f t="shared" si="1"/>
        <v>0</v>
      </c>
      <c r="H13" s="7">
        <f t="shared" si="0"/>
        <v>0</v>
      </c>
    </row>
    <row r="14" spans="1:24" x14ac:dyDescent="0.25">
      <c r="A14" s="2">
        <f t="shared" si="2"/>
        <v>9</v>
      </c>
      <c r="B14" s="2"/>
      <c r="C14" s="63">
        <v>928</v>
      </c>
      <c r="D14" s="12" t="s">
        <v>121</v>
      </c>
      <c r="E14" s="87"/>
      <c r="F14" s="63" t="s">
        <v>136</v>
      </c>
      <c r="G14" s="65">
        <f t="shared" si="1"/>
        <v>0</v>
      </c>
      <c r="H14" s="7">
        <f t="shared" si="0"/>
        <v>0</v>
      </c>
    </row>
    <row r="15" spans="1:24" x14ac:dyDescent="0.25">
      <c r="A15" s="2">
        <f t="shared" si="2"/>
        <v>10</v>
      </c>
      <c r="B15" s="2"/>
      <c r="C15" s="63">
        <v>929</v>
      </c>
      <c r="D15" t="s">
        <v>122</v>
      </c>
      <c r="E15" s="87"/>
      <c r="F15" s="63" t="s">
        <v>137</v>
      </c>
      <c r="G15" s="65">
        <f t="shared" si="1"/>
        <v>0</v>
      </c>
      <c r="H15" s="7">
        <f t="shared" si="0"/>
        <v>0</v>
      </c>
    </row>
    <row r="16" spans="1:24" x14ac:dyDescent="0.25">
      <c r="A16" s="2">
        <f t="shared" si="2"/>
        <v>11</v>
      </c>
      <c r="B16" s="2"/>
      <c r="C16" s="63">
        <v>930.1</v>
      </c>
      <c r="D16" t="s">
        <v>123</v>
      </c>
      <c r="E16" s="87"/>
      <c r="F16" s="63" t="s">
        <v>138</v>
      </c>
      <c r="G16" s="65">
        <f t="shared" si="1"/>
        <v>0</v>
      </c>
      <c r="H16" s="7">
        <f t="shared" si="0"/>
        <v>0</v>
      </c>
    </row>
    <row r="17" spans="1:11" x14ac:dyDescent="0.25">
      <c r="A17" s="2">
        <f t="shared" si="2"/>
        <v>12</v>
      </c>
      <c r="B17" s="2"/>
      <c r="C17" s="63">
        <v>930.2</v>
      </c>
      <c r="D17" t="s">
        <v>99</v>
      </c>
      <c r="E17" s="87"/>
      <c r="F17" s="63" t="s">
        <v>139</v>
      </c>
      <c r="G17" s="65">
        <f t="shared" si="1"/>
        <v>0</v>
      </c>
      <c r="H17" s="7">
        <f t="shared" si="0"/>
        <v>0</v>
      </c>
    </row>
    <row r="18" spans="1:11" x14ac:dyDescent="0.25">
      <c r="A18" s="2">
        <f t="shared" si="2"/>
        <v>13</v>
      </c>
      <c r="B18" s="2"/>
      <c r="C18" s="63">
        <v>931</v>
      </c>
      <c r="D18" t="s">
        <v>124</v>
      </c>
      <c r="E18" s="87"/>
      <c r="F18" s="63" t="s">
        <v>140</v>
      </c>
      <c r="G18" s="65">
        <f t="shared" si="1"/>
        <v>0</v>
      </c>
      <c r="H18" s="7">
        <f t="shared" si="0"/>
        <v>0</v>
      </c>
    </row>
    <row r="19" spans="1:11" x14ac:dyDescent="0.25">
      <c r="A19" s="2">
        <f t="shared" si="2"/>
        <v>14</v>
      </c>
      <c r="B19" s="2"/>
      <c r="C19" s="63">
        <v>935</v>
      </c>
      <c r="D19" t="s">
        <v>125</v>
      </c>
      <c r="E19" s="88"/>
      <c r="F19" s="63" t="s">
        <v>141</v>
      </c>
      <c r="G19" s="65">
        <f t="shared" si="1"/>
        <v>0</v>
      </c>
      <c r="H19" s="99">
        <f t="shared" si="0"/>
        <v>0</v>
      </c>
    </row>
    <row r="20" spans="1:11" x14ac:dyDescent="0.25">
      <c r="A20" s="2">
        <f t="shared" si="2"/>
        <v>15</v>
      </c>
      <c r="E20" s="7">
        <f>SUM(E6:E19)</f>
        <v>0</v>
      </c>
      <c r="G20" s="37" t="s">
        <v>142</v>
      </c>
      <c r="H20" s="111">
        <f>SUM(H6:H19)</f>
        <v>-7105091</v>
      </c>
    </row>
    <row r="22" spans="1:11" x14ac:dyDescent="0.25">
      <c r="F22" s="3" t="s">
        <v>194</v>
      </c>
      <c r="G22" s="3" t="s">
        <v>198</v>
      </c>
    </row>
    <row r="23" spans="1:11" x14ac:dyDescent="0.25">
      <c r="A23" s="2">
        <f>A20+1</f>
        <v>16</v>
      </c>
      <c r="E23" s="1151" t="s">
        <v>2497</v>
      </c>
      <c r="F23" s="65">
        <f>H20</f>
        <v>-7105091</v>
      </c>
      <c r="G23" s="47" t="str">
        <f>"Line "&amp;A20&amp;""</f>
        <v>Line 15</v>
      </c>
      <c r="H23" s="14"/>
      <c r="I23" s="14"/>
      <c r="J23" s="14"/>
      <c r="K23" s="14"/>
    </row>
    <row r="24" spans="1:11" x14ac:dyDescent="0.25">
      <c r="A24" s="2">
        <f t="shared" ref="A24:A30" si="3">A23+1</f>
        <v>17</v>
      </c>
      <c r="E24" s="393" t="s">
        <v>323</v>
      </c>
      <c r="F24" s="122">
        <f>E10</f>
        <v>0</v>
      </c>
      <c r="G24" s="47" t="str">
        <f>"Line "&amp;A10&amp;""</f>
        <v>Line 5</v>
      </c>
      <c r="H24" s="14"/>
      <c r="I24" s="14"/>
      <c r="J24" s="14"/>
      <c r="K24" s="14"/>
    </row>
    <row r="25" spans="1:11" x14ac:dyDescent="0.25">
      <c r="A25" s="2">
        <f t="shared" si="3"/>
        <v>18</v>
      </c>
      <c r="E25" s="393" t="s">
        <v>1558</v>
      </c>
      <c r="F25" s="65">
        <f>F23-F24</f>
        <v>-7105091</v>
      </c>
      <c r="G25" s="47" t="str">
        <f>"Line "&amp;A23&amp;" - Line "&amp;A24&amp;""</f>
        <v>Line 16 - Line 17</v>
      </c>
      <c r="H25" s="14"/>
      <c r="I25" s="14"/>
      <c r="J25" s="14"/>
      <c r="K25" s="14"/>
    </row>
    <row r="26" spans="1:11" x14ac:dyDescent="0.25">
      <c r="A26" s="2">
        <f t="shared" si="3"/>
        <v>19</v>
      </c>
      <c r="E26" s="86" t="s">
        <v>143</v>
      </c>
      <c r="F26" s="1213" t="e">
        <f>'27-Allocators'!G15</f>
        <v>#DIV/0!</v>
      </c>
      <c r="G26" s="47" t="str">
        <f>"27-Allocators, Line "&amp;'27-Allocators'!A15&amp;""</f>
        <v>27-Allocators, Line 9</v>
      </c>
      <c r="H26" s="14"/>
      <c r="I26" s="14"/>
      <c r="J26" s="14"/>
      <c r="K26" s="14"/>
    </row>
    <row r="27" spans="1:11" x14ac:dyDescent="0.25">
      <c r="A27" s="2">
        <f t="shared" si="3"/>
        <v>20</v>
      </c>
      <c r="E27" s="393" t="s">
        <v>1559</v>
      </c>
      <c r="F27" s="65" t="e">
        <f>F25*F26</f>
        <v>#DIV/0!</v>
      </c>
      <c r="G27" s="47" t="str">
        <f>"Line "&amp;A25&amp;" * Line "&amp;A26&amp;""</f>
        <v>Line 18 * Line 19</v>
      </c>
      <c r="H27" s="14"/>
      <c r="I27" s="14"/>
      <c r="J27" s="14"/>
      <c r="K27" s="14"/>
    </row>
    <row r="28" spans="1:11" x14ac:dyDescent="0.25">
      <c r="A28" s="2">
        <f t="shared" si="3"/>
        <v>21</v>
      </c>
      <c r="E28" s="393" t="s">
        <v>105</v>
      </c>
      <c r="F28" s="72" t="e">
        <f>'27-Allocators'!G28</f>
        <v>#DIV/0!</v>
      </c>
      <c r="G28" s="124" t="str">
        <f>"27-Allocators, Line "&amp;'27-Allocators'!A28&amp;""</f>
        <v>27-Allocators, Line 22</v>
      </c>
      <c r="H28" s="14"/>
      <c r="I28" s="14"/>
      <c r="J28" s="14"/>
      <c r="K28" s="14"/>
    </row>
    <row r="29" spans="1:11" x14ac:dyDescent="0.25">
      <c r="A29" s="2">
        <f t="shared" si="3"/>
        <v>22</v>
      </c>
      <c r="E29" s="393" t="s">
        <v>324</v>
      </c>
      <c r="F29" s="122" t="e">
        <f>H10*F28</f>
        <v>#DIV/0!</v>
      </c>
      <c r="G29" s="47" t="str">
        <f>"Line "&amp;A10&amp;" Col 4 * Line "&amp;A28&amp;""</f>
        <v>Line 5 Col 4 * Line 21</v>
      </c>
      <c r="H29" s="14"/>
      <c r="I29" s="14"/>
      <c r="J29" s="14"/>
      <c r="K29" s="14"/>
    </row>
    <row r="30" spans="1:11" x14ac:dyDescent="0.25">
      <c r="A30" s="2">
        <f t="shared" si="3"/>
        <v>23</v>
      </c>
      <c r="E30" s="393" t="s">
        <v>325</v>
      </c>
      <c r="F30" s="566" t="e">
        <f>F27+F29</f>
        <v>#DIV/0!</v>
      </c>
      <c r="G30" s="47" t="str">
        <f>"Line "&amp;A27&amp;" + Line "&amp;A29&amp;""</f>
        <v>Line 20 + Line 22</v>
      </c>
      <c r="H30" s="14"/>
      <c r="I30" s="14"/>
      <c r="J30" s="14"/>
      <c r="K30" s="14"/>
    </row>
    <row r="31" spans="1:11" x14ac:dyDescent="0.25">
      <c r="E31" s="14"/>
      <c r="F31" s="14"/>
      <c r="G31" s="14"/>
      <c r="H31" s="14"/>
      <c r="I31" s="14"/>
      <c r="J31" s="14"/>
      <c r="K31" s="14"/>
    </row>
    <row r="32" spans="1:11" x14ac:dyDescent="0.25">
      <c r="B32" s="1" t="s">
        <v>538</v>
      </c>
      <c r="E32" s="388" t="s">
        <v>394</v>
      </c>
      <c r="F32" s="388" t="s">
        <v>378</v>
      </c>
      <c r="G32" s="388" t="s">
        <v>379</v>
      </c>
      <c r="H32" s="388" t="s">
        <v>380</v>
      </c>
      <c r="I32" s="14"/>
      <c r="J32" s="14"/>
      <c r="K32" s="14"/>
    </row>
    <row r="33" spans="1:11" x14ac:dyDescent="0.25">
      <c r="B33" s="1"/>
      <c r="E33" s="121" t="s">
        <v>532</v>
      </c>
      <c r="F33" s="388"/>
      <c r="G33" s="388"/>
      <c r="H33" s="388"/>
      <c r="I33" s="14"/>
      <c r="J33" s="14"/>
      <c r="K33" s="14"/>
    </row>
    <row r="34" spans="1:11" x14ac:dyDescent="0.25">
      <c r="E34" s="121" t="s">
        <v>606</v>
      </c>
      <c r="F34" s="14"/>
      <c r="G34" s="14"/>
      <c r="H34" s="14"/>
      <c r="I34" s="14"/>
      <c r="J34" s="14"/>
      <c r="K34" s="14"/>
    </row>
    <row r="35" spans="1:11" x14ac:dyDescent="0.25">
      <c r="D35" s="2" t="s">
        <v>531</v>
      </c>
      <c r="E35" s="121" t="s">
        <v>605</v>
      </c>
      <c r="F35" s="121" t="s">
        <v>533</v>
      </c>
      <c r="G35" s="121"/>
      <c r="H35" s="121"/>
      <c r="I35" s="14"/>
      <c r="J35" s="14"/>
      <c r="K35" s="14"/>
    </row>
    <row r="36" spans="1:11" x14ac:dyDescent="0.25">
      <c r="C36" s="3" t="s">
        <v>126</v>
      </c>
      <c r="D36" s="92" t="s">
        <v>1222</v>
      </c>
      <c r="E36" s="135" t="s">
        <v>1425</v>
      </c>
      <c r="F36" s="135" t="s">
        <v>534</v>
      </c>
      <c r="G36" s="135" t="s">
        <v>2498</v>
      </c>
      <c r="H36" s="135" t="s">
        <v>535</v>
      </c>
      <c r="I36" s="135" t="s">
        <v>187</v>
      </c>
      <c r="J36" s="14"/>
      <c r="K36" s="14"/>
    </row>
    <row r="37" spans="1:11" x14ac:dyDescent="0.25">
      <c r="A37" s="2">
        <f>A30+1</f>
        <v>24</v>
      </c>
      <c r="C37" s="63">
        <v>920</v>
      </c>
      <c r="D37" s="153">
        <f>SUM(E37:H37)</f>
        <v>0</v>
      </c>
      <c r="E37" s="590"/>
      <c r="F37" s="117"/>
      <c r="G37" s="65">
        <f>G58</f>
        <v>0</v>
      </c>
      <c r="H37" s="117"/>
      <c r="I37" s="550" t="s">
        <v>2052</v>
      </c>
      <c r="J37" s="14"/>
    </row>
    <row r="38" spans="1:11" x14ac:dyDescent="0.25">
      <c r="A38" s="2">
        <f>A37+1</f>
        <v>25</v>
      </c>
      <c r="C38" s="63">
        <v>921</v>
      </c>
      <c r="D38" s="153">
        <f t="shared" ref="D38:D50" si="4">SUM(E38:H38)</f>
        <v>0</v>
      </c>
      <c r="E38" s="590"/>
      <c r="F38" s="117"/>
      <c r="G38" s="117"/>
      <c r="H38" s="117"/>
      <c r="I38" s="16"/>
    </row>
    <row r="39" spans="1:11" x14ac:dyDescent="0.25">
      <c r="A39" s="2">
        <f t="shared" ref="A39:A50" si="5">A38+1</f>
        <v>26</v>
      </c>
      <c r="C39" s="63">
        <v>922</v>
      </c>
      <c r="D39" s="153">
        <f t="shared" si="4"/>
        <v>0</v>
      </c>
      <c r="E39" s="590"/>
      <c r="F39" s="117"/>
      <c r="G39" s="740"/>
      <c r="H39" s="117"/>
      <c r="I39" s="16"/>
    </row>
    <row r="40" spans="1:11" x14ac:dyDescent="0.25">
      <c r="A40" s="2">
        <f t="shared" si="5"/>
        <v>27</v>
      </c>
      <c r="C40" s="63">
        <v>923</v>
      </c>
      <c r="D40" s="153">
        <f t="shared" si="4"/>
        <v>0</v>
      </c>
      <c r="E40" s="590"/>
      <c r="F40" s="117"/>
      <c r="G40" s="117"/>
      <c r="H40" s="117"/>
      <c r="I40" s="16"/>
      <c r="J40" s="3"/>
      <c r="K40" s="3"/>
    </row>
    <row r="41" spans="1:11" x14ac:dyDescent="0.25">
      <c r="A41" s="2">
        <f t="shared" si="5"/>
        <v>28</v>
      </c>
      <c r="C41" s="63">
        <v>924</v>
      </c>
      <c r="D41" s="153">
        <f t="shared" si="4"/>
        <v>0</v>
      </c>
      <c r="E41" s="590"/>
      <c r="F41" s="117"/>
      <c r="G41" s="117"/>
      <c r="H41" s="117"/>
      <c r="I41" s="16"/>
      <c r="K41" s="7"/>
    </row>
    <row r="42" spans="1:11" x14ac:dyDescent="0.25">
      <c r="A42" s="2">
        <f t="shared" si="5"/>
        <v>29</v>
      </c>
      <c r="C42" s="63">
        <v>925</v>
      </c>
      <c r="D42" s="153">
        <f t="shared" si="4"/>
        <v>0</v>
      </c>
      <c r="E42" s="590"/>
      <c r="F42" s="117"/>
      <c r="G42" s="117"/>
      <c r="H42" s="117"/>
      <c r="I42" s="13"/>
      <c r="K42" s="7"/>
    </row>
    <row r="43" spans="1:11" x14ac:dyDescent="0.25">
      <c r="A43" s="2">
        <f t="shared" si="5"/>
        <v>30</v>
      </c>
      <c r="C43" s="63">
        <v>926</v>
      </c>
      <c r="D43" s="153">
        <f t="shared" si="4"/>
        <v>7105091</v>
      </c>
      <c r="E43" s="590"/>
      <c r="F43" s="117"/>
      <c r="G43" s="117"/>
      <c r="H43" s="65">
        <f>E70</f>
        <v>7105091</v>
      </c>
      <c r="I43" s="13" t="s">
        <v>311</v>
      </c>
      <c r="K43" s="7"/>
    </row>
    <row r="44" spans="1:11" x14ac:dyDescent="0.25">
      <c r="A44" s="2">
        <f t="shared" si="5"/>
        <v>31</v>
      </c>
      <c r="C44" s="63">
        <v>927</v>
      </c>
      <c r="D44" s="153">
        <f t="shared" si="4"/>
        <v>0</v>
      </c>
      <c r="E44" s="65">
        <v>0</v>
      </c>
      <c r="F44" s="546">
        <f>E13</f>
        <v>0</v>
      </c>
      <c r="G44" s="65">
        <v>0</v>
      </c>
      <c r="H44" s="65">
        <v>0</v>
      </c>
      <c r="I44" s="16" t="s">
        <v>1048</v>
      </c>
      <c r="K44" s="7"/>
    </row>
    <row r="45" spans="1:11" x14ac:dyDescent="0.25">
      <c r="A45" s="2">
        <f t="shared" si="5"/>
        <v>32</v>
      </c>
      <c r="C45" s="63">
        <v>928</v>
      </c>
      <c r="D45" s="153">
        <f t="shared" si="4"/>
        <v>0</v>
      </c>
      <c r="E45" s="590"/>
      <c r="F45" s="117"/>
      <c r="G45" s="117"/>
      <c r="H45" s="117"/>
      <c r="I45" s="16"/>
      <c r="K45" s="7"/>
    </row>
    <row r="46" spans="1:11" x14ac:dyDescent="0.25">
      <c r="A46" s="2">
        <f t="shared" si="5"/>
        <v>33</v>
      </c>
      <c r="C46" s="63">
        <v>929</v>
      </c>
      <c r="D46" s="153">
        <f t="shared" si="4"/>
        <v>0</v>
      </c>
      <c r="E46" s="590"/>
      <c r="F46" s="117"/>
      <c r="G46" s="117"/>
      <c r="H46" s="117"/>
      <c r="I46" s="16"/>
      <c r="K46" s="7"/>
    </row>
    <row r="47" spans="1:11" x14ac:dyDescent="0.25">
      <c r="A47" s="2">
        <f t="shared" si="5"/>
        <v>34</v>
      </c>
      <c r="C47" s="63">
        <v>930.1</v>
      </c>
      <c r="D47" s="153">
        <f t="shared" si="4"/>
        <v>0</v>
      </c>
      <c r="E47" s="590"/>
      <c r="F47" s="117"/>
      <c r="G47" s="117"/>
      <c r="H47" s="117"/>
      <c r="I47" s="16"/>
      <c r="K47" s="7"/>
    </row>
    <row r="48" spans="1:11" x14ac:dyDescent="0.25">
      <c r="A48" s="2">
        <f t="shared" si="5"/>
        <v>35</v>
      </c>
      <c r="C48" s="63">
        <v>930.2</v>
      </c>
      <c r="D48" s="153">
        <f t="shared" si="4"/>
        <v>0</v>
      </c>
      <c r="E48" s="590"/>
      <c r="F48" s="117"/>
      <c r="G48" s="117"/>
      <c r="H48" s="117"/>
      <c r="I48" s="16"/>
      <c r="J48" s="558"/>
    </row>
    <row r="49" spans="1:10" x14ac:dyDescent="0.25">
      <c r="A49" s="2">
        <f t="shared" si="5"/>
        <v>36</v>
      </c>
      <c r="C49" s="63">
        <v>931</v>
      </c>
      <c r="D49" s="153">
        <f t="shared" si="4"/>
        <v>0</v>
      </c>
      <c r="E49" s="590"/>
      <c r="F49" s="117"/>
      <c r="G49" s="117"/>
      <c r="H49" s="117"/>
      <c r="I49" s="16"/>
      <c r="J49" s="7"/>
    </row>
    <row r="50" spans="1:10" x14ac:dyDescent="0.25">
      <c r="A50" s="2">
        <f t="shared" si="5"/>
        <v>37</v>
      </c>
      <c r="C50" s="63">
        <v>935</v>
      </c>
      <c r="D50" s="153">
        <f t="shared" si="4"/>
        <v>0</v>
      </c>
      <c r="E50" s="590"/>
      <c r="F50" s="117"/>
      <c r="G50" s="117"/>
      <c r="H50" s="117"/>
      <c r="I50" s="16"/>
    </row>
    <row r="51" spans="1:10" x14ac:dyDescent="0.25">
      <c r="B51" s="45" t="s">
        <v>2499</v>
      </c>
      <c r="C51" s="14"/>
      <c r="D51" s="14"/>
      <c r="E51" s="14"/>
      <c r="F51" s="14"/>
      <c r="G51" s="14"/>
      <c r="H51" s="14"/>
    </row>
    <row r="52" spans="1:10" x14ac:dyDescent="0.25">
      <c r="B52" s="45"/>
      <c r="C52" s="14" t="s">
        <v>2500</v>
      </c>
      <c r="D52" s="14"/>
      <c r="E52" s="14"/>
      <c r="F52" s="14"/>
      <c r="G52" s="14"/>
      <c r="H52" s="14"/>
    </row>
    <row r="53" spans="1:10" x14ac:dyDescent="0.25">
      <c r="B53" s="45"/>
      <c r="C53" s="553" t="s">
        <v>2501</v>
      </c>
      <c r="D53" s="14"/>
      <c r="E53" s="14"/>
      <c r="F53" s="14"/>
      <c r="G53" s="121"/>
      <c r="H53" s="121"/>
    </row>
    <row r="54" spans="1:10" x14ac:dyDescent="0.25">
      <c r="B54" s="45"/>
      <c r="C54" s="742" t="s">
        <v>2766</v>
      </c>
      <c r="D54" s="724"/>
      <c r="E54" s="724"/>
      <c r="F54" s="14"/>
      <c r="G54" s="121"/>
      <c r="H54" s="121"/>
    </row>
    <row r="55" spans="1:10" x14ac:dyDescent="0.25">
      <c r="B55" s="45"/>
      <c r="C55" s="14"/>
      <c r="D55" s="14"/>
      <c r="E55" s="14"/>
      <c r="F55" s="14"/>
      <c r="G55" s="135" t="s">
        <v>194</v>
      </c>
      <c r="H55" s="135" t="s">
        <v>198</v>
      </c>
    </row>
    <row r="56" spans="1:10" x14ac:dyDescent="0.25">
      <c r="A56" s="2"/>
      <c r="B56" s="689" t="s">
        <v>1936</v>
      </c>
      <c r="E56" s="14"/>
      <c r="F56" s="1151" t="s">
        <v>2502</v>
      </c>
      <c r="G56" s="590"/>
      <c r="H56" s="550" t="s">
        <v>33</v>
      </c>
    </row>
    <row r="57" spans="1:10" x14ac:dyDescent="0.25">
      <c r="A57" s="2"/>
      <c r="B57" s="689" t="s">
        <v>1937</v>
      </c>
      <c r="C57" s="12"/>
      <c r="E57" s="14"/>
      <c r="F57" s="1151" t="s">
        <v>2503</v>
      </c>
      <c r="G57" s="112">
        <f>E61</f>
        <v>0</v>
      </c>
      <c r="H57" s="555" t="str">
        <f>"Note 2, "&amp;B61&amp;""</f>
        <v>Note 2, d</v>
      </c>
    </row>
    <row r="58" spans="1:10" x14ac:dyDescent="0.25">
      <c r="A58" s="2"/>
      <c r="B58" s="689" t="s">
        <v>1938</v>
      </c>
      <c r="F58" s="549" t="s">
        <v>1942</v>
      </c>
      <c r="G58" s="7">
        <f>G56-G57</f>
        <v>0</v>
      </c>
    </row>
    <row r="59" spans="1:10" x14ac:dyDescent="0.25">
      <c r="A59" s="2"/>
      <c r="C59" s="742" t="s">
        <v>2765</v>
      </c>
      <c r="D59" s="724"/>
      <c r="E59" s="724"/>
      <c r="G59" s="7"/>
    </row>
    <row r="60" spans="1:10" x14ac:dyDescent="0.25">
      <c r="A60" s="2"/>
      <c r="D60" s="53" t="s">
        <v>1560</v>
      </c>
      <c r="E60" s="3" t="s">
        <v>194</v>
      </c>
      <c r="F60" s="64" t="s">
        <v>198</v>
      </c>
      <c r="G60" s="7"/>
    </row>
    <row r="61" spans="1:10" x14ac:dyDescent="0.25">
      <c r="A61" s="2"/>
      <c r="B61" s="689" t="s">
        <v>1939</v>
      </c>
      <c r="D61" t="s">
        <v>1561</v>
      </c>
      <c r="E61" s="740"/>
      <c r="F61" s="550" t="s">
        <v>2489</v>
      </c>
      <c r="G61" s="65"/>
      <c r="I61" s="14"/>
    </row>
    <row r="62" spans="1:10" x14ac:dyDescent="0.25">
      <c r="A62" s="2"/>
      <c r="B62" s="121" t="s">
        <v>1940</v>
      </c>
      <c r="C62" s="14"/>
      <c r="D62" s="553" t="s">
        <v>392</v>
      </c>
      <c r="E62" s="740"/>
      <c r="F62" s="550" t="s">
        <v>2489</v>
      </c>
      <c r="G62" s="65"/>
      <c r="I62" s="728"/>
    </row>
    <row r="63" spans="1:10" x14ac:dyDescent="0.25">
      <c r="A63" s="2"/>
      <c r="B63" s="121" t="s">
        <v>1941</v>
      </c>
      <c r="C63" s="14"/>
      <c r="D63" s="553" t="s">
        <v>1562</v>
      </c>
      <c r="E63" s="893"/>
      <c r="F63" s="550" t="s">
        <v>2489</v>
      </c>
      <c r="G63" s="65"/>
      <c r="I63" s="65"/>
    </row>
    <row r="64" spans="1:10" x14ac:dyDescent="0.25">
      <c r="A64" s="2"/>
      <c r="B64" s="121" t="s">
        <v>1943</v>
      </c>
      <c r="C64" s="14"/>
      <c r="D64" s="393" t="s">
        <v>4</v>
      </c>
      <c r="E64" s="7">
        <f>SUM(E61:E63)</f>
        <v>0</v>
      </c>
      <c r="F64" s="47" t="str">
        <f>"Sum of "&amp;B61&amp;" to "&amp;B63&amp;""</f>
        <v>Sum of d to f</v>
      </c>
      <c r="G64" s="65"/>
      <c r="I64" s="14"/>
    </row>
    <row r="65" spans="1:10" x14ac:dyDescent="0.25">
      <c r="F65" s="14"/>
      <c r="G65" s="14"/>
    </row>
    <row r="66" spans="1:10" x14ac:dyDescent="0.25">
      <c r="B66" s="1" t="s">
        <v>540</v>
      </c>
      <c r="F66" s="14"/>
      <c r="G66" s="14"/>
    </row>
    <row r="67" spans="1:10" x14ac:dyDescent="0.25">
      <c r="E67" s="3" t="s">
        <v>194</v>
      </c>
      <c r="F67" s="1139" t="s">
        <v>262</v>
      </c>
      <c r="G67" s="14"/>
    </row>
    <row r="68" spans="1:10" x14ac:dyDescent="0.25">
      <c r="A68" s="2"/>
      <c r="B68" s="689" t="s">
        <v>1936</v>
      </c>
      <c r="D68" s="102" t="s">
        <v>536</v>
      </c>
      <c r="E68" s="115">
        <v>-7105091</v>
      </c>
      <c r="F68" s="47" t="s">
        <v>542</v>
      </c>
      <c r="G68" s="14"/>
    </row>
    <row r="69" spans="1:10" x14ac:dyDescent="0.25">
      <c r="A69" s="2"/>
      <c r="B69" s="689" t="s">
        <v>1937</v>
      </c>
      <c r="D69" s="102" t="s">
        <v>537</v>
      </c>
      <c r="E69" s="155"/>
      <c r="F69" s="550" t="s">
        <v>33</v>
      </c>
      <c r="G69" s="14"/>
    </row>
    <row r="70" spans="1:10" x14ac:dyDescent="0.25">
      <c r="A70" s="2"/>
      <c r="B70" s="689" t="s">
        <v>1938</v>
      </c>
      <c r="D70" s="102" t="s">
        <v>539</v>
      </c>
      <c r="E70" s="154">
        <f>E69-E68</f>
        <v>7105091</v>
      </c>
      <c r="F70" s="13" t="str">
        <f>""&amp;B69&amp;" - "&amp;B68&amp;""</f>
        <v>b - a</v>
      </c>
    </row>
    <row r="71" spans="1:10" x14ac:dyDescent="0.25">
      <c r="A71" s="543"/>
      <c r="B71" s="1" t="s">
        <v>1643</v>
      </c>
      <c r="D71" s="102"/>
      <c r="E71" s="154"/>
      <c r="F71" s="13"/>
    </row>
    <row r="72" spans="1:10" x14ac:dyDescent="0.25">
      <c r="A72" s="543"/>
      <c r="B72" s="1"/>
      <c r="C72" t="str">
        <f>"Amount in Line "&amp;A44&amp;", column 2 equals amount in Line "&amp;A13&amp;", column 1 because all Franchise Requirements Expenses are excluded"</f>
        <v>Amount in Line 31, column 2 equals amount in Line 8, column 1 because all Franchise Requirements Expenses are excluded</v>
      </c>
      <c r="D72" s="102"/>
      <c r="E72" s="154"/>
      <c r="F72" s="13"/>
    </row>
    <row r="73" spans="1:10" x14ac:dyDescent="0.25">
      <c r="A73" s="543"/>
      <c r="B73" s="1"/>
      <c r="C73" s="12" t="s">
        <v>1644</v>
      </c>
      <c r="D73" s="102"/>
      <c r="E73" s="154"/>
      <c r="F73" s="13"/>
    </row>
    <row r="75" spans="1:10" x14ac:dyDescent="0.25">
      <c r="B75" s="1" t="s">
        <v>420</v>
      </c>
    </row>
    <row r="76" spans="1:10" x14ac:dyDescent="0.25">
      <c r="C76" s="15" t="str">
        <f>"1) Enter amounts of A&amp;G expenses from FERC Form 1 in Lines "&amp;A6&amp;" to "&amp;A19&amp;"."</f>
        <v>1) Enter amounts of A&amp;G expenses from FERC Form 1 in Lines 1 to 14.</v>
      </c>
      <c r="D76" s="14"/>
      <c r="E76" s="14"/>
      <c r="F76" s="14"/>
      <c r="G76" s="14"/>
      <c r="H76" s="14"/>
      <c r="I76" s="14"/>
      <c r="J76" s="14"/>
    </row>
    <row r="77" spans="1:10" x14ac:dyDescent="0.25">
      <c r="C77" s="553" t="s">
        <v>2504</v>
      </c>
      <c r="D77" s="14"/>
      <c r="E77" s="14"/>
      <c r="F77" s="14"/>
      <c r="G77" s="14" t="str">
        <f>"Column 3, Line "&amp;A37&amp;""</f>
        <v>Column 3, Line 24</v>
      </c>
      <c r="H77" s="14"/>
      <c r="I77" s="14"/>
      <c r="J77" s="14"/>
    </row>
    <row r="78" spans="1:10" x14ac:dyDescent="0.25">
      <c r="C78" s="550" t="str">
        <f>"is calculated in Note 2.  The PBOPs exclusion in Column 4, Line "&amp;A43&amp;" is calculated in Note 3."</f>
        <v>is calculated in Note 2.  The PBOPs exclusion in Column 4, Line 30 is calculated in Note 3.</v>
      </c>
      <c r="D78" s="14"/>
      <c r="E78" s="14"/>
      <c r="F78" s="14"/>
      <c r="G78" s="15"/>
      <c r="H78" s="14"/>
      <c r="I78" s="14"/>
      <c r="J78" s="14"/>
    </row>
    <row r="79" spans="1:10" x14ac:dyDescent="0.25">
      <c r="C79" s="550" t="s">
        <v>1916</v>
      </c>
      <c r="D79" s="14"/>
      <c r="E79" s="14"/>
      <c r="F79" s="14"/>
      <c r="G79" s="14"/>
      <c r="H79" s="14"/>
      <c r="I79" s="14"/>
      <c r="J79" s="14"/>
    </row>
    <row r="80" spans="1:10" x14ac:dyDescent="0.25">
      <c r="C80" s="550" t="s">
        <v>2037</v>
      </c>
      <c r="D80" s="393"/>
      <c r="E80" s="546"/>
      <c r="F80" s="47"/>
      <c r="G80" s="14"/>
      <c r="H80" s="14"/>
      <c r="I80" s="14"/>
      <c r="J80" s="14"/>
    </row>
    <row r="81" spans="3:10" x14ac:dyDescent="0.25">
      <c r="C81" s="550" t="s">
        <v>2033</v>
      </c>
      <c r="D81" s="393"/>
      <c r="E81" s="546"/>
      <c r="F81" s="47"/>
      <c r="G81" s="14"/>
      <c r="H81" s="14"/>
      <c r="I81" s="14"/>
      <c r="J81" s="14"/>
    </row>
    <row r="82" spans="3:10" x14ac:dyDescent="0.25">
      <c r="C82" s="550" t="s">
        <v>2034</v>
      </c>
      <c r="D82" s="14"/>
      <c r="E82" s="14"/>
      <c r="F82" s="14"/>
      <c r="G82" s="14"/>
      <c r="H82" s="14"/>
      <c r="I82" s="14"/>
      <c r="J82" s="14"/>
    </row>
    <row r="83" spans="3:10" x14ac:dyDescent="0.25">
      <c r="C83" s="47" t="s">
        <v>541</v>
      </c>
      <c r="D83" s="14"/>
      <c r="E83" s="14"/>
      <c r="F83" s="14"/>
      <c r="G83" s="14"/>
      <c r="H83" s="14"/>
      <c r="I83" s="14"/>
      <c r="J83" s="14"/>
    </row>
    <row r="84" spans="3:10" x14ac:dyDescent="0.25">
      <c r="C84" s="550" t="s">
        <v>2035</v>
      </c>
      <c r="D84" s="14"/>
      <c r="E84" s="14"/>
      <c r="F84" s="14"/>
      <c r="G84" s="14"/>
      <c r="H84" s="14"/>
      <c r="I84" s="14"/>
      <c r="J84" s="14"/>
    </row>
    <row r="85" spans="3:10" x14ac:dyDescent="0.25">
      <c r="C85" s="550" t="s">
        <v>1657</v>
      </c>
      <c r="D85" s="14"/>
      <c r="E85" s="14"/>
      <c r="F85" s="14"/>
      <c r="G85" s="14"/>
      <c r="H85" s="14"/>
      <c r="I85" s="14"/>
      <c r="J85" s="14"/>
    </row>
    <row r="86" spans="3:10" x14ac:dyDescent="0.25">
      <c r="C86" s="550" t="s">
        <v>2036</v>
      </c>
      <c r="D86" s="14"/>
      <c r="E86" s="14"/>
      <c r="F86" s="14"/>
      <c r="G86" s="14"/>
      <c r="H86" s="14"/>
      <c r="I86" s="14"/>
      <c r="J86" s="14"/>
    </row>
    <row r="87" spans="3:10" x14ac:dyDescent="0.25">
      <c r="C87" s="550" t="s">
        <v>2071</v>
      </c>
      <c r="D87" s="553"/>
      <c r="E87" s="1214"/>
      <c r="F87" s="1214"/>
      <c r="G87" s="1214"/>
      <c r="H87" s="14"/>
      <c r="I87" s="14"/>
      <c r="J87" s="14"/>
    </row>
    <row r="88" spans="3:10" x14ac:dyDescent="0.25">
      <c r="C88" s="1154" t="s">
        <v>2069</v>
      </c>
      <c r="D88" s="553"/>
      <c r="E88" s="1214"/>
      <c r="F88" s="1214"/>
      <c r="G88" s="1214"/>
      <c r="H88" s="14"/>
      <c r="I88" s="14"/>
      <c r="J88" s="14"/>
    </row>
    <row r="89" spans="3:10" x14ac:dyDescent="0.25">
      <c r="C89" s="1154" t="s">
        <v>2070</v>
      </c>
      <c r="D89" s="553"/>
      <c r="E89" s="1214"/>
      <c r="F89" s="1214"/>
      <c r="G89" s="1214"/>
      <c r="H89" s="14"/>
      <c r="I89" s="14"/>
      <c r="J89" s="14"/>
    </row>
    <row r="90" spans="3:10" x14ac:dyDescent="0.25">
      <c r="C90" s="1154" t="s">
        <v>2072</v>
      </c>
      <c r="D90" s="553"/>
      <c r="E90" s="1214"/>
      <c r="F90" s="1214"/>
      <c r="G90" s="1214"/>
      <c r="H90" s="14"/>
      <c r="I90" s="14"/>
      <c r="J90" s="14"/>
    </row>
    <row r="91" spans="3:10" x14ac:dyDescent="0.25">
      <c r="C91" s="550" t="s">
        <v>2242</v>
      </c>
      <c r="D91" s="553"/>
      <c r="E91" s="1214"/>
      <c r="F91" s="1214"/>
      <c r="G91" s="1214"/>
      <c r="H91" s="14"/>
      <c r="I91" s="14"/>
      <c r="J91" s="14"/>
    </row>
    <row r="92" spans="3:10" x14ac:dyDescent="0.25">
      <c r="C92" s="1154" t="s">
        <v>2240</v>
      </c>
      <c r="D92" s="553"/>
      <c r="E92" s="1214"/>
      <c r="F92" s="1214"/>
      <c r="G92" s="1214"/>
      <c r="H92" s="14"/>
      <c r="I92" s="14"/>
      <c r="J92" s="14"/>
    </row>
    <row r="93" spans="3:10" x14ac:dyDescent="0.25">
      <c r="C93" s="1154" t="s">
        <v>2241</v>
      </c>
      <c r="D93" s="553"/>
      <c r="E93" s="1214"/>
      <c r="F93" s="1214"/>
      <c r="G93" s="1214"/>
      <c r="H93" s="14"/>
      <c r="I93" s="14"/>
      <c r="J93" s="14"/>
    </row>
    <row r="94" spans="3:10" x14ac:dyDescent="0.25">
      <c r="C94" s="1154" t="s">
        <v>2243</v>
      </c>
      <c r="D94" s="553"/>
      <c r="E94" s="1214"/>
      <c r="F94" s="1214"/>
      <c r="G94" s="1214"/>
      <c r="H94" s="14"/>
      <c r="I94" s="14"/>
      <c r="J94" s="14"/>
    </row>
    <row r="95" spans="3:10" x14ac:dyDescent="0.25">
      <c r="C95" s="1154" t="s">
        <v>2244</v>
      </c>
      <c r="D95" s="553"/>
      <c r="E95" s="1214"/>
      <c r="F95" s="1214"/>
      <c r="G95" s="1214"/>
      <c r="H95" s="14"/>
      <c r="I95" s="14"/>
      <c r="J95" s="14"/>
    </row>
    <row r="96" spans="3:10" x14ac:dyDescent="0.25">
      <c r="C96" s="550" t="s">
        <v>2245</v>
      </c>
      <c r="D96" s="553"/>
      <c r="E96" s="1214"/>
      <c r="F96" s="1214"/>
      <c r="G96" s="1214"/>
      <c r="H96" s="1214"/>
      <c r="I96" s="14"/>
      <c r="J96" s="14"/>
    </row>
    <row r="97" spans="3:10" x14ac:dyDescent="0.25">
      <c r="C97" s="1154" t="s">
        <v>2246</v>
      </c>
      <c r="D97" s="553"/>
      <c r="E97" s="1214"/>
      <c r="F97" s="1214"/>
      <c r="G97" s="1214"/>
      <c r="H97" s="14"/>
      <c r="I97" s="14"/>
      <c r="J97" s="14"/>
    </row>
    <row r="98" spans="3:10" x14ac:dyDescent="0.25">
      <c r="C98" s="1215" t="s">
        <v>2505</v>
      </c>
      <c r="D98" s="553"/>
      <c r="E98" s="1214"/>
      <c r="F98" s="1214"/>
      <c r="G98" s="1214"/>
      <c r="H98" s="14"/>
      <c r="I98" s="14"/>
      <c r="J98" s="14"/>
    </row>
    <row r="99" spans="3:10" x14ac:dyDescent="0.25">
      <c r="C99" s="1215" t="s">
        <v>2506</v>
      </c>
      <c r="D99" s="553"/>
      <c r="E99" s="1214"/>
      <c r="F99" s="1214"/>
      <c r="G99" s="1214"/>
      <c r="H99" s="14"/>
      <c r="I99" s="14"/>
      <c r="J99" s="14"/>
    </row>
    <row r="100" spans="3:10" x14ac:dyDescent="0.25">
      <c r="C100" s="1215" t="s">
        <v>2507</v>
      </c>
      <c r="D100" s="553"/>
      <c r="E100" s="1214"/>
      <c r="F100" s="1214"/>
      <c r="G100" s="1214"/>
      <c r="H100" s="14"/>
      <c r="I100" s="14"/>
      <c r="J100" s="14"/>
    </row>
    <row r="101" spans="3:10" x14ac:dyDescent="0.25">
      <c r="C101" s="1215" t="s">
        <v>2506</v>
      </c>
      <c r="D101" s="553"/>
      <c r="E101" s="1214"/>
      <c r="F101" s="1214"/>
      <c r="G101" s="1214"/>
      <c r="H101" s="14"/>
      <c r="I101" s="14"/>
      <c r="J101" s="14"/>
    </row>
    <row r="102" spans="3:10" x14ac:dyDescent="0.25">
      <c r="C102" s="1215" t="s">
        <v>2508</v>
      </c>
      <c r="D102" s="553"/>
      <c r="E102" s="1214"/>
      <c r="F102" s="1214"/>
      <c r="G102" s="1214"/>
      <c r="H102" s="14"/>
      <c r="I102" s="14"/>
      <c r="J102" s="14"/>
    </row>
    <row r="103" spans="3:10" x14ac:dyDescent="0.25">
      <c r="C103" s="1154" t="s">
        <v>2509</v>
      </c>
      <c r="D103" s="553"/>
      <c r="E103" s="1214"/>
      <c r="F103" s="1214"/>
      <c r="G103" s="1214"/>
      <c r="H103" s="14"/>
      <c r="I103" s="14"/>
      <c r="J103" s="14"/>
    </row>
    <row r="104" spans="3:10" x14ac:dyDescent="0.25">
      <c r="C104" s="1154" t="s">
        <v>2510</v>
      </c>
      <c r="D104" s="553"/>
      <c r="E104" s="1214"/>
      <c r="F104" s="1214"/>
      <c r="G104" s="1214"/>
      <c r="H104" s="14"/>
      <c r="I104" s="14"/>
      <c r="J104" s="14"/>
    </row>
    <row r="105" spans="3:10" x14ac:dyDescent="0.25">
      <c r="C105" s="1216" t="s">
        <v>2511</v>
      </c>
      <c r="D105" s="724"/>
      <c r="E105" s="724"/>
      <c r="F105" s="724"/>
      <c r="G105" s="724"/>
      <c r="H105" s="724"/>
      <c r="I105" s="724"/>
      <c r="J105" s="724"/>
    </row>
    <row r="106" spans="3:10" x14ac:dyDescent="0.25">
      <c r="C106" s="553" t="s">
        <v>2512</v>
      </c>
      <c r="D106" s="14"/>
      <c r="E106" s="14"/>
      <c r="F106" s="14"/>
      <c r="G106" s="14"/>
      <c r="H106" s="14"/>
      <c r="I106" s="14"/>
      <c r="J106" s="14"/>
    </row>
    <row r="107" spans="3:10" x14ac:dyDescent="0.25">
      <c r="C107" s="1216" t="s">
        <v>2513</v>
      </c>
      <c r="D107" s="742"/>
      <c r="E107" s="742"/>
      <c r="F107" s="742"/>
      <c r="G107" s="742"/>
      <c r="H107" s="742"/>
      <c r="I107" s="742"/>
      <c r="J107" s="14"/>
    </row>
    <row r="108" spans="3:10" x14ac:dyDescent="0.25">
      <c r="C108" s="15" t="str">
        <f>"4) Determine the PBOPs exclusion.  The authorized amount of PBOPs expense (line "&amp;B68&amp;") may only be revised"</f>
        <v>4) Determine the PBOPs exclusion.  The authorized amount of PBOPs expense (line a) may only be revised</v>
      </c>
      <c r="D108" s="14"/>
      <c r="E108" s="14"/>
      <c r="F108" s="14"/>
      <c r="G108" s="14"/>
      <c r="H108" s="14"/>
      <c r="I108" s="14"/>
      <c r="J108" s="14"/>
    </row>
    <row r="109" spans="3:10" x14ac:dyDescent="0.25">
      <c r="C109" s="15" t="s">
        <v>1221</v>
      </c>
      <c r="D109" s="14"/>
      <c r="E109" s="14"/>
      <c r="F109" s="14"/>
      <c r="G109" s="14"/>
      <c r="H109" s="14"/>
      <c r="I109" s="14"/>
      <c r="J109" s="14"/>
    </row>
    <row r="110" spans="3:10" x14ac:dyDescent="0.25">
      <c r="C110" s="15" t="s">
        <v>1242</v>
      </c>
      <c r="D110" s="14"/>
      <c r="E110" s="14"/>
      <c r="F110" s="14"/>
      <c r="G110" s="14"/>
      <c r="H110" s="14"/>
      <c r="I110" s="14"/>
      <c r="J110" s="14"/>
    </row>
    <row r="111" spans="3:10" x14ac:dyDescent="0.25">
      <c r="C111" s="553" t="s">
        <v>2008</v>
      </c>
      <c r="D111" s="14"/>
      <c r="E111" s="14"/>
      <c r="F111" s="14"/>
      <c r="G111" s="14"/>
      <c r="H111" s="14"/>
      <c r="I111" s="561"/>
      <c r="J111" s="105"/>
    </row>
    <row r="112" spans="3:10" x14ac:dyDescent="0.25">
      <c r="C112" s="553" t="s">
        <v>2194</v>
      </c>
      <c r="D112" s="14"/>
      <c r="E112" s="14"/>
      <c r="F112" s="14"/>
      <c r="G112" s="14"/>
      <c r="H112" s="14"/>
      <c r="I112" s="14"/>
    </row>
  </sheetData>
  <phoneticPr fontId="12" type="noConversion"/>
  <pageMargins left="0.75" right="0.75" top="1" bottom="1" header="0.5" footer="0.5"/>
  <pageSetup scale="75" orientation="landscape" cellComments="asDisplayed" r:id="rId1"/>
  <headerFooter alignWithMargins="0">
    <oddHeader>&amp;CSchedule 20
Administrative and General Expenses
&amp;"Arial,Bold"Attachment 5</oddHeader>
    <oddFooter>&amp;R&amp;A</oddFooter>
  </headerFooter>
  <rowBreaks count="2" manualBreakCount="2">
    <brk id="50" max="9" man="1"/>
    <brk id="74" max="16383"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T242"/>
  <sheetViews>
    <sheetView zoomScale="75" zoomScaleNormal="75" zoomScalePageLayoutView="80" workbookViewId="0">
      <selection activeCell="B3" sqref="B3"/>
    </sheetView>
  </sheetViews>
  <sheetFormatPr defaultRowHeight="13.2" x14ac:dyDescent="0.25"/>
  <cols>
    <col min="1" max="1" width="6.33203125" style="244" customWidth="1"/>
    <col min="2" max="2" width="8.5546875" style="41" customWidth="1"/>
    <col min="3" max="3" width="9.88671875" style="244" customWidth="1"/>
    <col min="4" max="4" width="51.5546875" style="41" customWidth="1"/>
    <col min="5" max="5" width="16.33203125" style="387" customWidth="1"/>
    <col min="6" max="6" width="16.109375" style="387" customWidth="1"/>
    <col min="7" max="7" width="18.44140625" style="387" bestFit="1" customWidth="1"/>
    <col min="8" max="8" width="15.88671875" style="242" bestFit="1" customWidth="1"/>
    <col min="9" max="9" width="16.88671875" style="242" bestFit="1" customWidth="1"/>
    <col min="10" max="10" width="15.6640625" style="387" customWidth="1"/>
    <col min="11" max="11" width="6.5546875" style="342" customWidth="1"/>
    <col min="12" max="12" width="16.44140625" style="328" customWidth="1"/>
    <col min="13" max="13" width="17.109375" style="234" bestFit="1" customWidth="1"/>
    <col min="14" max="14" width="18.44140625" style="387" bestFit="1" customWidth="1"/>
    <col min="15" max="15" width="8.5546875" style="234" customWidth="1"/>
  </cols>
  <sheetData>
    <row r="1" spans="1:15" x14ac:dyDescent="0.25">
      <c r="A1" s="364"/>
      <c r="B1" s="213" t="s">
        <v>615</v>
      </c>
      <c r="C1" s="214" t="s">
        <v>616</v>
      </c>
      <c r="D1" s="213" t="s">
        <v>617</v>
      </c>
      <c r="E1" s="214" t="s">
        <v>618</v>
      </c>
      <c r="F1" s="213" t="s">
        <v>619</v>
      </c>
      <c r="G1" s="214" t="s">
        <v>620</v>
      </c>
      <c r="H1" s="213" t="s">
        <v>621</v>
      </c>
      <c r="I1" s="214" t="s">
        <v>622</v>
      </c>
      <c r="J1" s="213" t="s">
        <v>623</v>
      </c>
      <c r="K1" s="214" t="s">
        <v>624</v>
      </c>
      <c r="L1" s="213" t="s">
        <v>625</v>
      </c>
      <c r="M1" s="214" t="s">
        <v>626</v>
      </c>
      <c r="N1" s="213" t="s">
        <v>627</v>
      </c>
      <c r="O1" s="214" t="s">
        <v>628</v>
      </c>
    </row>
    <row r="2" spans="1:15" x14ac:dyDescent="0.25">
      <c r="A2" s="361"/>
      <c r="B2" s="362"/>
      <c r="C2" s="362"/>
      <c r="D2" s="362"/>
      <c r="E2" s="363"/>
      <c r="F2" s="363"/>
      <c r="G2" s="1330" t="s">
        <v>629</v>
      </c>
      <c r="H2" s="1331"/>
      <c r="I2" s="1332"/>
      <c r="J2" s="1330" t="s">
        <v>630</v>
      </c>
      <c r="K2" s="1331"/>
      <c r="L2" s="1331"/>
      <c r="M2" s="1332"/>
      <c r="N2" s="345" t="s">
        <v>631</v>
      </c>
      <c r="O2" s="361"/>
    </row>
    <row r="3" spans="1:15" ht="26.4" x14ac:dyDescent="0.25">
      <c r="A3" s="215" t="s">
        <v>360</v>
      </c>
      <c r="B3" s="216" t="s">
        <v>632</v>
      </c>
      <c r="C3" s="217" t="s">
        <v>633</v>
      </c>
      <c r="D3" s="216" t="s">
        <v>634</v>
      </c>
      <c r="E3" s="318" t="s">
        <v>635</v>
      </c>
      <c r="F3" s="319" t="s">
        <v>636</v>
      </c>
      <c r="G3" s="319" t="s">
        <v>215</v>
      </c>
      <c r="H3" s="218" t="s">
        <v>478</v>
      </c>
      <c r="I3" s="218" t="s">
        <v>637</v>
      </c>
      <c r="J3" s="318" t="s">
        <v>215</v>
      </c>
      <c r="K3" s="341" t="s">
        <v>638</v>
      </c>
      <c r="L3" s="321" t="s">
        <v>639</v>
      </c>
      <c r="M3" s="219" t="s">
        <v>327</v>
      </c>
      <c r="N3" s="318" t="s">
        <v>215</v>
      </c>
      <c r="O3" s="219" t="s">
        <v>187</v>
      </c>
    </row>
    <row r="4" spans="1:15" x14ac:dyDescent="0.25">
      <c r="A4" s="220" t="s">
        <v>640</v>
      </c>
      <c r="B4" s="221">
        <v>450</v>
      </c>
      <c r="C4" s="221" t="s">
        <v>641</v>
      </c>
      <c r="D4" s="222" t="s">
        <v>1339</v>
      </c>
      <c r="E4" s="330"/>
      <c r="F4" s="326" t="str">
        <f>$G$2</f>
        <v>Traditional OOR</v>
      </c>
      <c r="G4" s="326">
        <f>IF(F4=$G$2,E4,0)</f>
        <v>0</v>
      </c>
      <c r="H4" s="223">
        <v>0</v>
      </c>
      <c r="I4" s="224">
        <f>G4-H4</f>
        <v>0</v>
      </c>
      <c r="J4" s="326">
        <f>IF(F4=$J$2,E4,0)</f>
        <v>0</v>
      </c>
      <c r="K4" s="320"/>
      <c r="L4" s="330"/>
      <c r="M4" s="225">
        <f>J4-L4</f>
        <v>0</v>
      </c>
      <c r="N4" s="326">
        <f>IF(F4=$N$2,E4,0)</f>
        <v>0</v>
      </c>
      <c r="O4" s="223">
        <v>1</v>
      </c>
    </row>
    <row r="5" spans="1:15" x14ac:dyDescent="0.25">
      <c r="A5" s="226" t="s">
        <v>642</v>
      </c>
      <c r="B5" s="221">
        <v>450</v>
      </c>
      <c r="C5" s="227" t="s">
        <v>643</v>
      </c>
      <c r="D5" s="222" t="s">
        <v>644</v>
      </c>
      <c r="E5" s="330"/>
      <c r="F5" s="326" t="str">
        <f>$G$2</f>
        <v>Traditional OOR</v>
      </c>
      <c r="G5" s="326">
        <f>IF(F5=$G$2,E5,0)</f>
        <v>0</v>
      </c>
      <c r="H5" s="223">
        <v>0</v>
      </c>
      <c r="I5" s="224">
        <f>G5-H5</f>
        <v>0</v>
      </c>
      <c r="J5" s="326">
        <f>IF(F5=$J$2,E5,0)</f>
        <v>0</v>
      </c>
      <c r="K5" s="320"/>
      <c r="L5" s="330"/>
      <c r="M5" s="225">
        <f>J5-L5</f>
        <v>0</v>
      </c>
      <c r="N5" s="326">
        <f>IF(F5=$N$2,E5,0)</f>
        <v>0</v>
      </c>
      <c r="O5" s="228">
        <v>1</v>
      </c>
    </row>
    <row r="6" spans="1:15" x14ac:dyDescent="0.25">
      <c r="A6" s="226" t="s">
        <v>645</v>
      </c>
      <c r="B6" s="221">
        <v>450</v>
      </c>
      <c r="C6" s="227" t="s">
        <v>646</v>
      </c>
      <c r="D6" s="222" t="s">
        <v>647</v>
      </c>
      <c r="E6" s="532"/>
      <c r="F6" s="326" t="str">
        <f>$G$2</f>
        <v>Traditional OOR</v>
      </c>
      <c r="G6" s="326">
        <f>IF(F6=$G$2,E6,0)</f>
        <v>0</v>
      </c>
      <c r="H6" s="223">
        <v>0</v>
      </c>
      <c r="I6" s="224">
        <f>G6-H6</f>
        <v>0</v>
      </c>
      <c r="J6" s="326">
        <f>IF(F6=$J$2,E6,0)</f>
        <v>0</v>
      </c>
      <c r="K6" s="320"/>
      <c r="L6" s="330"/>
      <c r="M6" s="225">
        <f>J6-L6</f>
        <v>0</v>
      </c>
      <c r="N6" s="326">
        <f>IF(F6=$N$2,E6,0)</f>
        <v>0</v>
      </c>
      <c r="O6" s="228">
        <v>1</v>
      </c>
    </row>
    <row r="7" spans="1:15" x14ac:dyDescent="0.25">
      <c r="A7" s="360"/>
      <c r="B7" s="356"/>
      <c r="C7" s="355"/>
      <c r="D7" s="357"/>
      <c r="E7" s="335"/>
      <c r="F7" s="335"/>
      <c r="G7" s="330"/>
      <c r="H7" s="331"/>
      <c r="I7" s="332"/>
      <c r="J7" s="330"/>
      <c r="K7" s="334"/>
      <c r="L7" s="330"/>
      <c r="M7" s="332"/>
      <c r="N7" s="330"/>
      <c r="O7" s="331"/>
    </row>
    <row r="8" spans="1:15" x14ac:dyDescent="0.25">
      <c r="A8" s="360"/>
      <c r="B8" s="356"/>
      <c r="C8" s="355"/>
      <c r="D8" s="357"/>
      <c r="E8" s="335"/>
      <c r="F8" s="335"/>
      <c r="G8" s="330"/>
      <c r="H8" s="331"/>
      <c r="I8" s="332"/>
      <c r="J8" s="330"/>
      <c r="K8" s="334"/>
      <c r="L8" s="330"/>
      <c r="M8" s="332"/>
      <c r="N8" s="330"/>
      <c r="O8" s="331"/>
    </row>
    <row r="9" spans="1:15" x14ac:dyDescent="0.25">
      <c r="A9" s="226">
        <v>2</v>
      </c>
      <c r="B9" s="1311" t="s">
        <v>648</v>
      </c>
      <c r="C9" s="1312"/>
      <c r="D9" s="1313"/>
      <c r="E9" s="323">
        <f>SUM(E4:E8)</f>
        <v>0</v>
      </c>
      <c r="F9" s="348"/>
      <c r="G9" s="323">
        <f>SUM(G4:G8)</f>
        <v>0</v>
      </c>
      <c r="H9" s="214">
        <f>SUM(H4:H8)</f>
        <v>0</v>
      </c>
      <c r="I9" s="339">
        <f>SUM(I4:I8)</f>
        <v>0</v>
      </c>
      <c r="J9" s="323">
        <f>SUM(J4:J8)</f>
        <v>0</v>
      </c>
      <c r="K9" s="348"/>
      <c r="L9" s="323">
        <f>SUM(L4:L8)</f>
        <v>0</v>
      </c>
      <c r="M9" s="323">
        <f>SUM(M4:M8)</f>
        <v>0</v>
      </c>
      <c r="N9" s="323">
        <f>SUM(N4:N8)</f>
        <v>0</v>
      </c>
      <c r="O9" s="228"/>
    </row>
    <row r="10" spans="1:15" ht="12.75" customHeight="1" x14ac:dyDescent="0.25">
      <c r="A10" s="226">
        <v>3</v>
      </c>
      <c r="B10" s="1333" t="s">
        <v>1377</v>
      </c>
      <c r="C10" s="1334"/>
      <c r="D10" s="1335"/>
      <c r="E10" s="336"/>
      <c r="F10" s="338"/>
      <c r="G10" s="324"/>
      <c r="H10" s="338"/>
      <c r="I10" s="338"/>
      <c r="J10" s="324"/>
      <c r="K10" s="338"/>
      <c r="L10" s="324"/>
      <c r="M10" s="324"/>
      <c r="N10" s="324"/>
      <c r="O10" s="212"/>
    </row>
    <row r="11" spans="1:15" x14ac:dyDescent="0.25">
      <c r="A11" s="229"/>
      <c r="B11" s="230"/>
      <c r="C11" s="231"/>
      <c r="D11" s="232"/>
      <c r="E11" s="324"/>
      <c r="F11" s="324"/>
      <c r="G11" s="324"/>
      <c r="H11" s="338"/>
      <c r="I11" s="338"/>
      <c r="J11" s="324"/>
      <c r="K11" s="338"/>
      <c r="L11" s="324"/>
      <c r="M11" s="324"/>
      <c r="N11" s="324"/>
      <c r="O11" s="212"/>
    </row>
    <row r="12" spans="1:15" x14ac:dyDescent="0.25">
      <c r="A12" s="226" t="s">
        <v>649</v>
      </c>
      <c r="B12" s="221">
        <v>451</v>
      </c>
      <c r="C12" s="227" t="s">
        <v>650</v>
      </c>
      <c r="D12" s="222" t="s">
        <v>651</v>
      </c>
      <c r="E12" s="330"/>
      <c r="F12" s="326" t="str">
        <f t="shared" ref="F12:F18" si="0">$G$2</f>
        <v>Traditional OOR</v>
      </c>
      <c r="G12" s="326">
        <f t="shared" ref="G12:G25" si="1">IF(F12=$G$2,E12,0)</f>
        <v>0</v>
      </c>
      <c r="H12" s="223">
        <v>0</v>
      </c>
      <c r="I12" s="224">
        <f t="shared" ref="I12:I25" si="2">G12-H12</f>
        <v>0</v>
      </c>
      <c r="J12" s="326">
        <f t="shared" ref="J12:J25" si="3">IF(F12=$J$2,E12,0)</f>
        <v>0</v>
      </c>
      <c r="K12" s="326"/>
      <c r="L12" s="332"/>
      <c r="M12" s="225">
        <f t="shared" ref="M12:M18" si="4">J12-L12</f>
        <v>0</v>
      </c>
      <c r="N12" s="326">
        <f t="shared" ref="N12:N25" si="5">IF(F12=$N$2,E12,0)</f>
        <v>0</v>
      </c>
      <c r="O12" s="228">
        <v>1</v>
      </c>
    </row>
    <row r="13" spans="1:15" x14ac:dyDescent="0.25">
      <c r="A13" s="226" t="s">
        <v>652</v>
      </c>
      <c r="B13" s="221">
        <v>451</v>
      </c>
      <c r="C13" s="227" t="s">
        <v>653</v>
      </c>
      <c r="D13" s="222" t="s">
        <v>654</v>
      </c>
      <c r="E13" s="330"/>
      <c r="F13" s="326" t="str">
        <f t="shared" si="0"/>
        <v>Traditional OOR</v>
      </c>
      <c r="G13" s="326">
        <f t="shared" si="1"/>
        <v>0</v>
      </c>
      <c r="H13" s="223">
        <v>0</v>
      </c>
      <c r="I13" s="224">
        <f t="shared" si="2"/>
        <v>0</v>
      </c>
      <c r="J13" s="326">
        <f t="shared" si="3"/>
        <v>0</v>
      </c>
      <c r="K13" s="326"/>
      <c r="L13" s="332"/>
      <c r="M13" s="225">
        <f t="shared" si="4"/>
        <v>0</v>
      </c>
      <c r="N13" s="326">
        <f t="shared" si="5"/>
        <v>0</v>
      </c>
      <c r="O13" s="228">
        <v>1</v>
      </c>
    </row>
    <row r="14" spans="1:15" x14ac:dyDescent="0.25">
      <c r="A14" s="226" t="s">
        <v>655</v>
      </c>
      <c r="B14" s="221">
        <v>451</v>
      </c>
      <c r="C14" s="227" t="s">
        <v>656</v>
      </c>
      <c r="D14" s="222" t="s">
        <v>657</v>
      </c>
      <c r="E14" s="330"/>
      <c r="F14" s="326" t="str">
        <f t="shared" si="0"/>
        <v>Traditional OOR</v>
      </c>
      <c r="G14" s="326">
        <f t="shared" si="1"/>
        <v>0</v>
      </c>
      <c r="H14" s="223">
        <v>0</v>
      </c>
      <c r="I14" s="224">
        <f t="shared" si="2"/>
        <v>0</v>
      </c>
      <c r="J14" s="326">
        <f t="shared" si="3"/>
        <v>0</v>
      </c>
      <c r="K14" s="326"/>
      <c r="L14" s="332"/>
      <c r="M14" s="225">
        <f t="shared" si="4"/>
        <v>0</v>
      </c>
      <c r="N14" s="326">
        <f t="shared" si="5"/>
        <v>0</v>
      </c>
      <c r="O14" s="228">
        <v>1</v>
      </c>
    </row>
    <row r="15" spans="1:15" x14ac:dyDescent="0.25">
      <c r="A15" s="226" t="s">
        <v>658</v>
      </c>
      <c r="B15" s="221">
        <v>451</v>
      </c>
      <c r="C15" s="227" t="s">
        <v>659</v>
      </c>
      <c r="D15" s="222" t="s">
        <v>660</v>
      </c>
      <c r="E15" s="330"/>
      <c r="F15" s="326" t="str">
        <f t="shared" si="0"/>
        <v>Traditional OOR</v>
      </c>
      <c r="G15" s="326">
        <f t="shared" si="1"/>
        <v>0</v>
      </c>
      <c r="H15" s="223">
        <v>0</v>
      </c>
      <c r="I15" s="224">
        <f t="shared" si="2"/>
        <v>0</v>
      </c>
      <c r="J15" s="326">
        <f t="shared" si="3"/>
        <v>0</v>
      </c>
      <c r="K15" s="326"/>
      <c r="L15" s="332"/>
      <c r="M15" s="225">
        <f t="shared" si="4"/>
        <v>0</v>
      </c>
      <c r="N15" s="326">
        <f t="shared" si="5"/>
        <v>0</v>
      </c>
      <c r="O15" s="228">
        <v>1</v>
      </c>
    </row>
    <row r="16" spans="1:15" x14ac:dyDescent="0.25">
      <c r="A16" s="226" t="s">
        <v>661</v>
      </c>
      <c r="B16" s="221">
        <v>451</v>
      </c>
      <c r="C16" s="227" t="s">
        <v>662</v>
      </c>
      <c r="D16" s="222" t="s">
        <v>663</v>
      </c>
      <c r="E16" s="330"/>
      <c r="F16" s="326" t="str">
        <f t="shared" si="0"/>
        <v>Traditional OOR</v>
      </c>
      <c r="G16" s="326">
        <f t="shared" si="1"/>
        <v>0</v>
      </c>
      <c r="H16" s="223">
        <v>0</v>
      </c>
      <c r="I16" s="224">
        <f t="shared" si="2"/>
        <v>0</v>
      </c>
      <c r="J16" s="326">
        <f t="shared" si="3"/>
        <v>0</v>
      </c>
      <c r="K16" s="326"/>
      <c r="L16" s="332"/>
      <c r="M16" s="225">
        <f t="shared" si="4"/>
        <v>0</v>
      </c>
      <c r="N16" s="326">
        <f t="shared" si="5"/>
        <v>0</v>
      </c>
      <c r="O16" s="228">
        <v>1</v>
      </c>
    </row>
    <row r="17" spans="1:15" x14ac:dyDescent="0.25">
      <c r="A17" s="226" t="s">
        <v>664</v>
      </c>
      <c r="B17" s="221">
        <v>451</v>
      </c>
      <c r="C17" s="227" t="s">
        <v>665</v>
      </c>
      <c r="D17" s="222" t="s">
        <v>666</v>
      </c>
      <c r="E17" s="330"/>
      <c r="F17" s="326" t="str">
        <f t="shared" si="0"/>
        <v>Traditional OOR</v>
      </c>
      <c r="G17" s="326">
        <f t="shared" si="1"/>
        <v>0</v>
      </c>
      <c r="H17" s="223">
        <v>0</v>
      </c>
      <c r="I17" s="224">
        <f t="shared" si="2"/>
        <v>0</v>
      </c>
      <c r="J17" s="326">
        <f t="shared" si="3"/>
        <v>0</v>
      </c>
      <c r="K17" s="326"/>
      <c r="L17" s="332"/>
      <c r="M17" s="225">
        <f t="shared" si="4"/>
        <v>0</v>
      </c>
      <c r="N17" s="326">
        <f t="shared" si="5"/>
        <v>0</v>
      </c>
      <c r="O17" s="228">
        <v>1</v>
      </c>
    </row>
    <row r="18" spans="1:15" x14ac:dyDescent="0.25">
      <c r="A18" s="226" t="s">
        <v>667</v>
      </c>
      <c r="B18" s="221">
        <v>451</v>
      </c>
      <c r="C18" s="227" t="s">
        <v>668</v>
      </c>
      <c r="D18" s="222" t="s">
        <v>669</v>
      </c>
      <c r="E18" s="330"/>
      <c r="F18" s="326" t="str">
        <f t="shared" si="0"/>
        <v>Traditional OOR</v>
      </c>
      <c r="G18" s="326">
        <f t="shared" si="1"/>
        <v>0</v>
      </c>
      <c r="H18" s="223">
        <v>0</v>
      </c>
      <c r="I18" s="224">
        <f t="shared" si="2"/>
        <v>0</v>
      </c>
      <c r="J18" s="326">
        <f t="shared" si="3"/>
        <v>0</v>
      </c>
      <c r="K18" s="326"/>
      <c r="L18" s="332"/>
      <c r="M18" s="225">
        <f t="shared" si="4"/>
        <v>0</v>
      </c>
      <c r="N18" s="326">
        <f t="shared" si="5"/>
        <v>0</v>
      </c>
      <c r="O18" s="228">
        <v>1</v>
      </c>
    </row>
    <row r="19" spans="1:15" x14ac:dyDescent="0.25">
      <c r="A19" s="226" t="s">
        <v>670</v>
      </c>
      <c r="B19" s="221">
        <v>451</v>
      </c>
      <c r="C19" s="227" t="s">
        <v>671</v>
      </c>
      <c r="D19" s="222" t="s">
        <v>672</v>
      </c>
      <c r="E19" s="330"/>
      <c r="F19" s="326" t="str">
        <f>$J$2</f>
        <v>GRSM</v>
      </c>
      <c r="G19" s="326">
        <f t="shared" si="1"/>
        <v>0</v>
      </c>
      <c r="H19" s="223">
        <v>0</v>
      </c>
      <c r="I19" s="224">
        <f t="shared" si="2"/>
        <v>0</v>
      </c>
      <c r="J19" s="326">
        <f t="shared" si="3"/>
        <v>0</v>
      </c>
      <c r="K19" s="365" t="s">
        <v>673</v>
      </c>
      <c r="L19" s="332"/>
      <c r="M19" s="225">
        <f>J19-L19</f>
        <v>0</v>
      </c>
      <c r="N19" s="326">
        <f t="shared" si="5"/>
        <v>0</v>
      </c>
      <c r="O19" s="228">
        <v>2</v>
      </c>
    </row>
    <row r="20" spans="1:15" x14ac:dyDescent="0.25">
      <c r="A20" s="226" t="s">
        <v>674</v>
      </c>
      <c r="B20" s="221">
        <v>451</v>
      </c>
      <c r="C20" s="227" t="s">
        <v>675</v>
      </c>
      <c r="D20" s="222" t="s">
        <v>676</v>
      </c>
      <c r="E20" s="330"/>
      <c r="F20" s="326" t="str">
        <f>$N$2</f>
        <v>Other Ratemaking</v>
      </c>
      <c r="G20" s="326">
        <f t="shared" si="1"/>
        <v>0</v>
      </c>
      <c r="H20" s="223">
        <v>0</v>
      </c>
      <c r="I20" s="224">
        <f t="shared" si="2"/>
        <v>0</v>
      </c>
      <c r="J20" s="326">
        <f t="shared" si="3"/>
        <v>0</v>
      </c>
      <c r="K20" s="326"/>
      <c r="L20" s="332"/>
      <c r="M20" s="225">
        <f>J20-L20</f>
        <v>0</v>
      </c>
      <c r="N20" s="326">
        <f t="shared" si="5"/>
        <v>0</v>
      </c>
      <c r="O20" s="228">
        <v>6</v>
      </c>
    </row>
    <row r="21" spans="1:15" x14ac:dyDescent="0.25">
      <c r="A21" s="220" t="s">
        <v>2584</v>
      </c>
      <c r="B21" s="221">
        <v>451</v>
      </c>
      <c r="C21" s="221">
        <v>4182120</v>
      </c>
      <c r="D21" s="239" t="s">
        <v>2585</v>
      </c>
      <c r="E21" s="330"/>
      <c r="F21" s="326" t="s">
        <v>629</v>
      </c>
      <c r="G21" s="326">
        <f t="shared" si="1"/>
        <v>0</v>
      </c>
      <c r="H21" s="223">
        <v>0</v>
      </c>
      <c r="I21" s="224">
        <f t="shared" si="2"/>
        <v>0</v>
      </c>
      <c r="J21" s="326">
        <f t="shared" si="3"/>
        <v>0</v>
      </c>
      <c r="K21" s="326"/>
      <c r="L21" s="332"/>
      <c r="M21" s="224">
        <f t="shared" ref="M21:M25" si="6">J21-L21</f>
        <v>0</v>
      </c>
      <c r="N21" s="326">
        <f t="shared" si="5"/>
        <v>0</v>
      </c>
      <c r="O21" s="223">
        <v>1</v>
      </c>
    </row>
    <row r="22" spans="1:15" x14ac:dyDescent="0.25">
      <c r="A22" s="220" t="s">
        <v>2586</v>
      </c>
      <c r="B22" s="221">
        <v>451</v>
      </c>
      <c r="C22" s="221">
        <v>4192152</v>
      </c>
      <c r="D22" s="239" t="s">
        <v>2587</v>
      </c>
      <c r="E22" s="330"/>
      <c r="F22" s="326" t="s">
        <v>631</v>
      </c>
      <c r="G22" s="326">
        <f t="shared" si="1"/>
        <v>0</v>
      </c>
      <c r="H22" s="223">
        <v>0</v>
      </c>
      <c r="I22" s="224">
        <f t="shared" si="2"/>
        <v>0</v>
      </c>
      <c r="J22" s="326">
        <f t="shared" si="3"/>
        <v>0</v>
      </c>
      <c r="K22" s="326"/>
      <c r="L22" s="332"/>
      <c r="M22" s="224">
        <f t="shared" si="6"/>
        <v>0</v>
      </c>
      <c r="N22" s="326">
        <f t="shared" si="5"/>
        <v>0</v>
      </c>
      <c r="O22" s="223">
        <v>1</v>
      </c>
    </row>
    <row r="23" spans="1:15" x14ac:dyDescent="0.25">
      <c r="A23" s="220" t="s">
        <v>2588</v>
      </c>
      <c r="B23" s="221">
        <v>451</v>
      </c>
      <c r="C23" s="221">
        <v>4192155</v>
      </c>
      <c r="D23" s="239" t="s">
        <v>2589</v>
      </c>
      <c r="E23" s="330"/>
      <c r="F23" s="326" t="s">
        <v>631</v>
      </c>
      <c r="G23" s="326">
        <f t="shared" si="1"/>
        <v>0</v>
      </c>
      <c r="H23" s="223">
        <v>0</v>
      </c>
      <c r="I23" s="224">
        <f t="shared" si="2"/>
        <v>0</v>
      </c>
      <c r="J23" s="326">
        <f t="shared" si="3"/>
        <v>0</v>
      </c>
      <c r="K23" s="326"/>
      <c r="L23" s="332"/>
      <c r="M23" s="224">
        <f t="shared" si="6"/>
        <v>0</v>
      </c>
      <c r="N23" s="326">
        <f t="shared" si="5"/>
        <v>0</v>
      </c>
      <c r="O23" s="223">
        <v>1</v>
      </c>
    </row>
    <row r="24" spans="1:15" x14ac:dyDescent="0.25">
      <c r="A24" s="220" t="s">
        <v>2590</v>
      </c>
      <c r="B24" s="221">
        <v>451</v>
      </c>
      <c r="C24" s="221">
        <v>4192158</v>
      </c>
      <c r="D24" s="239" t="s">
        <v>2591</v>
      </c>
      <c r="E24" s="330"/>
      <c r="F24" s="326" t="s">
        <v>631</v>
      </c>
      <c r="G24" s="326">
        <f t="shared" si="1"/>
        <v>0</v>
      </c>
      <c r="H24" s="223">
        <v>0</v>
      </c>
      <c r="I24" s="224">
        <f t="shared" si="2"/>
        <v>0</v>
      </c>
      <c r="J24" s="326">
        <f t="shared" si="3"/>
        <v>0</v>
      </c>
      <c r="K24" s="326"/>
      <c r="L24" s="332"/>
      <c r="M24" s="224">
        <f t="shared" si="6"/>
        <v>0</v>
      </c>
      <c r="N24" s="326">
        <f t="shared" si="5"/>
        <v>0</v>
      </c>
      <c r="O24" s="223">
        <v>1</v>
      </c>
    </row>
    <row r="25" spans="1:15" x14ac:dyDescent="0.25">
      <c r="A25" s="220" t="s">
        <v>2592</v>
      </c>
      <c r="B25" s="221">
        <v>451</v>
      </c>
      <c r="C25" s="221">
        <v>4192160</v>
      </c>
      <c r="D25" s="239" t="s">
        <v>2593</v>
      </c>
      <c r="E25" s="330"/>
      <c r="F25" s="326" t="s">
        <v>631</v>
      </c>
      <c r="G25" s="326">
        <f t="shared" si="1"/>
        <v>0</v>
      </c>
      <c r="H25" s="223">
        <v>0</v>
      </c>
      <c r="I25" s="224">
        <f t="shared" si="2"/>
        <v>0</v>
      </c>
      <c r="J25" s="326">
        <f t="shared" si="3"/>
        <v>0</v>
      </c>
      <c r="K25" s="326"/>
      <c r="L25" s="332"/>
      <c r="M25" s="224">
        <f t="shared" si="6"/>
        <v>0</v>
      </c>
      <c r="N25" s="326">
        <f t="shared" si="5"/>
        <v>0</v>
      </c>
      <c r="O25" s="223">
        <v>1</v>
      </c>
    </row>
    <row r="26" spans="1:15" x14ac:dyDescent="0.25">
      <c r="A26" s="360"/>
      <c r="B26" s="356"/>
      <c r="C26" s="356"/>
      <c r="D26" s="891"/>
      <c r="E26" s="330"/>
      <c r="F26" s="330"/>
      <c r="G26" s="330"/>
      <c r="H26" s="331"/>
      <c r="I26" s="332"/>
      <c r="J26" s="330"/>
      <c r="K26" s="330"/>
      <c r="L26" s="332"/>
      <c r="M26" s="332"/>
      <c r="N26" s="330"/>
      <c r="O26" s="331"/>
    </row>
    <row r="27" spans="1:15" x14ac:dyDescent="0.25">
      <c r="A27" s="360"/>
      <c r="B27" s="356"/>
      <c r="C27" s="355"/>
      <c r="D27" s="891"/>
      <c r="E27" s="330"/>
      <c r="F27" s="330"/>
      <c r="G27" s="334"/>
      <c r="H27" s="331"/>
      <c r="I27" s="332"/>
      <c r="J27" s="330"/>
      <c r="K27" s="330"/>
      <c r="L27" s="332"/>
      <c r="M27" s="332"/>
      <c r="N27" s="330"/>
      <c r="O27" s="331"/>
    </row>
    <row r="28" spans="1:15" x14ac:dyDescent="0.25">
      <c r="A28" s="226">
        <v>5</v>
      </c>
      <c r="B28" s="1311" t="s">
        <v>677</v>
      </c>
      <c r="C28" s="1312"/>
      <c r="D28" s="1313"/>
      <c r="E28" s="323">
        <f>SUM(E12:E25)</f>
        <v>0</v>
      </c>
      <c r="F28" s="348"/>
      <c r="G28" s="323">
        <f>SUM(G12:G25)</f>
        <v>0</v>
      </c>
      <c r="H28" s="214">
        <f>SUM(H12:H25)</f>
        <v>0</v>
      </c>
      <c r="I28" s="339">
        <f>SUM(I12:I25)</f>
        <v>0</v>
      </c>
      <c r="J28" s="323">
        <f>SUM(J12:J25)</f>
        <v>0</v>
      </c>
      <c r="K28" s="348"/>
      <c r="L28" s="323">
        <f>SUM(L12:L25)</f>
        <v>0</v>
      </c>
      <c r="M28" s="323">
        <f>SUM(M12:M25)</f>
        <v>0</v>
      </c>
      <c r="N28" s="323">
        <f>SUM(N12:N25)</f>
        <v>0</v>
      </c>
      <c r="O28" s="228"/>
    </row>
    <row r="29" spans="1:15" ht="25.5" customHeight="1" x14ac:dyDescent="0.25">
      <c r="A29" s="226">
        <v>6</v>
      </c>
      <c r="B29" s="1333" t="s">
        <v>1378</v>
      </c>
      <c r="C29" s="1334"/>
      <c r="D29" s="1335"/>
      <c r="E29" s="336"/>
      <c r="F29" s="338"/>
      <c r="G29" s="324"/>
      <c r="H29" s="233"/>
      <c r="I29" s="233"/>
      <c r="J29" s="324"/>
      <c r="K29" s="338"/>
      <c r="L29" s="324"/>
      <c r="M29" s="324"/>
      <c r="N29" s="324"/>
    </row>
    <row r="30" spans="1:15" x14ac:dyDescent="0.25">
      <c r="A30" s="235"/>
      <c r="B30" s="230"/>
      <c r="C30" s="231"/>
      <c r="D30" s="232"/>
      <c r="E30" s="324"/>
      <c r="F30" s="324"/>
      <c r="G30" s="324"/>
      <c r="H30" s="233"/>
      <c r="I30" s="233"/>
      <c r="J30" s="324"/>
      <c r="K30" s="338"/>
      <c r="L30" s="324"/>
      <c r="M30" s="324"/>
      <c r="N30" s="324"/>
    </row>
    <row r="31" spans="1:15" x14ac:dyDescent="0.25">
      <c r="A31" s="226" t="s">
        <v>678</v>
      </c>
      <c r="B31" s="221">
        <v>453</v>
      </c>
      <c r="C31" s="227" t="s">
        <v>681</v>
      </c>
      <c r="D31" s="222" t="s">
        <v>682</v>
      </c>
      <c r="E31" s="330"/>
      <c r="F31" s="326" t="str">
        <f>$G$2</f>
        <v>Traditional OOR</v>
      </c>
      <c r="G31" s="326">
        <f>IF(F31=$G$2,E31,0)</f>
        <v>0</v>
      </c>
      <c r="H31" s="223">
        <v>0</v>
      </c>
      <c r="I31" s="224">
        <f>G31-H31</f>
        <v>0</v>
      </c>
      <c r="J31" s="326">
        <f>IF(F31=$J$2,E31,0)</f>
        <v>0</v>
      </c>
      <c r="K31" s="326"/>
      <c r="L31" s="332"/>
      <c r="M31" s="225">
        <f>J31-L31</f>
        <v>0</v>
      </c>
      <c r="N31" s="326">
        <f>IF(F31=$N$2,E31,0)</f>
        <v>0</v>
      </c>
      <c r="O31" s="228">
        <v>3</v>
      </c>
    </row>
    <row r="32" spans="1:15" x14ac:dyDescent="0.25">
      <c r="A32" s="226" t="s">
        <v>679</v>
      </c>
      <c r="B32" s="221">
        <v>453</v>
      </c>
      <c r="C32" s="227" t="s">
        <v>683</v>
      </c>
      <c r="D32" s="222" t="s">
        <v>684</v>
      </c>
      <c r="E32" s="330"/>
      <c r="F32" s="326" t="str">
        <f>$G$2</f>
        <v>Traditional OOR</v>
      </c>
      <c r="G32" s="326">
        <f>IF(F32=$G$2,E32,0)</f>
        <v>0</v>
      </c>
      <c r="H32" s="223">
        <v>0</v>
      </c>
      <c r="I32" s="224">
        <f>G32-H32</f>
        <v>0</v>
      </c>
      <c r="J32" s="326">
        <f>IF(F32=$J$2,E32,0)</f>
        <v>0</v>
      </c>
      <c r="K32" s="326"/>
      <c r="L32" s="332"/>
      <c r="M32" s="225">
        <f>J32-L32</f>
        <v>0</v>
      </c>
      <c r="N32" s="326">
        <f>IF(F32=$N$2,E32,0)</f>
        <v>0</v>
      </c>
      <c r="O32" s="228">
        <v>3</v>
      </c>
    </row>
    <row r="33" spans="1:15" x14ac:dyDescent="0.25">
      <c r="A33" s="226" t="s">
        <v>680</v>
      </c>
      <c r="B33" s="221">
        <v>453</v>
      </c>
      <c r="C33" s="226" t="s">
        <v>1568</v>
      </c>
      <c r="D33" s="222" t="s">
        <v>1567</v>
      </c>
      <c r="E33" s="330"/>
      <c r="F33" s="326" t="str">
        <f>$G$2</f>
        <v>Traditional OOR</v>
      </c>
      <c r="G33" s="326">
        <f>IF(F33=$G$2,E33,0)</f>
        <v>0</v>
      </c>
      <c r="H33" s="223">
        <v>0</v>
      </c>
      <c r="I33" s="224">
        <f>G33-H33</f>
        <v>0</v>
      </c>
      <c r="J33" s="326">
        <f>IF(F33=$J$2,E33,0)</f>
        <v>0</v>
      </c>
      <c r="K33" s="326"/>
      <c r="L33" s="332"/>
      <c r="M33" s="225">
        <f>J33-L33</f>
        <v>0</v>
      </c>
      <c r="N33" s="326">
        <f>IF(F33=$N$2,E33,0)</f>
        <v>0</v>
      </c>
      <c r="O33" s="228">
        <v>3</v>
      </c>
    </row>
    <row r="34" spans="1:15" x14ac:dyDescent="0.25">
      <c r="A34" s="360"/>
      <c r="B34" s="356"/>
      <c r="C34" s="355"/>
      <c r="D34" s="357"/>
      <c r="E34" s="330"/>
      <c r="F34" s="330"/>
      <c r="G34" s="334"/>
      <c r="H34" s="331"/>
      <c r="I34" s="332"/>
      <c r="J34" s="330"/>
      <c r="K34" s="330"/>
      <c r="L34" s="332"/>
      <c r="M34" s="332"/>
      <c r="N34" s="330"/>
      <c r="O34" s="331"/>
    </row>
    <row r="35" spans="1:15" x14ac:dyDescent="0.25">
      <c r="A35" s="360"/>
      <c r="B35" s="356"/>
      <c r="C35" s="355"/>
      <c r="D35" s="357"/>
      <c r="E35" s="330"/>
      <c r="F35" s="330"/>
      <c r="G35" s="334"/>
      <c r="H35" s="331"/>
      <c r="I35" s="332"/>
      <c r="J35" s="330"/>
      <c r="K35" s="330"/>
      <c r="L35" s="332"/>
      <c r="M35" s="332"/>
      <c r="N35" s="330"/>
      <c r="O35" s="331"/>
    </row>
    <row r="36" spans="1:15" x14ac:dyDescent="0.25">
      <c r="A36" s="226">
        <v>8</v>
      </c>
      <c r="B36" s="1311" t="s">
        <v>685</v>
      </c>
      <c r="C36" s="1312"/>
      <c r="D36" s="1313"/>
      <c r="E36" s="339">
        <f>SUM(E31:E35)</f>
        <v>0</v>
      </c>
      <c r="F36" s="348"/>
      <c r="G36" s="339">
        <f>SUM(G31:G35)</f>
        <v>0</v>
      </c>
      <c r="H36" s="214">
        <f>SUM(H31:H35)</f>
        <v>0</v>
      </c>
      <c r="I36" s="339">
        <f>SUM(I31:I35)</f>
        <v>0</v>
      </c>
      <c r="J36" s="339">
        <f>SUM(J31:J35)</f>
        <v>0</v>
      </c>
      <c r="K36" s="348"/>
      <c r="L36" s="339">
        <f>SUM(L31:L35)</f>
        <v>0</v>
      </c>
      <c r="M36" s="339">
        <f>SUM(M31:M35)</f>
        <v>0</v>
      </c>
      <c r="N36" s="339">
        <f>SUM(N31:N35)</f>
        <v>0</v>
      </c>
      <c r="O36" s="214"/>
    </row>
    <row r="37" spans="1:15" ht="25.5" customHeight="1" x14ac:dyDescent="0.25">
      <c r="A37" s="226">
        <v>9</v>
      </c>
      <c r="B37" s="1336" t="s">
        <v>1379</v>
      </c>
      <c r="C37" s="1327"/>
      <c r="D37" s="1327"/>
      <c r="E37" s="351"/>
      <c r="F37" s="338"/>
      <c r="G37" s="324"/>
      <c r="H37" s="233"/>
      <c r="I37" s="237"/>
      <c r="J37" s="324"/>
      <c r="K37" s="338"/>
      <c r="L37" s="324"/>
      <c r="M37" s="324"/>
      <c r="N37" s="324"/>
      <c r="O37" s="212"/>
    </row>
    <row r="38" spans="1:15" x14ac:dyDescent="0.25">
      <c r="A38" s="229"/>
      <c r="B38" s="230"/>
      <c r="C38" s="231"/>
      <c r="D38" s="232"/>
      <c r="E38" s="324"/>
      <c r="F38" s="324"/>
      <c r="G38" s="324"/>
      <c r="H38" s="233"/>
      <c r="I38" s="237"/>
      <c r="J38" s="324"/>
      <c r="K38" s="338"/>
      <c r="L38" s="324"/>
      <c r="M38" s="324"/>
      <c r="N38" s="324"/>
      <c r="O38" s="212"/>
    </row>
    <row r="39" spans="1:15" x14ac:dyDescent="0.25">
      <c r="A39" s="226" t="s">
        <v>686</v>
      </c>
      <c r="B39" s="221">
        <v>454</v>
      </c>
      <c r="C39" s="222" t="s">
        <v>690</v>
      </c>
      <c r="D39" s="222" t="s">
        <v>691</v>
      </c>
      <c r="E39" s="330"/>
      <c r="F39" s="326" t="str">
        <f t="shared" ref="F39:F44" si="7">$G$2</f>
        <v>Traditional OOR</v>
      </c>
      <c r="G39" s="326">
        <f>IF(F39=$G$2,E39,0)</f>
        <v>0</v>
      </c>
      <c r="H39" s="224">
        <v>0</v>
      </c>
      <c r="I39" s="224">
        <f t="shared" ref="I39:I49" si="8">G39-H39</f>
        <v>0</v>
      </c>
      <c r="J39" s="326">
        <f t="shared" ref="J39:J64" si="9">IF(F39=$J$2,E39,0)</f>
        <v>0</v>
      </c>
      <c r="K39" s="326"/>
      <c r="L39" s="332"/>
      <c r="M39" s="224">
        <f t="shared" ref="M39:M44" si="10">J39-L39</f>
        <v>0</v>
      </c>
      <c r="N39" s="326">
        <f t="shared" ref="N39:N64" si="11">IF(F39=$N$2,E39,0)</f>
        <v>0</v>
      </c>
      <c r="O39" s="223">
        <v>4</v>
      </c>
    </row>
    <row r="40" spans="1:15" x14ac:dyDescent="0.25">
      <c r="A40" s="226" t="s">
        <v>687</v>
      </c>
      <c r="B40" s="221">
        <v>454</v>
      </c>
      <c r="C40" s="227" t="s">
        <v>693</v>
      </c>
      <c r="D40" s="222" t="s">
        <v>694</v>
      </c>
      <c r="E40" s="330"/>
      <c r="F40" s="326" t="str">
        <f t="shared" si="7"/>
        <v>Traditional OOR</v>
      </c>
      <c r="G40" s="326">
        <f t="shared" ref="G40:G64" si="12">IF(F40=$G$2,E40,0)</f>
        <v>0</v>
      </c>
      <c r="H40" s="224">
        <v>0</v>
      </c>
      <c r="I40" s="224">
        <f t="shared" si="8"/>
        <v>0</v>
      </c>
      <c r="J40" s="326">
        <f t="shared" si="9"/>
        <v>0</v>
      </c>
      <c r="K40" s="326"/>
      <c r="L40" s="332"/>
      <c r="M40" s="225">
        <f t="shared" si="10"/>
        <v>0</v>
      </c>
      <c r="N40" s="326">
        <f t="shared" si="11"/>
        <v>0</v>
      </c>
      <c r="O40" s="228">
        <v>4</v>
      </c>
    </row>
    <row r="41" spans="1:15" x14ac:dyDescent="0.25">
      <c r="A41" s="226" t="s">
        <v>688</v>
      </c>
      <c r="B41" s="221">
        <v>454</v>
      </c>
      <c r="C41" s="227" t="s">
        <v>696</v>
      </c>
      <c r="D41" s="222" t="s">
        <v>697</v>
      </c>
      <c r="E41" s="330"/>
      <c r="F41" s="326" t="str">
        <f t="shared" si="7"/>
        <v>Traditional OOR</v>
      </c>
      <c r="G41" s="326">
        <f t="shared" si="12"/>
        <v>0</v>
      </c>
      <c r="H41" s="224">
        <v>0</v>
      </c>
      <c r="I41" s="224">
        <f t="shared" si="8"/>
        <v>0</v>
      </c>
      <c r="J41" s="326">
        <f t="shared" si="9"/>
        <v>0</v>
      </c>
      <c r="K41" s="326"/>
      <c r="L41" s="332"/>
      <c r="M41" s="225">
        <f t="shared" si="10"/>
        <v>0</v>
      </c>
      <c r="N41" s="326">
        <f t="shared" si="11"/>
        <v>0</v>
      </c>
      <c r="O41" s="228">
        <v>4</v>
      </c>
    </row>
    <row r="42" spans="1:15" x14ac:dyDescent="0.25">
      <c r="A42" s="226" t="s">
        <v>689</v>
      </c>
      <c r="B42" s="221">
        <v>454</v>
      </c>
      <c r="C42" s="227" t="s">
        <v>699</v>
      </c>
      <c r="D42" s="222" t="s">
        <v>700</v>
      </c>
      <c r="E42" s="330"/>
      <c r="F42" s="326" t="str">
        <f t="shared" si="7"/>
        <v>Traditional OOR</v>
      </c>
      <c r="G42" s="326">
        <f t="shared" si="12"/>
        <v>0</v>
      </c>
      <c r="H42" s="224">
        <v>0</v>
      </c>
      <c r="I42" s="224">
        <f t="shared" si="8"/>
        <v>0</v>
      </c>
      <c r="J42" s="326">
        <f t="shared" si="9"/>
        <v>0</v>
      </c>
      <c r="K42" s="326"/>
      <c r="L42" s="332"/>
      <c r="M42" s="225">
        <f t="shared" si="10"/>
        <v>0</v>
      </c>
      <c r="N42" s="326">
        <f t="shared" si="11"/>
        <v>0</v>
      </c>
      <c r="O42" s="228">
        <v>4</v>
      </c>
    </row>
    <row r="43" spans="1:15" x14ac:dyDescent="0.25">
      <c r="A43" s="226" t="s">
        <v>692</v>
      </c>
      <c r="B43" s="221">
        <v>454</v>
      </c>
      <c r="C43" s="227" t="s">
        <v>702</v>
      </c>
      <c r="D43" s="222" t="s">
        <v>703</v>
      </c>
      <c r="E43" s="330"/>
      <c r="F43" s="326" t="str">
        <f t="shared" si="7"/>
        <v>Traditional OOR</v>
      </c>
      <c r="G43" s="326">
        <f t="shared" si="12"/>
        <v>0</v>
      </c>
      <c r="H43" s="224">
        <v>0</v>
      </c>
      <c r="I43" s="224">
        <f t="shared" si="8"/>
        <v>0</v>
      </c>
      <c r="J43" s="326">
        <f t="shared" si="9"/>
        <v>0</v>
      </c>
      <c r="K43" s="326"/>
      <c r="L43" s="332"/>
      <c r="M43" s="225">
        <f t="shared" si="10"/>
        <v>0</v>
      </c>
      <c r="N43" s="326">
        <f t="shared" si="11"/>
        <v>0</v>
      </c>
      <c r="O43" s="228">
        <v>4</v>
      </c>
    </row>
    <row r="44" spans="1:15" x14ac:dyDescent="0.25">
      <c r="A44" s="226" t="s">
        <v>695</v>
      </c>
      <c r="B44" s="221">
        <v>454</v>
      </c>
      <c r="C44" s="238">
        <v>4184120</v>
      </c>
      <c r="D44" s="222" t="s">
        <v>1565</v>
      </c>
      <c r="E44" s="330"/>
      <c r="F44" s="326" t="str">
        <f t="shared" si="7"/>
        <v>Traditional OOR</v>
      </c>
      <c r="G44" s="326">
        <f>IF(F44=$G$2,E44,0)</f>
        <v>0</v>
      </c>
      <c r="H44" s="224">
        <v>0</v>
      </c>
      <c r="I44" s="224">
        <f>G44-H44</f>
        <v>0</v>
      </c>
      <c r="J44" s="326">
        <f t="shared" si="9"/>
        <v>0</v>
      </c>
      <c r="K44" s="326"/>
      <c r="L44" s="332"/>
      <c r="M44" s="225">
        <f t="shared" si="10"/>
        <v>0</v>
      </c>
      <c r="N44" s="326">
        <f t="shared" si="11"/>
        <v>0</v>
      </c>
      <c r="O44" s="228">
        <v>4</v>
      </c>
    </row>
    <row r="45" spans="1:15" x14ac:dyDescent="0.25">
      <c r="A45" s="226" t="s">
        <v>698</v>
      </c>
      <c r="B45" s="221">
        <v>454</v>
      </c>
      <c r="C45" s="227" t="s">
        <v>705</v>
      </c>
      <c r="D45" s="222" t="s">
        <v>706</v>
      </c>
      <c r="E45" s="330"/>
      <c r="F45" s="326" t="str">
        <f>$J$2</f>
        <v>GRSM</v>
      </c>
      <c r="G45" s="326">
        <f t="shared" si="12"/>
        <v>0</v>
      </c>
      <c r="H45" s="224">
        <v>0</v>
      </c>
      <c r="I45" s="224">
        <f t="shared" si="8"/>
        <v>0</v>
      </c>
      <c r="J45" s="326">
        <f t="shared" si="9"/>
        <v>0</v>
      </c>
      <c r="K45" s="365" t="s">
        <v>673</v>
      </c>
      <c r="L45" s="333"/>
      <c r="M45" s="225">
        <f>J45-L45</f>
        <v>0</v>
      </c>
      <c r="N45" s="326">
        <f t="shared" si="11"/>
        <v>0</v>
      </c>
      <c r="O45" s="228">
        <v>2</v>
      </c>
    </row>
    <row r="46" spans="1:15" x14ac:dyDescent="0.25">
      <c r="A46" s="226" t="s">
        <v>701</v>
      </c>
      <c r="B46" s="221">
        <v>454</v>
      </c>
      <c r="C46" s="227" t="s">
        <v>708</v>
      </c>
      <c r="D46" s="222" t="s">
        <v>709</v>
      </c>
      <c r="E46" s="330"/>
      <c r="F46" s="326" t="str">
        <f>$J$2</f>
        <v>GRSM</v>
      </c>
      <c r="G46" s="326">
        <f t="shared" si="12"/>
        <v>0</v>
      </c>
      <c r="H46" s="224">
        <v>0</v>
      </c>
      <c r="I46" s="224">
        <f t="shared" si="8"/>
        <v>0</v>
      </c>
      <c r="J46" s="326">
        <f t="shared" si="9"/>
        <v>0</v>
      </c>
      <c r="K46" s="365" t="s">
        <v>673</v>
      </c>
      <c r="L46" s="333"/>
      <c r="M46" s="225">
        <f t="shared" ref="M46:M64" si="13">J46-L46</f>
        <v>0</v>
      </c>
      <c r="N46" s="326">
        <f t="shared" si="11"/>
        <v>0</v>
      </c>
      <c r="O46" s="228">
        <v>2</v>
      </c>
    </row>
    <row r="47" spans="1:15" x14ac:dyDescent="0.25">
      <c r="A47" s="226" t="s">
        <v>704</v>
      </c>
      <c r="B47" s="221">
        <v>454</v>
      </c>
      <c r="C47" s="227" t="s">
        <v>711</v>
      </c>
      <c r="D47" s="222" t="s">
        <v>712</v>
      </c>
      <c r="E47" s="330"/>
      <c r="F47" s="326" t="str">
        <f>$J$2</f>
        <v>GRSM</v>
      </c>
      <c r="G47" s="326">
        <f t="shared" si="12"/>
        <v>0</v>
      </c>
      <c r="H47" s="224">
        <v>0</v>
      </c>
      <c r="I47" s="224">
        <f t="shared" si="8"/>
        <v>0</v>
      </c>
      <c r="J47" s="326">
        <f t="shared" si="9"/>
        <v>0</v>
      </c>
      <c r="K47" s="365" t="s">
        <v>673</v>
      </c>
      <c r="L47" s="333"/>
      <c r="M47" s="225">
        <f t="shared" si="13"/>
        <v>0</v>
      </c>
      <c r="N47" s="326">
        <f t="shared" si="11"/>
        <v>0</v>
      </c>
      <c r="O47" s="228">
        <v>2</v>
      </c>
    </row>
    <row r="48" spans="1:15" x14ac:dyDescent="0.25">
      <c r="A48" s="226" t="s">
        <v>707</v>
      </c>
      <c r="B48" s="221">
        <v>454</v>
      </c>
      <c r="C48" s="238" t="s">
        <v>714</v>
      </c>
      <c r="D48" s="222" t="s">
        <v>715</v>
      </c>
      <c r="E48" s="330"/>
      <c r="F48" s="326" t="str">
        <f>$J$2</f>
        <v>GRSM</v>
      </c>
      <c r="G48" s="326">
        <f t="shared" si="12"/>
        <v>0</v>
      </c>
      <c r="H48" s="224">
        <v>0</v>
      </c>
      <c r="I48" s="224">
        <f t="shared" si="8"/>
        <v>0</v>
      </c>
      <c r="J48" s="326">
        <f t="shared" si="9"/>
        <v>0</v>
      </c>
      <c r="K48" s="365" t="s">
        <v>673</v>
      </c>
      <c r="L48" s="333"/>
      <c r="M48" s="225">
        <f t="shared" si="13"/>
        <v>0</v>
      </c>
      <c r="N48" s="326">
        <f t="shared" si="11"/>
        <v>0</v>
      </c>
      <c r="O48" s="223">
        <v>2</v>
      </c>
    </row>
    <row r="49" spans="1:15" x14ac:dyDescent="0.25">
      <c r="A49" s="226" t="s">
        <v>710</v>
      </c>
      <c r="B49" s="221">
        <v>454</v>
      </c>
      <c r="C49" s="222" t="s">
        <v>717</v>
      </c>
      <c r="D49" s="222" t="s">
        <v>1375</v>
      </c>
      <c r="E49" s="330"/>
      <c r="F49" s="326" t="str">
        <f>$G$2</f>
        <v>Traditional OOR</v>
      </c>
      <c r="G49" s="326">
        <f t="shared" si="12"/>
        <v>0</v>
      </c>
      <c r="H49" s="224">
        <v>0</v>
      </c>
      <c r="I49" s="224">
        <f t="shared" si="8"/>
        <v>0</v>
      </c>
      <c r="J49" s="326">
        <f t="shared" si="9"/>
        <v>0</v>
      </c>
      <c r="K49" s="326"/>
      <c r="L49" s="332"/>
      <c r="M49" s="225">
        <f t="shared" si="13"/>
        <v>0</v>
      </c>
      <c r="N49" s="326">
        <f t="shared" si="11"/>
        <v>0</v>
      </c>
      <c r="O49" s="223">
        <v>4</v>
      </c>
    </row>
    <row r="50" spans="1:15" x14ac:dyDescent="0.25">
      <c r="A50" s="226" t="s">
        <v>713</v>
      </c>
      <c r="B50" s="221">
        <v>454</v>
      </c>
      <c r="C50" s="227" t="s">
        <v>719</v>
      </c>
      <c r="D50" s="222" t="s">
        <v>720</v>
      </c>
      <c r="E50" s="330"/>
      <c r="F50" s="326" t="str">
        <f>$N$2</f>
        <v>Other Ratemaking</v>
      </c>
      <c r="G50" s="326">
        <f>I50+H50</f>
        <v>0</v>
      </c>
      <c r="H50" s="224">
        <f>E50*$D$234</f>
        <v>0</v>
      </c>
      <c r="I50" s="224">
        <v>0</v>
      </c>
      <c r="J50" s="326">
        <f t="shared" si="9"/>
        <v>0</v>
      </c>
      <c r="K50" s="326"/>
      <c r="L50" s="332"/>
      <c r="M50" s="225">
        <f t="shared" si="13"/>
        <v>0</v>
      </c>
      <c r="N50" s="326">
        <f>IF(F50=$N$2,E50-H50,0)</f>
        <v>0</v>
      </c>
      <c r="O50" s="228" t="s">
        <v>721</v>
      </c>
    </row>
    <row r="51" spans="1:15" x14ac:dyDescent="0.25">
      <c r="A51" s="226" t="s">
        <v>716</v>
      </c>
      <c r="B51" s="221">
        <v>454</v>
      </c>
      <c r="C51" s="227" t="s">
        <v>723</v>
      </c>
      <c r="D51" s="222" t="s">
        <v>724</v>
      </c>
      <c r="E51" s="330"/>
      <c r="F51" s="326" t="str">
        <f>$G$2</f>
        <v>Traditional OOR</v>
      </c>
      <c r="G51" s="326">
        <f t="shared" si="12"/>
        <v>0</v>
      </c>
      <c r="H51" s="224">
        <f>E51*$D$234</f>
        <v>0</v>
      </c>
      <c r="I51" s="224">
        <f>G51-H51</f>
        <v>0</v>
      </c>
      <c r="J51" s="326">
        <f t="shared" si="9"/>
        <v>0</v>
      </c>
      <c r="K51" s="326"/>
      <c r="L51" s="332"/>
      <c r="M51" s="225">
        <f t="shared" si="13"/>
        <v>0</v>
      </c>
      <c r="N51" s="326">
        <f t="shared" si="11"/>
        <v>0</v>
      </c>
      <c r="O51" s="228">
        <v>7</v>
      </c>
    </row>
    <row r="52" spans="1:15" x14ac:dyDescent="0.25">
      <c r="A52" s="226" t="s">
        <v>718</v>
      </c>
      <c r="B52" s="221">
        <v>454</v>
      </c>
      <c r="C52" s="222" t="s">
        <v>726</v>
      </c>
      <c r="D52" s="222" t="s">
        <v>727</v>
      </c>
      <c r="E52" s="330"/>
      <c r="F52" s="326" t="str">
        <f>$N$2</f>
        <v>Other Ratemaking</v>
      </c>
      <c r="G52" s="326">
        <f>I52+H52</f>
        <v>0</v>
      </c>
      <c r="H52" s="224">
        <f>E52*$D$234</f>
        <v>0</v>
      </c>
      <c r="I52" s="224">
        <v>0</v>
      </c>
      <c r="J52" s="326">
        <f t="shared" si="9"/>
        <v>0</v>
      </c>
      <c r="K52" s="326"/>
      <c r="L52" s="332"/>
      <c r="M52" s="224">
        <f t="shared" si="13"/>
        <v>0</v>
      </c>
      <c r="N52" s="326">
        <f>IF(F52=$N$2,E52-H52,0)</f>
        <v>0</v>
      </c>
      <c r="O52" s="223" t="s">
        <v>721</v>
      </c>
    </row>
    <row r="53" spans="1:15" x14ac:dyDescent="0.25">
      <c r="A53" s="226" t="s">
        <v>722</v>
      </c>
      <c r="B53" s="221">
        <v>454</v>
      </c>
      <c r="C53" s="227" t="s">
        <v>729</v>
      </c>
      <c r="D53" s="222" t="s">
        <v>730</v>
      </c>
      <c r="E53" s="330"/>
      <c r="F53" s="326" t="str">
        <f t="shared" ref="F53:F58" si="14">$G$2</f>
        <v>Traditional OOR</v>
      </c>
      <c r="G53" s="326">
        <f t="shared" si="12"/>
        <v>0</v>
      </c>
      <c r="H53" s="224">
        <f>E53*$D$228</f>
        <v>0</v>
      </c>
      <c r="I53" s="224">
        <f t="shared" ref="I53:I64" si="15">G53-H53</f>
        <v>0</v>
      </c>
      <c r="J53" s="326">
        <f t="shared" si="9"/>
        <v>0</v>
      </c>
      <c r="K53" s="326"/>
      <c r="L53" s="332"/>
      <c r="M53" s="225">
        <f t="shared" si="13"/>
        <v>0</v>
      </c>
      <c r="N53" s="326">
        <f t="shared" si="11"/>
        <v>0</v>
      </c>
      <c r="O53" s="228">
        <v>7</v>
      </c>
    </row>
    <row r="54" spans="1:15" x14ac:dyDescent="0.25">
      <c r="A54" s="226" t="s">
        <v>725</v>
      </c>
      <c r="B54" s="221">
        <v>454</v>
      </c>
      <c r="C54" s="227" t="s">
        <v>732</v>
      </c>
      <c r="D54" s="222" t="s">
        <v>733</v>
      </c>
      <c r="E54" s="330"/>
      <c r="F54" s="326" t="str">
        <f t="shared" si="14"/>
        <v>Traditional OOR</v>
      </c>
      <c r="G54" s="326">
        <f t="shared" si="12"/>
        <v>0</v>
      </c>
      <c r="H54" s="224">
        <v>0</v>
      </c>
      <c r="I54" s="224">
        <f t="shared" si="15"/>
        <v>0</v>
      </c>
      <c r="J54" s="326">
        <f t="shared" si="9"/>
        <v>0</v>
      </c>
      <c r="K54" s="326"/>
      <c r="L54" s="332"/>
      <c r="M54" s="225">
        <f t="shared" si="13"/>
        <v>0</v>
      </c>
      <c r="N54" s="326">
        <f t="shared" si="11"/>
        <v>0</v>
      </c>
      <c r="O54" s="228">
        <v>1</v>
      </c>
    </row>
    <row r="55" spans="1:15" x14ac:dyDescent="0.25">
      <c r="A55" s="226" t="s">
        <v>728</v>
      </c>
      <c r="B55" s="221">
        <v>454</v>
      </c>
      <c r="C55" s="227" t="s">
        <v>735</v>
      </c>
      <c r="D55" s="222" t="s">
        <v>736</v>
      </c>
      <c r="E55" s="330"/>
      <c r="F55" s="326" t="str">
        <f t="shared" si="14"/>
        <v>Traditional OOR</v>
      </c>
      <c r="G55" s="326">
        <f t="shared" si="12"/>
        <v>0</v>
      </c>
      <c r="H55" s="224">
        <v>0</v>
      </c>
      <c r="I55" s="224">
        <f t="shared" si="15"/>
        <v>0</v>
      </c>
      <c r="J55" s="326">
        <f t="shared" si="9"/>
        <v>0</v>
      </c>
      <c r="K55" s="326"/>
      <c r="L55" s="332"/>
      <c r="M55" s="225">
        <f t="shared" si="13"/>
        <v>0</v>
      </c>
      <c r="N55" s="326">
        <f t="shared" si="11"/>
        <v>0</v>
      </c>
      <c r="O55" s="228">
        <v>4</v>
      </c>
    </row>
    <row r="56" spans="1:15" x14ac:dyDescent="0.25">
      <c r="A56" s="226" t="s">
        <v>731</v>
      </c>
      <c r="B56" s="221">
        <v>454</v>
      </c>
      <c r="C56" s="227" t="s">
        <v>738</v>
      </c>
      <c r="D56" s="222" t="s">
        <v>739</v>
      </c>
      <c r="E56" s="330"/>
      <c r="F56" s="326" t="str">
        <f t="shared" si="14"/>
        <v>Traditional OOR</v>
      </c>
      <c r="G56" s="326">
        <f t="shared" si="12"/>
        <v>0</v>
      </c>
      <c r="H56" s="224">
        <v>0</v>
      </c>
      <c r="I56" s="224">
        <f>G56-H56</f>
        <v>0</v>
      </c>
      <c r="J56" s="326">
        <f t="shared" si="9"/>
        <v>0</v>
      </c>
      <c r="K56" s="326"/>
      <c r="L56" s="332"/>
      <c r="M56" s="225">
        <f t="shared" si="13"/>
        <v>0</v>
      </c>
      <c r="N56" s="326">
        <f t="shared" si="11"/>
        <v>0</v>
      </c>
      <c r="O56" s="228">
        <v>4</v>
      </c>
    </row>
    <row r="57" spans="1:15" x14ac:dyDescent="0.25">
      <c r="A57" s="226" t="s">
        <v>734</v>
      </c>
      <c r="B57" s="221">
        <v>454</v>
      </c>
      <c r="C57" s="227" t="s">
        <v>741</v>
      </c>
      <c r="D57" s="222" t="s">
        <v>742</v>
      </c>
      <c r="E57" s="330"/>
      <c r="F57" s="326" t="str">
        <f t="shared" si="14"/>
        <v>Traditional OOR</v>
      </c>
      <c r="G57" s="326">
        <f t="shared" si="12"/>
        <v>0</v>
      </c>
      <c r="H57" s="224">
        <v>0</v>
      </c>
      <c r="I57" s="224">
        <f t="shared" si="15"/>
        <v>0</v>
      </c>
      <c r="J57" s="326">
        <f t="shared" si="9"/>
        <v>0</v>
      </c>
      <c r="K57" s="326"/>
      <c r="L57" s="332"/>
      <c r="M57" s="225">
        <f t="shared" si="13"/>
        <v>0</v>
      </c>
      <c r="N57" s="326">
        <f t="shared" si="11"/>
        <v>0</v>
      </c>
      <c r="O57" s="228">
        <v>4</v>
      </c>
    </row>
    <row r="58" spans="1:15" x14ac:dyDescent="0.25">
      <c r="A58" s="226" t="s">
        <v>737</v>
      </c>
      <c r="B58" s="221">
        <v>454</v>
      </c>
      <c r="C58" s="227" t="s">
        <v>744</v>
      </c>
      <c r="D58" s="222" t="s">
        <v>745</v>
      </c>
      <c r="E58" s="330"/>
      <c r="F58" s="326" t="str">
        <f t="shared" si="14"/>
        <v>Traditional OOR</v>
      </c>
      <c r="G58" s="326">
        <f t="shared" si="12"/>
        <v>0</v>
      </c>
      <c r="H58" s="892"/>
      <c r="I58" s="224">
        <f>G58-H58</f>
        <v>0</v>
      </c>
      <c r="J58" s="326">
        <f t="shared" si="9"/>
        <v>0</v>
      </c>
      <c r="K58" s="326"/>
      <c r="L58" s="332"/>
      <c r="M58" s="225">
        <f t="shared" si="13"/>
        <v>0</v>
      </c>
      <c r="N58" s="326">
        <f t="shared" si="11"/>
        <v>0</v>
      </c>
      <c r="O58" s="228">
        <v>8</v>
      </c>
    </row>
    <row r="59" spans="1:15" x14ac:dyDescent="0.25">
      <c r="A59" s="226" t="s">
        <v>740</v>
      </c>
      <c r="B59" s="221">
        <v>454</v>
      </c>
      <c r="C59" s="222" t="s">
        <v>747</v>
      </c>
      <c r="D59" s="222" t="s">
        <v>748</v>
      </c>
      <c r="E59" s="581"/>
      <c r="F59" s="326" t="str">
        <f>$J$2</f>
        <v>GRSM</v>
      </c>
      <c r="G59" s="326">
        <f t="shared" si="12"/>
        <v>0</v>
      </c>
      <c r="H59" s="224">
        <v>0</v>
      </c>
      <c r="I59" s="224">
        <f t="shared" si="15"/>
        <v>0</v>
      </c>
      <c r="J59" s="326">
        <f t="shared" si="9"/>
        <v>0</v>
      </c>
      <c r="K59" s="365" t="s">
        <v>673</v>
      </c>
      <c r="L59" s="333"/>
      <c r="M59" s="225">
        <f t="shared" si="13"/>
        <v>0</v>
      </c>
      <c r="N59" s="326">
        <f t="shared" si="11"/>
        <v>0</v>
      </c>
      <c r="O59" s="223">
        <v>2</v>
      </c>
    </row>
    <row r="60" spans="1:15" x14ac:dyDescent="0.25">
      <c r="A60" s="226" t="s">
        <v>743</v>
      </c>
      <c r="B60" s="221">
        <v>454</v>
      </c>
      <c r="C60" s="227" t="s">
        <v>749</v>
      </c>
      <c r="D60" s="222" t="s">
        <v>750</v>
      </c>
      <c r="E60" s="330"/>
      <c r="F60" s="326" t="str">
        <f>$G$2</f>
        <v>Traditional OOR</v>
      </c>
      <c r="G60" s="326">
        <f t="shared" si="12"/>
        <v>0</v>
      </c>
      <c r="H60" s="224">
        <v>0</v>
      </c>
      <c r="I60" s="224">
        <f t="shared" si="15"/>
        <v>0</v>
      </c>
      <c r="J60" s="326">
        <f t="shared" si="9"/>
        <v>0</v>
      </c>
      <c r="K60" s="326"/>
      <c r="L60" s="332"/>
      <c r="M60" s="225">
        <f t="shared" si="13"/>
        <v>0</v>
      </c>
      <c r="N60" s="326">
        <f t="shared" si="11"/>
        <v>0</v>
      </c>
      <c r="O60" s="223">
        <v>4</v>
      </c>
    </row>
    <row r="61" spans="1:15" x14ac:dyDescent="0.25">
      <c r="A61" s="226" t="s">
        <v>746</v>
      </c>
      <c r="B61" s="221">
        <v>454</v>
      </c>
      <c r="C61" s="220" t="s">
        <v>1568</v>
      </c>
      <c r="D61" s="222" t="s">
        <v>1567</v>
      </c>
      <c r="E61" s="330"/>
      <c r="F61" s="326" t="str">
        <f>$G$2</f>
        <v>Traditional OOR</v>
      </c>
      <c r="G61" s="326">
        <f t="shared" si="12"/>
        <v>0</v>
      </c>
      <c r="H61" s="224">
        <v>0</v>
      </c>
      <c r="I61" s="224">
        <f t="shared" si="15"/>
        <v>0</v>
      </c>
      <c r="J61" s="326">
        <f t="shared" si="9"/>
        <v>0</v>
      </c>
      <c r="K61" s="326"/>
      <c r="L61" s="332"/>
      <c r="M61" s="225">
        <f t="shared" si="13"/>
        <v>0</v>
      </c>
      <c r="N61" s="326">
        <f t="shared" si="11"/>
        <v>0</v>
      </c>
      <c r="O61" s="223">
        <v>1</v>
      </c>
    </row>
    <row r="62" spans="1:15" x14ac:dyDescent="0.25">
      <c r="A62" s="220" t="s">
        <v>2594</v>
      </c>
      <c r="B62" s="221">
        <v>454</v>
      </c>
      <c r="C62" s="221">
        <v>4206515</v>
      </c>
      <c r="D62" s="239" t="s">
        <v>2595</v>
      </c>
      <c r="E62" s="330"/>
      <c r="F62" s="326" t="s">
        <v>630</v>
      </c>
      <c r="G62" s="326">
        <f t="shared" si="12"/>
        <v>0</v>
      </c>
      <c r="H62" s="224">
        <v>0</v>
      </c>
      <c r="I62" s="1217">
        <f t="shared" si="15"/>
        <v>0</v>
      </c>
      <c r="J62" s="1218">
        <f t="shared" si="9"/>
        <v>0</v>
      </c>
      <c r="K62" s="1218" t="s">
        <v>673</v>
      </c>
      <c r="L62" s="332"/>
      <c r="M62" s="224">
        <f t="shared" si="13"/>
        <v>0</v>
      </c>
      <c r="N62" s="326">
        <f t="shared" si="11"/>
        <v>0</v>
      </c>
      <c r="O62" s="223">
        <v>2</v>
      </c>
    </row>
    <row r="63" spans="1:15" x14ac:dyDescent="0.25">
      <c r="A63" s="220" t="s">
        <v>2596</v>
      </c>
      <c r="B63" s="221">
        <v>454</v>
      </c>
      <c r="C63" s="221">
        <v>4184122</v>
      </c>
      <c r="D63" s="239" t="s">
        <v>2597</v>
      </c>
      <c r="E63" s="330"/>
      <c r="F63" s="326" t="s">
        <v>629</v>
      </c>
      <c r="G63" s="326">
        <f t="shared" si="12"/>
        <v>0</v>
      </c>
      <c r="H63" s="224">
        <v>0</v>
      </c>
      <c r="I63" s="1217">
        <f t="shared" si="15"/>
        <v>0</v>
      </c>
      <c r="J63" s="1218">
        <f t="shared" si="9"/>
        <v>0</v>
      </c>
      <c r="K63" s="326"/>
      <c r="L63" s="332"/>
      <c r="M63" s="224">
        <f t="shared" si="13"/>
        <v>0</v>
      </c>
      <c r="N63" s="326">
        <f t="shared" si="11"/>
        <v>0</v>
      </c>
      <c r="O63" s="223">
        <v>4</v>
      </c>
    </row>
    <row r="64" spans="1:15" x14ac:dyDescent="0.25">
      <c r="A64" s="220" t="s">
        <v>2598</v>
      </c>
      <c r="B64" s="221">
        <v>454</v>
      </c>
      <c r="C64" s="221">
        <v>4184124</v>
      </c>
      <c r="D64" s="239" t="s">
        <v>2599</v>
      </c>
      <c r="E64" s="330"/>
      <c r="F64" s="326" t="s">
        <v>629</v>
      </c>
      <c r="G64" s="326">
        <f t="shared" si="12"/>
        <v>0</v>
      </c>
      <c r="H64" s="224">
        <v>0</v>
      </c>
      <c r="I64" s="1217">
        <f t="shared" si="15"/>
        <v>0</v>
      </c>
      <c r="J64" s="1218">
        <f t="shared" si="9"/>
        <v>0</v>
      </c>
      <c r="K64" s="326"/>
      <c r="L64" s="332"/>
      <c r="M64" s="224">
        <f t="shared" si="13"/>
        <v>0</v>
      </c>
      <c r="N64" s="326">
        <f t="shared" si="11"/>
        <v>0</v>
      </c>
      <c r="O64" s="223">
        <v>4</v>
      </c>
    </row>
    <row r="65" spans="1:15" x14ac:dyDescent="0.25">
      <c r="A65" s="220"/>
      <c r="B65" s="221"/>
      <c r="C65" s="222"/>
      <c r="D65" s="239"/>
      <c r="E65" s="330"/>
      <c r="F65" s="330"/>
      <c r="G65" s="334"/>
      <c r="H65" s="332"/>
      <c r="I65" s="332"/>
      <c r="J65" s="330"/>
      <c r="K65" s="330"/>
      <c r="L65" s="332"/>
      <c r="M65" s="332"/>
      <c r="N65" s="330"/>
      <c r="O65" s="331"/>
    </row>
    <row r="66" spans="1:15" x14ac:dyDescent="0.25">
      <c r="A66" s="360"/>
      <c r="B66" s="356"/>
      <c r="C66" s="355"/>
      <c r="D66" s="357"/>
      <c r="E66" s="330"/>
      <c r="F66" s="330"/>
      <c r="G66" s="334"/>
      <c r="H66" s="332"/>
      <c r="I66" s="332"/>
      <c r="J66" s="330"/>
      <c r="K66" s="330"/>
      <c r="L66" s="332"/>
      <c r="M66" s="332"/>
      <c r="N66" s="330"/>
      <c r="O66" s="331"/>
    </row>
    <row r="67" spans="1:15" x14ac:dyDescent="0.25">
      <c r="A67" s="226">
        <v>11</v>
      </c>
      <c r="B67" s="1311" t="s">
        <v>751</v>
      </c>
      <c r="C67" s="1312"/>
      <c r="D67" s="1313"/>
      <c r="E67" s="323">
        <f>SUM(E39:E66)</f>
        <v>0</v>
      </c>
      <c r="F67" s="348"/>
      <c r="G67" s="323">
        <f>SUM(G39:G66)</f>
        <v>0</v>
      </c>
      <c r="H67" s="339">
        <f>SUM(H39:H66)</f>
        <v>0</v>
      </c>
      <c r="I67" s="339">
        <f>SUM(I39:I66)</f>
        <v>0</v>
      </c>
      <c r="J67" s="323">
        <f>SUM(J39:J66)</f>
        <v>0</v>
      </c>
      <c r="K67" s="348"/>
      <c r="L67" s="323">
        <f>SUM(L39:L66)</f>
        <v>0</v>
      </c>
      <c r="M67" s="323">
        <f>SUM(M39:M66)</f>
        <v>0</v>
      </c>
      <c r="N67" s="323">
        <f>SUM(N39:N66)</f>
        <v>0</v>
      </c>
      <c r="O67" s="213"/>
    </row>
    <row r="68" spans="1:15" ht="24.75" customHeight="1" x14ac:dyDescent="0.25">
      <c r="A68" s="226">
        <v>12</v>
      </c>
      <c r="B68" s="1333" t="s">
        <v>1380</v>
      </c>
      <c r="C68" s="1334"/>
      <c r="D68" s="1335"/>
      <c r="E68" s="336"/>
      <c r="F68" s="338"/>
      <c r="G68" s="354"/>
      <c r="H68" s="338"/>
      <c r="I68" s="338"/>
      <c r="J68" s="324"/>
      <c r="K68" s="338"/>
      <c r="L68" s="324"/>
      <c r="M68" s="324"/>
      <c r="N68" s="324"/>
      <c r="O68" s="212"/>
    </row>
    <row r="69" spans="1:15" x14ac:dyDescent="0.25">
      <c r="A69" s="229"/>
      <c r="B69" s="230"/>
      <c r="C69" s="231"/>
      <c r="D69" s="232"/>
      <c r="E69" s="324"/>
      <c r="F69" s="324"/>
      <c r="G69" s="324"/>
      <c r="H69" s="338"/>
      <c r="I69" s="338"/>
      <c r="J69" s="324"/>
      <c r="K69" s="338"/>
      <c r="L69" s="324"/>
      <c r="M69" s="324"/>
      <c r="N69" s="324"/>
      <c r="O69" s="212"/>
    </row>
    <row r="70" spans="1:15" x14ac:dyDescent="0.25">
      <c r="A70" s="226" t="s">
        <v>752</v>
      </c>
      <c r="B70" s="221">
        <v>456</v>
      </c>
      <c r="C70" s="227" t="s">
        <v>756</v>
      </c>
      <c r="D70" s="222" t="s">
        <v>757</v>
      </c>
      <c r="E70" s="330"/>
      <c r="F70" s="326" t="str">
        <f t="shared" ref="F70:F78" si="16">$G$2</f>
        <v>Traditional OOR</v>
      </c>
      <c r="G70" s="326">
        <f t="shared" ref="G70:G125" si="17">IF(F70=$G$2,E70,0)</f>
        <v>0</v>
      </c>
      <c r="H70" s="224">
        <v>0</v>
      </c>
      <c r="I70" s="224">
        <f t="shared" ref="I70:I125" si="18">G70-H70</f>
        <v>0</v>
      </c>
      <c r="J70" s="326">
        <f t="shared" ref="J70:J125" si="19">IF(F70=$J$2,E70,0)</f>
        <v>0</v>
      </c>
      <c r="K70" s="326"/>
      <c r="L70" s="332"/>
      <c r="M70" s="225">
        <f>J70-L70</f>
        <v>0</v>
      </c>
      <c r="N70" s="326">
        <f t="shared" ref="N70:N125" si="20">IF(F70=$N$2,E70,0)</f>
        <v>0</v>
      </c>
      <c r="O70" s="228">
        <v>1</v>
      </c>
    </row>
    <row r="71" spans="1:15" x14ac:dyDescent="0.25">
      <c r="A71" s="226" t="s">
        <v>753</v>
      </c>
      <c r="B71" s="221">
        <v>456</v>
      </c>
      <c r="C71" s="227" t="s">
        <v>758</v>
      </c>
      <c r="D71" s="222" t="s">
        <v>759</v>
      </c>
      <c r="E71" s="330"/>
      <c r="F71" s="326" t="str">
        <f t="shared" si="16"/>
        <v>Traditional OOR</v>
      </c>
      <c r="G71" s="326">
        <f t="shared" si="17"/>
        <v>0</v>
      </c>
      <c r="H71" s="224">
        <v>0</v>
      </c>
      <c r="I71" s="224">
        <f t="shared" si="18"/>
        <v>0</v>
      </c>
      <c r="J71" s="326">
        <f t="shared" si="19"/>
        <v>0</v>
      </c>
      <c r="K71" s="326"/>
      <c r="L71" s="332"/>
      <c r="M71" s="225">
        <f t="shared" ref="M71:M121" si="21">J71-L71</f>
        <v>0</v>
      </c>
      <c r="N71" s="326">
        <f t="shared" si="20"/>
        <v>0</v>
      </c>
      <c r="O71" s="228">
        <v>4</v>
      </c>
    </row>
    <row r="72" spans="1:15" x14ac:dyDescent="0.25">
      <c r="A72" s="226" t="s">
        <v>754</v>
      </c>
      <c r="B72" s="221">
        <v>456</v>
      </c>
      <c r="C72" s="227" t="s">
        <v>760</v>
      </c>
      <c r="D72" s="222" t="s">
        <v>761</v>
      </c>
      <c r="E72" s="330"/>
      <c r="F72" s="326" t="str">
        <f t="shared" si="16"/>
        <v>Traditional OOR</v>
      </c>
      <c r="G72" s="326">
        <f t="shared" si="17"/>
        <v>0</v>
      </c>
      <c r="H72" s="224">
        <v>0</v>
      </c>
      <c r="I72" s="224">
        <f t="shared" si="18"/>
        <v>0</v>
      </c>
      <c r="J72" s="326">
        <f t="shared" si="19"/>
        <v>0</v>
      </c>
      <c r="K72" s="326"/>
      <c r="L72" s="332"/>
      <c r="M72" s="225">
        <f t="shared" si="21"/>
        <v>0</v>
      </c>
      <c r="N72" s="326">
        <f t="shared" si="20"/>
        <v>0</v>
      </c>
      <c r="O72" s="228">
        <v>4</v>
      </c>
    </row>
    <row r="73" spans="1:15" x14ac:dyDescent="0.25">
      <c r="A73" s="226" t="s">
        <v>755</v>
      </c>
      <c r="B73" s="221">
        <v>456</v>
      </c>
      <c r="C73" s="227" t="s">
        <v>763</v>
      </c>
      <c r="D73" s="222" t="s">
        <v>764</v>
      </c>
      <c r="E73" s="330"/>
      <c r="F73" s="326" t="str">
        <f t="shared" si="16"/>
        <v>Traditional OOR</v>
      </c>
      <c r="G73" s="326">
        <f t="shared" si="17"/>
        <v>0</v>
      </c>
      <c r="H73" s="224">
        <v>0</v>
      </c>
      <c r="I73" s="224">
        <f t="shared" si="18"/>
        <v>0</v>
      </c>
      <c r="J73" s="326">
        <f t="shared" si="19"/>
        <v>0</v>
      </c>
      <c r="K73" s="326"/>
      <c r="L73" s="332"/>
      <c r="M73" s="225">
        <f t="shared" si="21"/>
        <v>0</v>
      </c>
      <c r="N73" s="326">
        <f t="shared" si="20"/>
        <v>0</v>
      </c>
      <c r="O73" s="228">
        <v>3</v>
      </c>
    </row>
    <row r="74" spans="1:15" x14ac:dyDescent="0.25">
      <c r="A74" s="220" t="s">
        <v>762</v>
      </c>
      <c r="B74" s="221">
        <v>456</v>
      </c>
      <c r="C74" s="222" t="s">
        <v>766</v>
      </c>
      <c r="D74" s="222" t="s">
        <v>767</v>
      </c>
      <c r="E74" s="330"/>
      <c r="F74" s="326" t="str">
        <f t="shared" si="16"/>
        <v>Traditional OOR</v>
      </c>
      <c r="G74" s="326">
        <f t="shared" si="17"/>
        <v>0</v>
      </c>
      <c r="H74" s="224">
        <v>0</v>
      </c>
      <c r="I74" s="224">
        <f t="shared" si="18"/>
        <v>0</v>
      </c>
      <c r="J74" s="326">
        <f t="shared" si="19"/>
        <v>0</v>
      </c>
      <c r="K74" s="326"/>
      <c r="L74" s="332"/>
      <c r="M74" s="225">
        <f t="shared" si="21"/>
        <v>0</v>
      </c>
      <c r="N74" s="326">
        <f t="shared" si="20"/>
        <v>0</v>
      </c>
      <c r="O74" s="228">
        <v>1</v>
      </c>
    </row>
    <row r="75" spans="1:15" x14ac:dyDescent="0.25">
      <c r="A75" s="220" t="s">
        <v>765</v>
      </c>
      <c r="B75" s="221">
        <v>456</v>
      </c>
      <c r="C75" s="222" t="s">
        <v>769</v>
      </c>
      <c r="D75" s="222" t="s">
        <v>770</v>
      </c>
      <c r="E75" s="330"/>
      <c r="F75" s="326" t="str">
        <f t="shared" si="16"/>
        <v>Traditional OOR</v>
      </c>
      <c r="G75" s="326">
        <f t="shared" si="17"/>
        <v>0</v>
      </c>
      <c r="H75" s="224">
        <v>0</v>
      </c>
      <c r="I75" s="224">
        <f t="shared" si="18"/>
        <v>0</v>
      </c>
      <c r="J75" s="326">
        <f t="shared" si="19"/>
        <v>0</v>
      </c>
      <c r="K75" s="326"/>
      <c r="L75" s="332"/>
      <c r="M75" s="225">
        <f t="shared" si="21"/>
        <v>0</v>
      </c>
      <c r="N75" s="326">
        <f t="shared" si="20"/>
        <v>0</v>
      </c>
      <c r="O75" s="228">
        <v>1</v>
      </c>
    </row>
    <row r="76" spans="1:15" x14ac:dyDescent="0.25">
      <c r="A76" s="220" t="s">
        <v>768</v>
      </c>
      <c r="B76" s="221">
        <v>456</v>
      </c>
      <c r="C76" s="222" t="s">
        <v>772</v>
      </c>
      <c r="D76" s="222" t="s">
        <v>773</v>
      </c>
      <c r="E76" s="330"/>
      <c r="F76" s="326" t="str">
        <f t="shared" si="16"/>
        <v>Traditional OOR</v>
      </c>
      <c r="G76" s="326">
        <f t="shared" si="17"/>
        <v>0</v>
      </c>
      <c r="H76" s="224">
        <v>0</v>
      </c>
      <c r="I76" s="224">
        <f t="shared" si="18"/>
        <v>0</v>
      </c>
      <c r="J76" s="326">
        <f t="shared" si="19"/>
        <v>0</v>
      </c>
      <c r="K76" s="326"/>
      <c r="L76" s="332"/>
      <c r="M76" s="225">
        <f t="shared" si="21"/>
        <v>0</v>
      </c>
      <c r="N76" s="326">
        <f t="shared" si="20"/>
        <v>0</v>
      </c>
      <c r="O76" s="228">
        <v>3</v>
      </c>
    </row>
    <row r="77" spans="1:15" x14ac:dyDescent="0.25">
      <c r="A77" s="220" t="s">
        <v>771</v>
      </c>
      <c r="B77" s="221">
        <v>456</v>
      </c>
      <c r="C77" s="221">
        <v>4186142</v>
      </c>
      <c r="D77" s="222" t="s">
        <v>1566</v>
      </c>
      <c r="E77" s="330"/>
      <c r="F77" s="326" t="str">
        <f t="shared" si="16"/>
        <v>Traditional OOR</v>
      </c>
      <c r="G77" s="326">
        <f>IF(F77=$G$2,E77,0)</f>
        <v>0</v>
      </c>
      <c r="H77" s="224">
        <v>0</v>
      </c>
      <c r="I77" s="224">
        <f>G77-H77</f>
        <v>0</v>
      </c>
      <c r="J77" s="326">
        <f t="shared" si="19"/>
        <v>0</v>
      </c>
      <c r="K77" s="326"/>
      <c r="L77" s="332"/>
      <c r="M77" s="225">
        <f t="shared" si="21"/>
        <v>0</v>
      </c>
      <c r="N77" s="326">
        <f t="shared" si="20"/>
        <v>0</v>
      </c>
      <c r="O77" s="228">
        <v>4</v>
      </c>
    </row>
    <row r="78" spans="1:15" x14ac:dyDescent="0.25">
      <c r="A78" s="220" t="s">
        <v>774</v>
      </c>
      <c r="B78" s="221">
        <v>456</v>
      </c>
      <c r="C78" s="222" t="s">
        <v>775</v>
      </c>
      <c r="D78" s="222" t="s">
        <v>776</v>
      </c>
      <c r="E78" s="330"/>
      <c r="F78" s="326" t="str">
        <f t="shared" si="16"/>
        <v>Traditional OOR</v>
      </c>
      <c r="G78" s="326">
        <f t="shared" si="17"/>
        <v>0</v>
      </c>
      <c r="H78" s="224">
        <f>E78*$D$228</f>
        <v>0</v>
      </c>
      <c r="I78" s="224">
        <f t="shared" si="18"/>
        <v>0</v>
      </c>
      <c r="J78" s="326">
        <f t="shared" si="19"/>
        <v>0</v>
      </c>
      <c r="K78" s="326"/>
      <c r="L78" s="332"/>
      <c r="M78" s="225">
        <f t="shared" si="21"/>
        <v>0</v>
      </c>
      <c r="N78" s="326">
        <f t="shared" si="20"/>
        <v>0</v>
      </c>
      <c r="O78" s="228">
        <v>7</v>
      </c>
    </row>
    <row r="79" spans="1:15" x14ac:dyDescent="0.25">
      <c r="A79" s="220" t="s">
        <v>777</v>
      </c>
      <c r="B79" s="221">
        <v>456</v>
      </c>
      <c r="C79" s="222" t="s">
        <v>778</v>
      </c>
      <c r="D79" s="222" t="s">
        <v>779</v>
      </c>
      <c r="E79" s="330"/>
      <c r="F79" s="326" t="str">
        <f>$N$2</f>
        <v>Other Ratemaking</v>
      </c>
      <c r="G79" s="326">
        <f>I79+H79</f>
        <v>0</v>
      </c>
      <c r="H79" s="224">
        <f>E79*$D$234</f>
        <v>0</v>
      </c>
      <c r="I79" s="224">
        <v>0</v>
      </c>
      <c r="J79" s="326">
        <f t="shared" si="19"/>
        <v>0</v>
      </c>
      <c r="K79" s="326"/>
      <c r="L79" s="332"/>
      <c r="M79" s="225">
        <f t="shared" si="21"/>
        <v>0</v>
      </c>
      <c r="N79" s="326">
        <f>IF(F79=$N$2,E79-H79,0)</f>
        <v>0</v>
      </c>
      <c r="O79" s="228" t="s">
        <v>721</v>
      </c>
    </row>
    <row r="80" spans="1:15" x14ac:dyDescent="0.25">
      <c r="A80" s="220" t="s">
        <v>780</v>
      </c>
      <c r="B80" s="221">
        <v>456</v>
      </c>
      <c r="C80" s="222" t="s">
        <v>781</v>
      </c>
      <c r="D80" s="222" t="s">
        <v>782</v>
      </c>
      <c r="E80" s="330"/>
      <c r="F80" s="326" t="str">
        <f t="shared" ref="F80:F85" si="22">$G$2</f>
        <v>Traditional OOR</v>
      </c>
      <c r="G80" s="326">
        <f t="shared" si="17"/>
        <v>0</v>
      </c>
      <c r="H80" s="224">
        <v>0</v>
      </c>
      <c r="I80" s="224">
        <f t="shared" si="18"/>
        <v>0</v>
      </c>
      <c r="J80" s="326">
        <f t="shared" si="19"/>
        <v>0</v>
      </c>
      <c r="K80" s="326"/>
      <c r="L80" s="332"/>
      <c r="M80" s="225">
        <f t="shared" si="21"/>
        <v>0</v>
      </c>
      <c r="N80" s="326">
        <f t="shared" si="20"/>
        <v>0</v>
      </c>
      <c r="O80" s="228">
        <v>4</v>
      </c>
    </row>
    <row r="81" spans="1:15" x14ac:dyDescent="0.25">
      <c r="A81" s="220" t="s">
        <v>783</v>
      </c>
      <c r="B81" s="221">
        <v>456</v>
      </c>
      <c r="C81" s="222" t="s">
        <v>784</v>
      </c>
      <c r="D81" s="222" t="s">
        <v>785</v>
      </c>
      <c r="E81" s="330"/>
      <c r="F81" s="326" t="str">
        <f t="shared" si="22"/>
        <v>Traditional OOR</v>
      </c>
      <c r="G81" s="326">
        <f t="shared" si="17"/>
        <v>0</v>
      </c>
      <c r="H81" s="224">
        <v>0</v>
      </c>
      <c r="I81" s="224">
        <f t="shared" si="18"/>
        <v>0</v>
      </c>
      <c r="J81" s="326">
        <f t="shared" si="19"/>
        <v>0</v>
      </c>
      <c r="K81" s="326"/>
      <c r="L81" s="332"/>
      <c r="M81" s="225">
        <f t="shared" si="21"/>
        <v>0</v>
      </c>
      <c r="N81" s="326">
        <f t="shared" si="20"/>
        <v>0</v>
      </c>
      <c r="O81" s="228">
        <v>4</v>
      </c>
    </row>
    <row r="82" spans="1:15" x14ac:dyDescent="0.25">
      <c r="A82" s="220" t="s">
        <v>786</v>
      </c>
      <c r="B82" s="221">
        <v>456</v>
      </c>
      <c r="C82" s="222" t="s">
        <v>787</v>
      </c>
      <c r="D82" s="222" t="s">
        <v>788</v>
      </c>
      <c r="E82" s="330"/>
      <c r="F82" s="326" t="str">
        <f t="shared" si="22"/>
        <v>Traditional OOR</v>
      </c>
      <c r="G82" s="326">
        <f t="shared" si="17"/>
        <v>0</v>
      </c>
      <c r="H82" s="224">
        <v>0</v>
      </c>
      <c r="I82" s="224">
        <f t="shared" si="18"/>
        <v>0</v>
      </c>
      <c r="J82" s="326">
        <f t="shared" si="19"/>
        <v>0</v>
      </c>
      <c r="K82" s="326"/>
      <c r="L82" s="332"/>
      <c r="M82" s="225">
        <f t="shared" si="21"/>
        <v>0</v>
      </c>
      <c r="N82" s="326">
        <f t="shared" si="20"/>
        <v>0</v>
      </c>
      <c r="O82" s="228">
        <v>4</v>
      </c>
    </row>
    <row r="83" spans="1:15" x14ac:dyDescent="0.25">
      <c r="A83" s="220" t="s">
        <v>789</v>
      </c>
      <c r="B83" s="221">
        <v>456</v>
      </c>
      <c r="C83" s="222" t="s">
        <v>790</v>
      </c>
      <c r="D83" s="222" t="s">
        <v>791</v>
      </c>
      <c r="E83" s="330"/>
      <c r="F83" s="326" t="str">
        <f t="shared" si="22"/>
        <v>Traditional OOR</v>
      </c>
      <c r="G83" s="326">
        <f t="shared" si="17"/>
        <v>0</v>
      </c>
      <c r="H83" s="224">
        <v>0</v>
      </c>
      <c r="I83" s="224">
        <f t="shared" si="18"/>
        <v>0</v>
      </c>
      <c r="J83" s="326">
        <f t="shared" si="19"/>
        <v>0</v>
      </c>
      <c r="K83" s="326"/>
      <c r="L83" s="332"/>
      <c r="M83" s="225">
        <f t="shared" si="21"/>
        <v>0</v>
      </c>
      <c r="N83" s="326">
        <f t="shared" si="20"/>
        <v>0</v>
      </c>
      <c r="O83" s="228">
        <v>4</v>
      </c>
    </row>
    <row r="84" spans="1:15" x14ac:dyDescent="0.25">
      <c r="A84" s="220" t="s">
        <v>792</v>
      </c>
      <c r="B84" s="221">
        <v>456</v>
      </c>
      <c r="C84" s="222" t="s">
        <v>793</v>
      </c>
      <c r="D84" s="222" t="s">
        <v>794</v>
      </c>
      <c r="E84" s="330"/>
      <c r="F84" s="326" t="str">
        <f t="shared" si="22"/>
        <v>Traditional OOR</v>
      </c>
      <c r="G84" s="326">
        <f t="shared" si="17"/>
        <v>0</v>
      </c>
      <c r="H84" s="224">
        <v>0</v>
      </c>
      <c r="I84" s="224">
        <f t="shared" si="18"/>
        <v>0</v>
      </c>
      <c r="J84" s="326">
        <f t="shared" si="19"/>
        <v>0</v>
      </c>
      <c r="K84" s="326"/>
      <c r="L84" s="332"/>
      <c r="M84" s="225">
        <f t="shared" si="21"/>
        <v>0</v>
      </c>
      <c r="N84" s="326">
        <f t="shared" si="20"/>
        <v>0</v>
      </c>
      <c r="O84" s="228">
        <v>4</v>
      </c>
    </row>
    <row r="85" spans="1:15" x14ac:dyDescent="0.25">
      <c r="A85" s="220" t="s">
        <v>795</v>
      </c>
      <c r="B85" s="221">
        <v>456</v>
      </c>
      <c r="C85" s="222" t="s">
        <v>796</v>
      </c>
      <c r="D85" s="222" t="s">
        <v>797</v>
      </c>
      <c r="E85" s="330"/>
      <c r="F85" s="326" t="str">
        <f t="shared" si="22"/>
        <v>Traditional OOR</v>
      </c>
      <c r="G85" s="326">
        <f t="shared" si="17"/>
        <v>0</v>
      </c>
      <c r="H85" s="224">
        <v>0</v>
      </c>
      <c r="I85" s="224">
        <f t="shared" si="18"/>
        <v>0</v>
      </c>
      <c r="J85" s="326">
        <f t="shared" si="19"/>
        <v>0</v>
      </c>
      <c r="K85" s="326"/>
      <c r="L85" s="332"/>
      <c r="M85" s="225">
        <f t="shared" si="21"/>
        <v>0</v>
      </c>
      <c r="N85" s="326">
        <f t="shared" si="20"/>
        <v>0</v>
      </c>
      <c r="O85" s="228">
        <v>4</v>
      </c>
    </row>
    <row r="86" spans="1:15" x14ac:dyDescent="0.25">
      <c r="A86" s="220" t="s">
        <v>798</v>
      </c>
      <c r="B86" s="221">
        <v>456</v>
      </c>
      <c r="C86" s="222" t="s">
        <v>799</v>
      </c>
      <c r="D86" s="222" t="s">
        <v>800</v>
      </c>
      <c r="E86" s="330"/>
      <c r="F86" s="326" t="str">
        <f t="shared" ref="F86:F99" si="23">$J$2</f>
        <v>GRSM</v>
      </c>
      <c r="G86" s="326">
        <f t="shared" si="17"/>
        <v>0</v>
      </c>
      <c r="H86" s="224">
        <v>0</v>
      </c>
      <c r="I86" s="224">
        <f t="shared" si="18"/>
        <v>0</v>
      </c>
      <c r="J86" s="326">
        <f t="shared" si="19"/>
        <v>0</v>
      </c>
      <c r="K86" s="365" t="s">
        <v>673</v>
      </c>
      <c r="L86" s="333"/>
      <c r="M86" s="225">
        <f t="shared" si="21"/>
        <v>0</v>
      </c>
      <c r="N86" s="326">
        <f t="shared" si="20"/>
        <v>0</v>
      </c>
      <c r="O86" s="228">
        <v>2</v>
      </c>
    </row>
    <row r="87" spans="1:15" x14ac:dyDescent="0.25">
      <c r="A87" s="220" t="s">
        <v>801</v>
      </c>
      <c r="B87" s="221">
        <v>456</v>
      </c>
      <c r="C87" s="222" t="s">
        <v>802</v>
      </c>
      <c r="D87" s="222" t="s">
        <v>803</v>
      </c>
      <c r="E87" s="330"/>
      <c r="F87" s="326" t="str">
        <f t="shared" si="23"/>
        <v>GRSM</v>
      </c>
      <c r="G87" s="326">
        <f t="shared" si="17"/>
        <v>0</v>
      </c>
      <c r="H87" s="224">
        <v>0</v>
      </c>
      <c r="I87" s="224">
        <f t="shared" si="18"/>
        <v>0</v>
      </c>
      <c r="J87" s="326">
        <f t="shared" si="19"/>
        <v>0</v>
      </c>
      <c r="K87" s="365" t="s">
        <v>673</v>
      </c>
      <c r="L87" s="333"/>
      <c r="M87" s="225">
        <f t="shared" si="21"/>
        <v>0</v>
      </c>
      <c r="N87" s="326">
        <f t="shared" si="20"/>
        <v>0</v>
      </c>
      <c r="O87" s="228">
        <v>2</v>
      </c>
    </row>
    <row r="88" spans="1:15" x14ac:dyDescent="0.25">
      <c r="A88" s="220" t="s">
        <v>804</v>
      </c>
      <c r="B88" s="221">
        <v>456</v>
      </c>
      <c r="C88" s="222" t="s">
        <v>805</v>
      </c>
      <c r="D88" s="222" t="s">
        <v>806</v>
      </c>
      <c r="E88" s="330"/>
      <c r="F88" s="326" t="str">
        <f t="shared" si="23"/>
        <v>GRSM</v>
      </c>
      <c r="G88" s="326">
        <f t="shared" si="17"/>
        <v>0</v>
      </c>
      <c r="H88" s="224">
        <v>0</v>
      </c>
      <c r="I88" s="224">
        <f t="shared" si="18"/>
        <v>0</v>
      </c>
      <c r="J88" s="326">
        <f t="shared" si="19"/>
        <v>0</v>
      </c>
      <c r="K88" s="365" t="s">
        <v>673</v>
      </c>
      <c r="L88" s="332"/>
      <c r="M88" s="225">
        <f t="shared" si="21"/>
        <v>0</v>
      </c>
      <c r="N88" s="326">
        <f t="shared" si="20"/>
        <v>0</v>
      </c>
      <c r="O88" s="228">
        <v>2</v>
      </c>
    </row>
    <row r="89" spans="1:15" x14ac:dyDescent="0.25">
      <c r="A89" s="220" t="s">
        <v>807</v>
      </c>
      <c r="B89" s="221">
        <v>456</v>
      </c>
      <c r="C89" s="222" t="s">
        <v>808</v>
      </c>
      <c r="D89" s="222" t="s">
        <v>809</v>
      </c>
      <c r="E89" s="330"/>
      <c r="F89" s="326" t="str">
        <f t="shared" si="23"/>
        <v>GRSM</v>
      </c>
      <c r="G89" s="326">
        <f t="shared" si="17"/>
        <v>0</v>
      </c>
      <c r="H89" s="224">
        <v>0</v>
      </c>
      <c r="I89" s="224">
        <f t="shared" si="18"/>
        <v>0</v>
      </c>
      <c r="J89" s="326">
        <f t="shared" si="19"/>
        <v>0</v>
      </c>
      <c r="K89" s="365" t="s">
        <v>673</v>
      </c>
      <c r="L89" s="332"/>
      <c r="M89" s="225">
        <f t="shared" si="21"/>
        <v>0</v>
      </c>
      <c r="N89" s="326">
        <f t="shared" si="20"/>
        <v>0</v>
      </c>
      <c r="O89" s="223">
        <v>2</v>
      </c>
    </row>
    <row r="90" spans="1:15" x14ac:dyDescent="0.25">
      <c r="A90" s="220" t="s">
        <v>810</v>
      </c>
      <c r="B90" s="221">
        <v>456</v>
      </c>
      <c r="C90" s="222" t="s">
        <v>811</v>
      </c>
      <c r="D90" s="222" t="s">
        <v>812</v>
      </c>
      <c r="E90" s="330"/>
      <c r="F90" s="326" t="str">
        <f t="shared" si="23"/>
        <v>GRSM</v>
      </c>
      <c r="G90" s="326">
        <f t="shared" si="17"/>
        <v>0</v>
      </c>
      <c r="H90" s="224">
        <v>0</v>
      </c>
      <c r="I90" s="224">
        <f t="shared" si="18"/>
        <v>0</v>
      </c>
      <c r="J90" s="326">
        <f t="shared" si="19"/>
        <v>0</v>
      </c>
      <c r="K90" s="365" t="s">
        <v>673</v>
      </c>
      <c r="L90" s="332"/>
      <c r="M90" s="225">
        <f t="shared" si="21"/>
        <v>0</v>
      </c>
      <c r="N90" s="326">
        <f t="shared" si="20"/>
        <v>0</v>
      </c>
      <c r="O90" s="228">
        <v>2</v>
      </c>
    </row>
    <row r="91" spans="1:15" x14ac:dyDescent="0.25">
      <c r="A91" s="220" t="s">
        <v>813</v>
      </c>
      <c r="B91" s="221">
        <v>456</v>
      </c>
      <c r="C91" s="222" t="s">
        <v>814</v>
      </c>
      <c r="D91" s="222" t="s">
        <v>815</v>
      </c>
      <c r="E91" s="330"/>
      <c r="F91" s="326" t="str">
        <f t="shared" si="23"/>
        <v>GRSM</v>
      </c>
      <c r="G91" s="326">
        <f t="shared" si="17"/>
        <v>0</v>
      </c>
      <c r="H91" s="224">
        <v>0</v>
      </c>
      <c r="I91" s="224">
        <f t="shared" si="18"/>
        <v>0</v>
      </c>
      <c r="J91" s="326">
        <f t="shared" si="19"/>
        <v>0</v>
      </c>
      <c r="K91" s="365" t="s">
        <v>673</v>
      </c>
      <c r="L91" s="332"/>
      <c r="M91" s="225">
        <f t="shared" si="21"/>
        <v>0</v>
      </c>
      <c r="N91" s="326">
        <f t="shared" si="20"/>
        <v>0</v>
      </c>
      <c r="O91" s="228">
        <v>2</v>
      </c>
    </row>
    <row r="92" spans="1:15" x14ac:dyDescent="0.25">
      <c r="A92" s="220" t="s">
        <v>816</v>
      </c>
      <c r="B92" s="221">
        <v>456</v>
      </c>
      <c r="C92" s="222" t="s">
        <v>817</v>
      </c>
      <c r="D92" s="222" t="s">
        <v>818</v>
      </c>
      <c r="E92" s="330"/>
      <c r="F92" s="326" t="str">
        <f t="shared" si="23"/>
        <v>GRSM</v>
      </c>
      <c r="G92" s="326">
        <f t="shared" si="17"/>
        <v>0</v>
      </c>
      <c r="H92" s="224">
        <v>0</v>
      </c>
      <c r="I92" s="224">
        <f t="shared" si="18"/>
        <v>0</v>
      </c>
      <c r="J92" s="326">
        <f t="shared" si="19"/>
        <v>0</v>
      </c>
      <c r="K92" s="365" t="s">
        <v>673</v>
      </c>
      <c r="L92" s="332"/>
      <c r="M92" s="225">
        <f t="shared" si="21"/>
        <v>0</v>
      </c>
      <c r="N92" s="326">
        <f t="shared" si="20"/>
        <v>0</v>
      </c>
      <c r="O92" s="223">
        <v>2</v>
      </c>
    </row>
    <row r="93" spans="1:15" x14ac:dyDescent="0.25">
      <c r="A93" s="220" t="s">
        <v>819</v>
      </c>
      <c r="B93" s="221">
        <v>456</v>
      </c>
      <c r="C93" s="221">
        <v>4186536</v>
      </c>
      <c r="D93" s="239" t="s">
        <v>820</v>
      </c>
      <c r="E93" s="330"/>
      <c r="F93" s="326" t="str">
        <f t="shared" si="23"/>
        <v>GRSM</v>
      </c>
      <c r="G93" s="326">
        <f t="shared" si="17"/>
        <v>0</v>
      </c>
      <c r="H93" s="224">
        <v>0</v>
      </c>
      <c r="I93" s="224">
        <f t="shared" si="18"/>
        <v>0</v>
      </c>
      <c r="J93" s="326">
        <f t="shared" si="19"/>
        <v>0</v>
      </c>
      <c r="K93" s="365" t="s">
        <v>673</v>
      </c>
      <c r="L93" s="332"/>
      <c r="M93" s="225">
        <f t="shared" si="21"/>
        <v>0</v>
      </c>
      <c r="N93" s="326">
        <f t="shared" si="20"/>
        <v>0</v>
      </c>
      <c r="O93" s="223">
        <v>2</v>
      </c>
    </row>
    <row r="94" spans="1:15" x14ac:dyDescent="0.25">
      <c r="A94" s="220" t="s">
        <v>821</v>
      </c>
      <c r="B94" s="221">
        <v>456</v>
      </c>
      <c r="C94" s="221">
        <v>4186538</v>
      </c>
      <c r="D94" s="239" t="s">
        <v>822</v>
      </c>
      <c r="E94" s="330"/>
      <c r="F94" s="326" t="str">
        <f t="shared" si="23"/>
        <v>GRSM</v>
      </c>
      <c r="G94" s="326">
        <f t="shared" si="17"/>
        <v>0</v>
      </c>
      <c r="H94" s="224">
        <v>0</v>
      </c>
      <c r="I94" s="224">
        <f t="shared" si="18"/>
        <v>0</v>
      </c>
      <c r="J94" s="326">
        <f t="shared" si="19"/>
        <v>0</v>
      </c>
      <c r="K94" s="365" t="s">
        <v>673</v>
      </c>
      <c r="L94" s="332"/>
      <c r="M94" s="225">
        <f t="shared" si="21"/>
        <v>0</v>
      </c>
      <c r="N94" s="326">
        <f t="shared" si="20"/>
        <v>0</v>
      </c>
      <c r="O94" s="223">
        <v>2</v>
      </c>
    </row>
    <row r="95" spans="1:15" x14ac:dyDescent="0.25">
      <c r="A95" s="220" t="s">
        <v>823</v>
      </c>
      <c r="B95" s="221">
        <v>456</v>
      </c>
      <c r="C95" s="222" t="s">
        <v>824</v>
      </c>
      <c r="D95" s="222" t="s">
        <v>825</v>
      </c>
      <c r="E95" s="330"/>
      <c r="F95" s="326" t="str">
        <f t="shared" si="23"/>
        <v>GRSM</v>
      </c>
      <c r="G95" s="326">
        <f t="shared" si="17"/>
        <v>0</v>
      </c>
      <c r="H95" s="224">
        <v>0</v>
      </c>
      <c r="I95" s="224">
        <f t="shared" si="18"/>
        <v>0</v>
      </c>
      <c r="J95" s="326">
        <f t="shared" si="19"/>
        <v>0</v>
      </c>
      <c r="K95" s="365" t="s">
        <v>615</v>
      </c>
      <c r="L95" s="332"/>
      <c r="M95" s="225">
        <f t="shared" si="21"/>
        <v>0</v>
      </c>
      <c r="N95" s="326">
        <f t="shared" si="20"/>
        <v>0</v>
      </c>
      <c r="O95" s="223">
        <v>2</v>
      </c>
    </row>
    <row r="96" spans="1:15" x14ac:dyDescent="0.25">
      <c r="A96" s="220" t="s">
        <v>826</v>
      </c>
      <c r="B96" s="221">
        <v>456</v>
      </c>
      <c r="C96" s="222" t="s">
        <v>827</v>
      </c>
      <c r="D96" s="222" t="s">
        <v>828</v>
      </c>
      <c r="E96" s="330"/>
      <c r="F96" s="326" t="str">
        <f t="shared" si="23"/>
        <v>GRSM</v>
      </c>
      <c r="G96" s="326">
        <f t="shared" si="17"/>
        <v>0</v>
      </c>
      <c r="H96" s="224">
        <v>0</v>
      </c>
      <c r="I96" s="224">
        <f t="shared" si="18"/>
        <v>0</v>
      </c>
      <c r="J96" s="326">
        <f t="shared" si="19"/>
        <v>0</v>
      </c>
      <c r="K96" s="365" t="s">
        <v>615</v>
      </c>
      <c r="L96" s="332"/>
      <c r="M96" s="225">
        <f>J96-L96</f>
        <v>0</v>
      </c>
      <c r="N96" s="326">
        <f t="shared" si="20"/>
        <v>0</v>
      </c>
      <c r="O96" s="223">
        <v>2</v>
      </c>
    </row>
    <row r="97" spans="1:15" x14ac:dyDescent="0.25">
      <c r="A97" s="220" t="s">
        <v>829</v>
      </c>
      <c r="B97" s="221">
        <v>456</v>
      </c>
      <c r="C97" s="222" t="s">
        <v>830</v>
      </c>
      <c r="D97" s="222" t="s">
        <v>831</v>
      </c>
      <c r="E97" s="330"/>
      <c r="F97" s="326" t="str">
        <f t="shared" si="23"/>
        <v>GRSM</v>
      </c>
      <c r="G97" s="326">
        <f t="shared" si="17"/>
        <v>0</v>
      </c>
      <c r="H97" s="224">
        <v>0</v>
      </c>
      <c r="I97" s="224">
        <f t="shared" si="18"/>
        <v>0</v>
      </c>
      <c r="J97" s="326">
        <f t="shared" si="19"/>
        <v>0</v>
      </c>
      <c r="K97" s="365" t="s">
        <v>615</v>
      </c>
      <c r="L97" s="332"/>
      <c r="M97" s="225">
        <f t="shared" si="21"/>
        <v>0</v>
      </c>
      <c r="N97" s="326">
        <f t="shared" si="20"/>
        <v>0</v>
      </c>
      <c r="O97" s="223">
        <v>2</v>
      </c>
    </row>
    <row r="98" spans="1:15" x14ac:dyDescent="0.25">
      <c r="A98" s="220" t="s">
        <v>832</v>
      </c>
      <c r="B98" s="221">
        <v>456</v>
      </c>
      <c r="C98" s="222" t="s">
        <v>833</v>
      </c>
      <c r="D98" s="222" t="s">
        <v>834</v>
      </c>
      <c r="E98" s="330"/>
      <c r="F98" s="326" t="str">
        <f t="shared" si="23"/>
        <v>GRSM</v>
      </c>
      <c r="G98" s="326">
        <f t="shared" si="17"/>
        <v>0</v>
      </c>
      <c r="H98" s="224">
        <v>0</v>
      </c>
      <c r="I98" s="224">
        <f t="shared" si="18"/>
        <v>0</v>
      </c>
      <c r="J98" s="326">
        <f>IF(F98=$J$2,E98,0)</f>
        <v>0</v>
      </c>
      <c r="K98" s="365" t="s">
        <v>615</v>
      </c>
      <c r="L98" s="332"/>
      <c r="M98" s="225">
        <f t="shared" si="21"/>
        <v>0</v>
      </c>
      <c r="N98" s="326">
        <f t="shared" si="20"/>
        <v>0</v>
      </c>
      <c r="O98" s="228">
        <v>2</v>
      </c>
    </row>
    <row r="99" spans="1:15" x14ac:dyDescent="0.25">
      <c r="A99" s="220" t="s">
        <v>835</v>
      </c>
      <c r="B99" s="221">
        <v>456</v>
      </c>
      <c r="C99" s="222" t="s">
        <v>836</v>
      </c>
      <c r="D99" s="222" t="s">
        <v>837</v>
      </c>
      <c r="E99" s="330"/>
      <c r="F99" s="326" t="str">
        <f t="shared" si="23"/>
        <v>GRSM</v>
      </c>
      <c r="G99" s="326">
        <f t="shared" si="17"/>
        <v>0</v>
      </c>
      <c r="H99" s="224">
        <v>0</v>
      </c>
      <c r="I99" s="224">
        <f t="shared" si="18"/>
        <v>0</v>
      </c>
      <c r="J99" s="326">
        <f t="shared" si="19"/>
        <v>0</v>
      </c>
      <c r="K99" s="365" t="s">
        <v>615</v>
      </c>
      <c r="L99" s="333"/>
      <c r="M99" s="224">
        <f t="shared" si="21"/>
        <v>0</v>
      </c>
      <c r="N99" s="326">
        <f t="shared" si="20"/>
        <v>0</v>
      </c>
      <c r="O99" s="223">
        <v>2</v>
      </c>
    </row>
    <row r="100" spans="1:15" x14ac:dyDescent="0.25">
      <c r="A100" s="220" t="s">
        <v>838</v>
      </c>
      <c r="B100" s="221">
        <v>456</v>
      </c>
      <c r="C100" s="222" t="s">
        <v>839</v>
      </c>
      <c r="D100" s="222" t="s">
        <v>840</v>
      </c>
      <c r="E100" s="330"/>
      <c r="F100" s="326" t="str">
        <f>$N$2</f>
        <v>Other Ratemaking</v>
      </c>
      <c r="G100" s="326">
        <f t="shared" si="17"/>
        <v>0</v>
      </c>
      <c r="H100" s="224">
        <v>0</v>
      </c>
      <c r="I100" s="224">
        <f t="shared" si="18"/>
        <v>0</v>
      </c>
      <c r="J100" s="326">
        <f t="shared" si="19"/>
        <v>0</v>
      </c>
      <c r="K100" s="326"/>
      <c r="L100" s="332"/>
      <c r="M100" s="225">
        <f t="shared" si="21"/>
        <v>0</v>
      </c>
      <c r="N100" s="326">
        <f t="shared" si="20"/>
        <v>0</v>
      </c>
      <c r="O100" s="228">
        <v>6</v>
      </c>
    </row>
    <row r="101" spans="1:15" x14ac:dyDescent="0.25">
      <c r="A101" s="220" t="s">
        <v>841</v>
      </c>
      <c r="B101" s="221">
        <v>456</v>
      </c>
      <c r="C101" s="222" t="s">
        <v>842</v>
      </c>
      <c r="D101" s="222" t="s">
        <v>843</v>
      </c>
      <c r="E101" s="330"/>
      <c r="F101" s="326" t="str">
        <f>$G$2</f>
        <v>Traditional OOR</v>
      </c>
      <c r="G101" s="326">
        <f t="shared" si="17"/>
        <v>0</v>
      </c>
      <c r="H101" s="224">
        <v>0</v>
      </c>
      <c r="I101" s="224">
        <f t="shared" si="18"/>
        <v>0</v>
      </c>
      <c r="J101" s="326">
        <f t="shared" si="19"/>
        <v>0</v>
      </c>
      <c r="K101" s="326"/>
      <c r="L101" s="332"/>
      <c r="M101" s="225">
        <f t="shared" si="21"/>
        <v>0</v>
      </c>
      <c r="N101" s="326">
        <f t="shared" si="20"/>
        <v>0</v>
      </c>
      <c r="O101" s="228">
        <v>4</v>
      </c>
    </row>
    <row r="102" spans="1:15" x14ac:dyDescent="0.25">
      <c r="A102" s="220" t="s">
        <v>844</v>
      </c>
      <c r="B102" s="221">
        <v>456</v>
      </c>
      <c r="C102" s="222" t="s">
        <v>845</v>
      </c>
      <c r="D102" s="1219" t="s">
        <v>1977</v>
      </c>
      <c r="E102" s="330"/>
      <c r="F102" s="326" t="str">
        <f t="shared" ref="F102:F107" si="24">$N$2</f>
        <v>Other Ratemaking</v>
      </c>
      <c r="G102" s="326">
        <f t="shared" si="17"/>
        <v>0</v>
      </c>
      <c r="H102" s="224">
        <v>0</v>
      </c>
      <c r="I102" s="224">
        <f t="shared" si="18"/>
        <v>0</v>
      </c>
      <c r="J102" s="326">
        <f t="shared" si="19"/>
        <v>0</v>
      </c>
      <c r="K102" s="326"/>
      <c r="L102" s="332"/>
      <c r="M102" s="225">
        <f t="shared" si="21"/>
        <v>0</v>
      </c>
      <c r="N102" s="326">
        <f t="shared" si="20"/>
        <v>0</v>
      </c>
      <c r="O102" s="228">
        <v>6</v>
      </c>
    </row>
    <row r="103" spans="1:15" x14ac:dyDescent="0.25">
      <c r="A103" s="220" t="s">
        <v>846</v>
      </c>
      <c r="B103" s="221">
        <v>456</v>
      </c>
      <c r="C103" s="222" t="s">
        <v>847</v>
      </c>
      <c r="D103" s="1219" t="s">
        <v>1978</v>
      </c>
      <c r="E103" s="330"/>
      <c r="F103" s="326" t="str">
        <f t="shared" si="24"/>
        <v>Other Ratemaking</v>
      </c>
      <c r="G103" s="326">
        <f t="shared" si="17"/>
        <v>0</v>
      </c>
      <c r="H103" s="224">
        <v>0</v>
      </c>
      <c r="I103" s="224">
        <f t="shared" si="18"/>
        <v>0</v>
      </c>
      <c r="J103" s="326">
        <f t="shared" si="19"/>
        <v>0</v>
      </c>
      <c r="K103" s="326"/>
      <c r="L103" s="332"/>
      <c r="M103" s="225">
        <f t="shared" si="21"/>
        <v>0</v>
      </c>
      <c r="N103" s="326">
        <f t="shared" si="20"/>
        <v>0</v>
      </c>
      <c r="O103" s="228">
        <v>6</v>
      </c>
    </row>
    <row r="104" spans="1:15" x14ac:dyDescent="0.25">
      <c r="A104" s="220" t="s">
        <v>848</v>
      </c>
      <c r="B104" s="221">
        <v>456</v>
      </c>
      <c r="C104" s="222" t="s">
        <v>849</v>
      </c>
      <c r="D104" s="222" t="s">
        <v>850</v>
      </c>
      <c r="E104" s="330"/>
      <c r="F104" s="326" t="str">
        <f t="shared" si="24"/>
        <v>Other Ratemaking</v>
      </c>
      <c r="G104" s="326">
        <f t="shared" si="17"/>
        <v>0</v>
      </c>
      <c r="H104" s="224">
        <v>0</v>
      </c>
      <c r="I104" s="224">
        <f t="shared" si="18"/>
        <v>0</v>
      </c>
      <c r="J104" s="326">
        <f t="shared" si="19"/>
        <v>0</v>
      </c>
      <c r="K104" s="326"/>
      <c r="L104" s="332"/>
      <c r="M104" s="225">
        <f t="shared" si="21"/>
        <v>0</v>
      </c>
      <c r="N104" s="326">
        <f t="shared" si="20"/>
        <v>0</v>
      </c>
      <c r="O104" s="228">
        <v>6</v>
      </c>
    </row>
    <row r="105" spans="1:15" x14ac:dyDescent="0.25">
      <c r="A105" s="220" t="s">
        <v>851</v>
      </c>
      <c r="B105" s="221">
        <v>456</v>
      </c>
      <c r="C105" s="222" t="s">
        <v>852</v>
      </c>
      <c r="D105" s="222" t="s">
        <v>853</v>
      </c>
      <c r="E105" s="330"/>
      <c r="F105" s="326" t="str">
        <f t="shared" si="24"/>
        <v>Other Ratemaking</v>
      </c>
      <c r="G105" s="326">
        <f t="shared" si="17"/>
        <v>0</v>
      </c>
      <c r="H105" s="224">
        <v>0</v>
      </c>
      <c r="I105" s="224">
        <f t="shared" si="18"/>
        <v>0</v>
      </c>
      <c r="J105" s="326">
        <f t="shared" si="19"/>
        <v>0</v>
      </c>
      <c r="K105" s="326"/>
      <c r="L105" s="332"/>
      <c r="M105" s="225">
        <f t="shared" si="21"/>
        <v>0</v>
      </c>
      <c r="N105" s="326">
        <f t="shared" si="20"/>
        <v>0</v>
      </c>
      <c r="O105" s="228">
        <v>6</v>
      </c>
    </row>
    <row r="106" spans="1:15" x14ac:dyDescent="0.25">
      <c r="A106" s="220" t="s">
        <v>854</v>
      </c>
      <c r="B106" s="221">
        <v>456</v>
      </c>
      <c r="C106" s="222" t="s">
        <v>855</v>
      </c>
      <c r="D106" s="1219" t="s">
        <v>1979</v>
      </c>
      <c r="E106" s="330"/>
      <c r="F106" s="326" t="str">
        <f t="shared" si="24"/>
        <v>Other Ratemaking</v>
      </c>
      <c r="G106" s="326">
        <f t="shared" si="17"/>
        <v>0</v>
      </c>
      <c r="H106" s="224">
        <v>0</v>
      </c>
      <c r="I106" s="224">
        <f t="shared" si="18"/>
        <v>0</v>
      </c>
      <c r="J106" s="326">
        <f t="shared" si="19"/>
        <v>0</v>
      </c>
      <c r="K106" s="326"/>
      <c r="L106" s="332"/>
      <c r="M106" s="225">
        <f t="shared" si="21"/>
        <v>0</v>
      </c>
      <c r="N106" s="326">
        <f t="shared" si="20"/>
        <v>0</v>
      </c>
      <c r="O106" s="228">
        <v>6</v>
      </c>
    </row>
    <row r="107" spans="1:15" x14ac:dyDescent="0.25">
      <c r="A107" s="220" t="s">
        <v>856</v>
      </c>
      <c r="B107" s="221">
        <v>456</v>
      </c>
      <c r="C107" s="222" t="s">
        <v>857</v>
      </c>
      <c r="D107" s="222" t="s">
        <v>858</v>
      </c>
      <c r="E107" s="330"/>
      <c r="F107" s="326" t="str">
        <f t="shared" si="24"/>
        <v>Other Ratemaking</v>
      </c>
      <c r="G107" s="326">
        <f t="shared" si="17"/>
        <v>0</v>
      </c>
      <c r="H107" s="224">
        <v>0</v>
      </c>
      <c r="I107" s="224">
        <f t="shared" si="18"/>
        <v>0</v>
      </c>
      <c r="J107" s="326">
        <f t="shared" si="19"/>
        <v>0</v>
      </c>
      <c r="K107" s="326"/>
      <c r="L107" s="332"/>
      <c r="M107" s="225">
        <f t="shared" si="21"/>
        <v>0</v>
      </c>
      <c r="N107" s="326">
        <f t="shared" si="20"/>
        <v>0</v>
      </c>
      <c r="O107" s="228">
        <v>6</v>
      </c>
    </row>
    <row r="108" spans="1:15" x14ac:dyDescent="0.25">
      <c r="A108" s="220" t="s">
        <v>859</v>
      </c>
      <c r="B108" s="221">
        <v>456</v>
      </c>
      <c r="C108" s="222" t="s">
        <v>860</v>
      </c>
      <c r="D108" s="222" t="s">
        <v>861</v>
      </c>
      <c r="E108" s="330"/>
      <c r="F108" s="326" t="str">
        <f>$J$2</f>
        <v>GRSM</v>
      </c>
      <c r="G108" s="326">
        <f t="shared" si="17"/>
        <v>0</v>
      </c>
      <c r="H108" s="224">
        <v>0</v>
      </c>
      <c r="I108" s="224">
        <f t="shared" si="18"/>
        <v>0</v>
      </c>
      <c r="J108" s="326">
        <f t="shared" si="19"/>
        <v>0</v>
      </c>
      <c r="K108" s="365" t="s">
        <v>615</v>
      </c>
      <c r="L108" s="332"/>
      <c r="M108" s="225">
        <f t="shared" si="21"/>
        <v>0</v>
      </c>
      <c r="N108" s="326">
        <f t="shared" si="20"/>
        <v>0</v>
      </c>
      <c r="O108" s="228">
        <v>2</v>
      </c>
    </row>
    <row r="109" spans="1:15" x14ac:dyDescent="0.25">
      <c r="A109" s="220" t="s">
        <v>862</v>
      </c>
      <c r="B109" s="221">
        <v>456</v>
      </c>
      <c r="C109" s="222" t="s">
        <v>863</v>
      </c>
      <c r="D109" s="222" t="s">
        <v>864</v>
      </c>
      <c r="E109" s="333"/>
      <c r="F109" s="326" t="str">
        <f>$J$2</f>
        <v>GRSM</v>
      </c>
      <c r="G109" s="326">
        <f t="shared" si="17"/>
        <v>0</v>
      </c>
      <c r="H109" s="224">
        <v>0</v>
      </c>
      <c r="I109" s="224">
        <f t="shared" si="18"/>
        <v>0</v>
      </c>
      <c r="J109" s="326">
        <f t="shared" si="19"/>
        <v>0</v>
      </c>
      <c r="K109" s="365" t="s">
        <v>615</v>
      </c>
      <c r="L109" s="333"/>
      <c r="M109" s="225">
        <f t="shared" si="21"/>
        <v>0</v>
      </c>
      <c r="N109" s="326">
        <f t="shared" si="20"/>
        <v>0</v>
      </c>
      <c r="O109" s="228">
        <v>2</v>
      </c>
    </row>
    <row r="110" spans="1:15" x14ac:dyDescent="0.25">
      <c r="A110" s="220" t="s">
        <v>865</v>
      </c>
      <c r="B110" s="221">
        <v>456</v>
      </c>
      <c r="C110" s="222" t="s">
        <v>866</v>
      </c>
      <c r="D110" s="222" t="s">
        <v>867</v>
      </c>
      <c r="E110" s="330"/>
      <c r="F110" s="326" t="str">
        <f>$N$2</f>
        <v>Other Ratemaking</v>
      </c>
      <c r="G110" s="326">
        <f t="shared" si="17"/>
        <v>0</v>
      </c>
      <c r="H110" s="224">
        <v>0</v>
      </c>
      <c r="I110" s="224">
        <f t="shared" si="18"/>
        <v>0</v>
      </c>
      <c r="J110" s="326">
        <f t="shared" si="19"/>
        <v>0</v>
      </c>
      <c r="K110" s="326"/>
      <c r="L110" s="332"/>
      <c r="M110" s="225">
        <f t="shared" si="21"/>
        <v>0</v>
      </c>
      <c r="N110" s="326">
        <f t="shared" si="20"/>
        <v>0</v>
      </c>
      <c r="O110" s="228">
        <v>6</v>
      </c>
    </row>
    <row r="111" spans="1:15" x14ac:dyDescent="0.25">
      <c r="A111" s="220" t="s">
        <v>868</v>
      </c>
      <c r="B111" s="221">
        <v>456</v>
      </c>
      <c r="C111" s="222" t="s">
        <v>869</v>
      </c>
      <c r="D111" s="222" t="s">
        <v>870</v>
      </c>
      <c r="E111" s="330"/>
      <c r="F111" s="326" t="str">
        <f t="shared" ref="F111:F121" si="25">$G$2</f>
        <v>Traditional OOR</v>
      </c>
      <c r="G111" s="326">
        <f t="shared" si="17"/>
        <v>0</v>
      </c>
      <c r="H111" s="224">
        <v>0</v>
      </c>
      <c r="I111" s="224">
        <f t="shared" si="18"/>
        <v>0</v>
      </c>
      <c r="J111" s="326">
        <f t="shared" si="19"/>
        <v>0</v>
      </c>
      <c r="K111" s="326"/>
      <c r="L111" s="332"/>
      <c r="M111" s="225">
        <f t="shared" si="21"/>
        <v>0</v>
      </c>
      <c r="N111" s="326">
        <f t="shared" si="20"/>
        <v>0</v>
      </c>
      <c r="O111" s="228">
        <v>1</v>
      </c>
    </row>
    <row r="112" spans="1:15" x14ac:dyDescent="0.25">
      <c r="A112" s="220" t="s">
        <v>871</v>
      </c>
      <c r="B112" s="221">
        <v>456</v>
      </c>
      <c r="C112" s="222" t="s">
        <v>872</v>
      </c>
      <c r="D112" s="222" t="s">
        <v>873</v>
      </c>
      <c r="E112" s="330"/>
      <c r="F112" s="326" t="str">
        <f t="shared" si="25"/>
        <v>Traditional OOR</v>
      </c>
      <c r="G112" s="326">
        <f t="shared" si="17"/>
        <v>0</v>
      </c>
      <c r="H112" s="224">
        <v>0</v>
      </c>
      <c r="I112" s="224">
        <f t="shared" si="18"/>
        <v>0</v>
      </c>
      <c r="J112" s="326">
        <f t="shared" si="19"/>
        <v>0</v>
      </c>
      <c r="K112" s="326"/>
      <c r="L112" s="332"/>
      <c r="M112" s="225">
        <f t="shared" si="21"/>
        <v>0</v>
      </c>
      <c r="N112" s="326">
        <f t="shared" si="20"/>
        <v>0</v>
      </c>
      <c r="O112" s="228">
        <v>1</v>
      </c>
    </row>
    <row r="113" spans="1:15" x14ac:dyDescent="0.25">
      <c r="A113" s="220" t="s">
        <v>874</v>
      </c>
      <c r="B113" s="221">
        <v>456</v>
      </c>
      <c r="C113" s="222" t="s">
        <v>875</v>
      </c>
      <c r="D113" s="222" t="s">
        <v>876</v>
      </c>
      <c r="E113" s="330"/>
      <c r="F113" s="326" t="str">
        <f t="shared" si="25"/>
        <v>Traditional OOR</v>
      </c>
      <c r="G113" s="326">
        <f t="shared" si="17"/>
        <v>0</v>
      </c>
      <c r="H113" s="224">
        <v>0</v>
      </c>
      <c r="I113" s="224">
        <f t="shared" si="18"/>
        <v>0</v>
      </c>
      <c r="J113" s="326">
        <f t="shared" si="19"/>
        <v>0</v>
      </c>
      <c r="K113" s="326"/>
      <c r="L113" s="332"/>
      <c r="M113" s="225">
        <f t="shared" si="21"/>
        <v>0</v>
      </c>
      <c r="N113" s="326">
        <f t="shared" si="20"/>
        <v>0</v>
      </c>
      <c r="O113" s="228">
        <v>4</v>
      </c>
    </row>
    <row r="114" spans="1:15" x14ac:dyDescent="0.25">
      <c r="A114" s="220" t="s">
        <v>877</v>
      </c>
      <c r="B114" s="221">
        <v>456</v>
      </c>
      <c r="C114" s="222" t="s">
        <v>878</v>
      </c>
      <c r="D114" s="222" t="s">
        <v>879</v>
      </c>
      <c r="E114" s="330"/>
      <c r="F114" s="326" t="str">
        <f t="shared" si="25"/>
        <v>Traditional OOR</v>
      </c>
      <c r="G114" s="326">
        <f t="shared" si="17"/>
        <v>0</v>
      </c>
      <c r="H114" s="224">
        <v>0</v>
      </c>
      <c r="I114" s="224">
        <f t="shared" si="18"/>
        <v>0</v>
      </c>
      <c r="J114" s="326">
        <f t="shared" si="19"/>
        <v>0</v>
      </c>
      <c r="K114" s="326"/>
      <c r="L114" s="332"/>
      <c r="M114" s="225">
        <f t="shared" si="21"/>
        <v>0</v>
      </c>
      <c r="N114" s="326">
        <f t="shared" si="20"/>
        <v>0</v>
      </c>
      <c r="O114" s="228">
        <v>4</v>
      </c>
    </row>
    <row r="115" spans="1:15" x14ac:dyDescent="0.25">
      <c r="A115" s="220" t="s">
        <v>880</v>
      </c>
      <c r="B115" s="221">
        <v>456</v>
      </c>
      <c r="C115" s="222" t="s">
        <v>881</v>
      </c>
      <c r="D115" s="222" t="s">
        <v>882</v>
      </c>
      <c r="E115" s="330"/>
      <c r="F115" s="326" t="str">
        <f t="shared" si="25"/>
        <v>Traditional OOR</v>
      </c>
      <c r="G115" s="326">
        <f t="shared" si="17"/>
        <v>0</v>
      </c>
      <c r="H115" s="224">
        <v>0</v>
      </c>
      <c r="I115" s="224">
        <f t="shared" si="18"/>
        <v>0</v>
      </c>
      <c r="J115" s="326">
        <f t="shared" si="19"/>
        <v>0</v>
      </c>
      <c r="K115" s="326"/>
      <c r="L115" s="332"/>
      <c r="M115" s="225">
        <f t="shared" si="21"/>
        <v>0</v>
      </c>
      <c r="N115" s="326">
        <f t="shared" si="20"/>
        <v>0</v>
      </c>
      <c r="O115" s="228">
        <v>4</v>
      </c>
    </row>
    <row r="116" spans="1:15" x14ac:dyDescent="0.25">
      <c r="A116" s="220" t="s">
        <v>883</v>
      </c>
      <c r="B116" s="221">
        <v>456</v>
      </c>
      <c r="C116" s="222" t="s">
        <v>884</v>
      </c>
      <c r="D116" s="222" t="s">
        <v>885</v>
      </c>
      <c r="E116" s="330"/>
      <c r="F116" s="326" t="str">
        <f t="shared" si="25"/>
        <v>Traditional OOR</v>
      </c>
      <c r="G116" s="326">
        <f t="shared" si="17"/>
        <v>0</v>
      </c>
      <c r="H116" s="224">
        <v>0</v>
      </c>
      <c r="I116" s="224">
        <f t="shared" si="18"/>
        <v>0</v>
      </c>
      <c r="J116" s="326">
        <f t="shared" si="19"/>
        <v>0</v>
      </c>
      <c r="K116" s="326"/>
      <c r="L116" s="332"/>
      <c r="M116" s="225">
        <f t="shared" si="21"/>
        <v>0</v>
      </c>
      <c r="N116" s="326">
        <f t="shared" si="20"/>
        <v>0</v>
      </c>
      <c r="O116" s="228">
        <v>1</v>
      </c>
    </row>
    <row r="117" spans="1:15" x14ac:dyDescent="0.25">
      <c r="A117" s="220" t="s">
        <v>886</v>
      </c>
      <c r="B117" s="221">
        <v>456</v>
      </c>
      <c r="C117" s="222" t="s">
        <v>887</v>
      </c>
      <c r="D117" s="222" t="s">
        <v>888</v>
      </c>
      <c r="E117" s="330"/>
      <c r="F117" s="326" t="str">
        <f t="shared" si="25"/>
        <v>Traditional OOR</v>
      </c>
      <c r="G117" s="326">
        <f t="shared" si="17"/>
        <v>0</v>
      </c>
      <c r="H117" s="224">
        <v>0</v>
      </c>
      <c r="I117" s="224">
        <f t="shared" si="18"/>
        <v>0</v>
      </c>
      <c r="J117" s="326">
        <f t="shared" si="19"/>
        <v>0</v>
      </c>
      <c r="K117" s="326"/>
      <c r="L117" s="332"/>
      <c r="M117" s="225">
        <f t="shared" si="21"/>
        <v>0</v>
      </c>
      <c r="N117" s="326">
        <f t="shared" si="20"/>
        <v>0</v>
      </c>
      <c r="O117" s="228">
        <v>4</v>
      </c>
    </row>
    <row r="118" spans="1:15" x14ac:dyDescent="0.25">
      <c r="A118" s="220" t="s">
        <v>889</v>
      </c>
      <c r="B118" s="221">
        <v>456</v>
      </c>
      <c r="C118" s="222" t="s">
        <v>890</v>
      </c>
      <c r="D118" s="222" t="s">
        <v>891</v>
      </c>
      <c r="E118" s="330"/>
      <c r="F118" s="326" t="str">
        <f t="shared" si="25"/>
        <v>Traditional OOR</v>
      </c>
      <c r="G118" s="326">
        <f t="shared" si="17"/>
        <v>0</v>
      </c>
      <c r="H118" s="892"/>
      <c r="I118" s="224">
        <f t="shared" si="18"/>
        <v>0</v>
      </c>
      <c r="J118" s="326">
        <f t="shared" si="19"/>
        <v>0</v>
      </c>
      <c r="K118" s="326"/>
      <c r="L118" s="332"/>
      <c r="M118" s="225">
        <f t="shared" si="21"/>
        <v>0</v>
      </c>
      <c r="N118" s="326">
        <f t="shared" si="20"/>
        <v>0</v>
      </c>
      <c r="O118" s="223">
        <v>8</v>
      </c>
    </row>
    <row r="119" spans="1:15" x14ac:dyDescent="0.25">
      <c r="A119" s="220" t="s">
        <v>892</v>
      </c>
      <c r="B119" s="221">
        <v>456</v>
      </c>
      <c r="C119" s="222" t="s">
        <v>893</v>
      </c>
      <c r="D119" s="222" t="s">
        <v>894</v>
      </c>
      <c r="E119" s="330"/>
      <c r="F119" s="326" t="str">
        <f t="shared" si="25"/>
        <v>Traditional OOR</v>
      </c>
      <c r="G119" s="326">
        <f t="shared" si="17"/>
        <v>0</v>
      </c>
      <c r="H119" s="224">
        <v>0</v>
      </c>
      <c r="I119" s="224">
        <f t="shared" si="18"/>
        <v>0</v>
      </c>
      <c r="J119" s="326">
        <f t="shared" si="19"/>
        <v>0</v>
      </c>
      <c r="K119" s="326"/>
      <c r="L119" s="332"/>
      <c r="M119" s="225">
        <f t="shared" si="21"/>
        <v>0</v>
      </c>
      <c r="N119" s="326">
        <f t="shared" si="20"/>
        <v>0</v>
      </c>
      <c r="O119" s="228">
        <v>4</v>
      </c>
    </row>
    <row r="120" spans="1:15" x14ac:dyDescent="0.25">
      <c r="A120" s="220" t="s">
        <v>895</v>
      </c>
      <c r="B120" s="221">
        <v>456</v>
      </c>
      <c r="C120" s="222" t="s">
        <v>896</v>
      </c>
      <c r="D120" s="222" t="s">
        <v>897</v>
      </c>
      <c r="E120" s="330"/>
      <c r="F120" s="326" t="str">
        <f t="shared" si="25"/>
        <v>Traditional OOR</v>
      </c>
      <c r="G120" s="326">
        <f t="shared" si="17"/>
        <v>0</v>
      </c>
      <c r="H120" s="224">
        <v>0</v>
      </c>
      <c r="I120" s="224">
        <f t="shared" si="18"/>
        <v>0</v>
      </c>
      <c r="J120" s="326">
        <f t="shared" si="19"/>
        <v>0</v>
      </c>
      <c r="K120" s="326"/>
      <c r="L120" s="332"/>
      <c r="M120" s="225">
        <f t="shared" si="21"/>
        <v>0</v>
      </c>
      <c r="N120" s="326">
        <f t="shared" si="20"/>
        <v>0</v>
      </c>
      <c r="O120" s="228">
        <v>4</v>
      </c>
    </row>
    <row r="121" spans="1:15" x14ac:dyDescent="0.25">
      <c r="A121" s="220" t="s">
        <v>898</v>
      </c>
      <c r="B121" s="221">
        <v>456</v>
      </c>
      <c r="C121" s="222" t="s">
        <v>899</v>
      </c>
      <c r="D121" s="222" t="s">
        <v>900</v>
      </c>
      <c r="E121" s="330"/>
      <c r="F121" s="326" t="str">
        <f t="shared" si="25"/>
        <v>Traditional OOR</v>
      </c>
      <c r="G121" s="326">
        <f t="shared" si="17"/>
        <v>0</v>
      </c>
      <c r="H121" s="224">
        <v>0</v>
      </c>
      <c r="I121" s="224">
        <f t="shared" si="18"/>
        <v>0</v>
      </c>
      <c r="J121" s="326">
        <f t="shared" si="19"/>
        <v>0</v>
      </c>
      <c r="K121" s="326"/>
      <c r="L121" s="332"/>
      <c r="M121" s="225">
        <f t="shared" si="21"/>
        <v>0</v>
      </c>
      <c r="N121" s="326">
        <f t="shared" si="20"/>
        <v>0</v>
      </c>
      <c r="O121" s="228">
        <v>6</v>
      </c>
    </row>
    <row r="122" spans="1:15" x14ac:dyDescent="0.25">
      <c r="A122" s="1220" t="s">
        <v>1960</v>
      </c>
      <c r="B122" s="221">
        <v>456</v>
      </c>
      <c r="C122" s="222" t="s">
        <v>901</v>
      </c>
      <c r="D122" s="1219" t="s">
        <v>1980</v>
      </c>
      <c r="E122" s="330"/>
      <c r="F122" s="326" t="str">
        <f>$J$2</f>
        <v>GRSM</v>
      </c>
      <c r="G122" s="326">
        <f t="shared" si="17"/>
        <v>0</v>
      </c>
      <c r="H122" s="224">
        <v>0</v>
      </c>
      <c r="I122" s="224">
        <f t="shared" si="18"/>
        <v>0</v>
      </c>
      <c r="J122" s="326">
        <f t="shared" si="19"/>
        <v>0</v>
      </c>
      <c r="K122" s="365" t="s">
        <v>673</v>
      </c>
      <c r="L122" s="332"/>
      <c r="M122" s="225">
        <f>J122-L122</f>
        <v>0</v>
      </c>
      <c r="N122" s="326">
        <f t="shared" si="20"/>
        <v>0</v>
      </c>
      <c r="O122" s="228">
        <v>2</v>
      </c>
    </row>
    <row r="123" spans="1:15" x14ac:dyDescent="0.25">
      <c r="A123" s="1220" t="s">
        <v>1961</v>
      </c>
      <c r="B123" s="221">
        <v>456</v>
      </c>
      <c r="C123" s="220" t="s">
        <v>1568</v>
      </c>
      <c r="D123" s="222" t="s">
        <v>1567</v>
      </c>
      <c r="E123" s="330"/>
      <c r="F123" s="326" t="str">
        <f>$G$2</f>
        <v>Traditional OOR</v>
      </c>
      <c r="G123" s="326">
        <f t="shared" si="17"/>
        <v>0</v>
      </c>
      <c r="H123" s="224">
        <v>0</v>
      </c>
      <c r="I123" s="224">
        <f t="shared" si="18"/>
        <v>0</v>
      </c>
      <c r="J123" s="326">
        <f t="shared" si="19"/>
        <v>0</v>
      </c>
      <c r="K123" s="326"/>
      <c r="L123" s="332"/>
      <c r="M123" s="225">
        <f>J123-L123</f>
        <v>0</v>
      </c>
      <c r="N123" s="326">
        <f t="shared" si="20"/>
        <v>0</v>
      </c>
      <c r="O123" s="228">
        <v>1</v>
      </c>
    </row>
    <row r="124" spans="1:15" x14ac:dyDescent="0.25">
      <c r="A124" s="1220" t="s">
        <v>2602</v>
      </c>
      <c r="B124" s="221">
        <v>456</v>
      </c>
      <c r="C124" s="221">
        <v>4186911</v>
      </c>
      <c r="D124" s="239" t="s">
        <v>2600</v>
      </c>
      <c r="E124" s="330"/>
      <c r="F124" s="326" t="s">
        <v>631</v>
      </c>
      <c r="G124" s="326">
        <f t="shared" si="17"/>
        <v>0</v>
      </c>
      <c r="H124" s="224">
        <v>0</v>
      </c>
      <c r="I124" s="224">
        <f t="shared" si="18"/>
        <v>0</v>
      </c>
      <c r="J124" s="326">
        <f t="shared" si="19"/>
        <v>0</v>
      </c>
      <c r="K124" s="326"/>
      <c r="L124" s="332"/>
      <c r="M124" s="224">
        <f t="shared" ref="M124:M125" si="26">J124-L124</f>
        <v>0</v>
      </c>
      <c r="N124" s="326">
        <f t="shared" si="20"/>
        <v>0</v>
      </c>
      <c r="O124" s="223">
        <v>6</v>
      </c>
    </row>
    <row r="125" spans="1:15" x14ac:dyDescent="0.25">
      <c r="A125" s="1220" t="s">
        <v>2603</v>
      </c>
      <c r="B125" s="221">
        <v>456</v>
      </c>
      <c r="C125" s="221">
        <v>4186925</v>
      </c>
      <c r="D125" s="239" t="s">
        <v>2601</v>
      </c>
      <c r="E125" s="330"/>
      <c r="F125" s="326" t="s">
        <v>631</v>
      </c>
      <c r="G125" s="326">
        <f t="shared" si="17"/>
        <v>0</v>
      </c>
      <c r="H125" s="224">
        <v>0</v>
      </c>
      <c r="I125" s="224">
        <f t="shared" si="18"/>
        <v>0</v>
      </c>
      <c r="J125" s="326">
        <f t="shared" si="19"/>
        <v>0</v>
      </c>
      <c r="K125" s="326"/>
      <c r="L125" s="332"/>
      <c r="M125" s="224">
        <f t="shared" si="26"/>
        <v>0</v>
      </c>
      <c r="N125" s="326">
        <f t="shared" si="20"/>
        <v>0</v>
      </c>
      <c r="O125" s="223">
        <v>6</v>
      </c>
    </row>
    <row r="126" spans="1:15" x14ac:dyDescent="0.25">
      <c r="A126" s="360"/>
      <c r="B126" s="356"/>
      <c r="C126" s="355"/>
      <c r="D126" s="357"/>
      <c r="E126" s="330"/>
      <c r="F126" s="330"/>
      <c r="G126" s="334"/>
      <c r="H126" s="332"/>
      <c r="I126" s="332"/>
      <c r="J126" s="330"/>
      <c r="K126" s="330"/>
      <c r="L126" s="332"/>
      <c r="M126" s="332"/>
      <c r="N126" s="330"/>
      <c r="O126" s="331"/>
    </row>
    <row r="127" spans="1:15" x14ac:dyDescent="0.25">
      <c r="A127" s="360"/>
      <c r="B127" s="356"/>
      <c r="C127" s="355"/>
      <c r="D127" s="357"/>
      <c r="E127" s="330"/>
      <c r="F127" s="330"/>
      <c r="G127" s="334"/>
      <c r="H127" s="332"/>
      <c r="I127" s="332"/>
      <c r="J127" s="330"/>
      <c r="K127" s="330"/>
      <c r="L127" s="332"/>
      <c r="M127" s="332"/>
      <c r="N127" s="330"/>
      <c r="O127" s="331"/>
    </row>
    <row r="128" spans="1:15" x14ac:dyDescent="0.25">
      <c r="A128" s="226">
        <v>13</v>
      </c>
      <c r="B128" s="1311" t="s">
        <v>902</v>
      </c>
      <c r="C128" s="1312"/>
      <c r="D128" s="1313"/>
      <c r="E128" s="323">
        <f>SUM(E70:E127)</f>
        <v>0</v>
      </c>
      <c r="F128" s="348"/>
      <c r="G128" s="323">
        <f>SUM(G70:G127)</f>
        <v>0</v>
      </c>
      <c r="H128" s="339">
        <f>SUM(H70:H127)</f>
        <v>0</v>
      </c>
      <c r="I128" s="339">
        <f>SUM(I70:I127)</f>
        <v>0</v>
      </c>
      <c r="J128" s="323">
        <f>SUM(J70:J127)</f>
        <v>0</v>
      </c>
      <c r="K128" s="348"/>
      <c r="L128" s="323">
        <f>SUM(L70:L127)</f>
        <v>0</v>
      </c>
      <c r="M128" s="323">
        <f>SUM(M70:M127)</f>
        <v>0</v>
      </c>
      <c r="N128" s="323">
        <f>SUM(N70:N127)</f>
        <v>0</v>
      </c>
      <c r="O128" s="213"/>
    </row>
    <row r="129" spans="1:15" ht="25.5" customHeight="1" x14ac:dyDescent="0.25">
      <c r="A129" s="226">
        <v>14</v>
      </c>
      <c r="B129" s="1333" t="s">
        <v>1381</v>
      </c>
      <c r="C129" s="1334"/>
      <c r="D129" s="1335"/>
      <c r="E129" s="336"/>
      <c r="F129" s="338"/>
      <c r="G129" s="354"/>
      <c r="H129" s="338"/>
      <c r="I129" s="338"/>
      <c r="J129" s="354"/>
      <c r="K129" s="338"/>
      <c r="L129" s="324"/>
      <c r="M129" s="324"/>
      <c r="N129" s="324"/>
      <c r="O129" s="212"/>
    </row>
    <row r="130" spans="1:15" x14ac:dyDescent="0.25">
      <c r="A130" s="229"/>
      <c r="B130" s="230"/>
      <c r="C130" s="231"/>
      <c r="D130" s="232"/>
      <c r="E130" s="324"/>
      <c r="F130" s="324"/>
      <c r="G130" s="324"/>
      <c r="H130" s="338"/>
      <c r="I130" s="338"/>
      <c r="J130" s="324"/>
      <c r="K130" s="338"/>
      <c r="L130" s="324"/>
      <c r="M130" s="324"/>
      <c r="N130" s="324"/>
      <c r="O130" s="212"/>
    </row>
    <row r="131" spans="1:15" x14ac:dyDescent="0.25">
      <c r="A131" s="226" t="s">
        <v>903</v>
      </c>
      <c r="B131" s="221">
        <v>456.1</v>
      </c>
      <c r="C131" s="227" t="s">
        <v>904</v>
      </c>
      <c r="D131" s="222" t="s">
        <v>905</v>
      </c>
      <c r="E131" s="333"/>
      <c r="F131" s="326" t="str">
        <f>$G$2</f>
        <v>Traditional OOR</v>
      </c>
      <c r="G131" s="326">
        <f t="shared" ref="G131:G149" si="27">IF(F131=$G$2,E131,0)</f>
        <v>0</v>
      </c>
      <c r="H131" s="224">
        <f>G131</f>
        <v>0</v>
      </c>
      <c r="I131" s="224">
        <f t="shared" ref="I131:I149" si="28">G131-H131</f>
        <v>0</v>
      </c>
      <c r="J131" s="326">
        <f t="shared" ref="J131:J149" si="29">IF(F131=$J$2,E131,0)</f>
        <v>0</v>
      </c>
      <c r="K131" s="365"/>
      <c r="L131" s="332"/>
      <c r="M131" s="225">
        <f t="shared" ref="M131:M149" si="30">J131-L131</f>
        <v>0</v>
      </c>
      <c r="N131" s="326">
        <f t="shared" ref="N131:N149" si="31">IF(F131=$N$2,E131,0)</f>
        <v>0</v>
      </c>
      <c r="O131" s="228">
        <v>5</v>
      </c>
    </row>
    <row r="132" spans="1:15" x14ac:dyDescent="0.25">
      <c r="A132" s="226" t="s">
        <v>906</v>
      </c>
      <c r="B132" s="221">
        <v>456.1</v>
      </c>
      <c r="C132" s="227" t="s">
        <v>907</v>
      </c>
      <c r="D132" s="222" t="s">
        <v>908</v>
      </c>
      <c r="E132" s="333"/>
      <c r="F132" s="326" t="str">
        <f>$G$2</f>
        <v>Traditional OOR</v>
      </c>
      <c r="G132" s="326">
        <f t="shared" si="27"/>
        <v>0</v>
      </c>
      <c r="H132" s="224">
        <v>0</v>
      </c>
      <c r="I132" s="224">
        <f t="shared" si="28"/>
        <v>0</v>
      </c>
      <c r="J132" s="326">
        <f t="shared" si="29"/>
        <v>0</v>
      </c>
      <c r="K132" s="365"/>
      <c r="L132" s="332"/>
      <c r="M132" s="225">
        <f t="shared" si="30"/>
        <v>0</v>
      </c>
      <c r="N132" s="326">
        <f t="shared" si="31"/>
        <v>0</v>
      </c>
      <c r="O132" s="228">
        <v>4</v>
      </c>
    </row>
    <row r="133" spans="1:15" x14ac:dyDescent="0.25">
      <c r="A133" s="226" t="s">
        <v>909</v>
      </c>
      <c r="B133" s="221">
        <v>456.1</v>
      </c>
      <c r="C133" s="227" t="s">
        <v>910</v>
      </c>
      <c r="D133" s="222" t="s">
        <v>911</v>
      </c>
      <c r="E133" s="333"/>
      <c r="F133" s="326" t="str">
        <f>$G$2</f>
        <v>Traditional OOR</v>
      </c>
      <c r="G133" s="326">
        <f t="shared" si="27"/>
        <v>0</v>
      </c>
      <c r="H133" s="224">
        <v>0</v>
      </c>
      <c r="I133" s="224">
        <f t="shared" si="28"/>
        <v>0</v>
      </c>
      <c r="J133" s="326">
        <f t="shared" si="29"/>
        <v>0</v>
      </c>
      <c r="K133" s="365"/>
      <c r="L133" s="332"/>
      <c r="M133" s="225">
        <f t="shared" si="30"/>
        <v>0</v>
      </c>
      <c r="N133" s="326">
        <f t="shared" si="31"/>
        <v>0</v>
      </c>
      <c r="O133" s="228">
        <v>4</v>
      </c>
    </row>
    <row r="134" spans="1:15" x14ac:dyDescent="0.25">
      <c r="A134" s="226" t="s">
        <v>912</v>
      </c>
      <c r="B134" s="221">
        <v>456.1</v>
      </c>
      <c r="C134" s="227" t="s">
        <v>913</v>
      </c>
      <c r="D134" s="222" t="s">
        <v>914</v>
      </c>
      <c r="E134" s="333"/>
      <c r="F134" s="326" t="str">
        <f>$N$2</f>
        <v>Other Ratemaking</v>
      </c>
      <c r="G134" s="326">
        <f t="shared" si="27"/>
        <v>0</v>
      </c>
      <c r="H134" s="224">
        <v>0</v>
      </c>
      <c r="I134" s="224">
        <f t="shared" si="28"/>
        <v>0</v>
      </c>
      <c r="J134" s="326">
        <f t="shared" si="29"/>
        <v>0</v>
      </c>
      <c r="K134" s="365"/>
      <c r="L134" s="332"/>
      <c r="M134" s="225">
        <f t="shared" si="30"/>
        <v>0</v>
      </c>
      <c r="N134" s="326">
        <f t="shared" si="31"/>
        <v>0</v>
      </c>
      <c r="O134" s="228">
        <v>6</v>
      </c>
    </row>
    <row r="135" spans="1:15" x14ac:dyDescent="0.25">
      <c r="A135" s="226" t="s">
        <v>915</v>
      </c>
      <c r="B135" s="221">
        <v>456.1</v>
      </c>
      <c r="C135" s="227" t="s">
        <v>916</v>
      </c>
      <c r="D135" s="222" t="s">
        <v>917</v>
      </c>
      <c r="E135" s="333"/>
      <c r="F135" s="326" t="str">
        <f>$N$2</f>
        <v>Other Ratemaking</v>
      </c>
      <c r="G135" s="326">
        <f t="shared" si="27"/>
        <v>0</v>
      </c>
      <c r="H135" s="224">
        <v>0</v>
      </c>
      <c r="I135" s="224">
        <f t="shared" si="28"/>
        <v>0</v>
      </c>
      <c r="J135" s="326">
        <f t="shared" si="29"/>
        <v>0</v>
      </c>
      <c r="K135" s="365"/>
      <c r="L135" s="332"/>
      <c r="M135" s="225">
        <f t="shared" si="30"/>
        <v>0</v>
      </c>
      <c r="N135" s="326">
        <f t="shared" si="31"/>
        <v>0</v>
      </c>
      <c r="O135" s="228">
        <v>6</v>
      </c>
    </row>
    <row r="136" spans="1:15" x14ac:dyDescent="0.25">
      <c r="A136" s="226" t="s">
        <v>918</v>
      </c>
      <c r="B136" s="221">
        <v>456.1</v>
      </c>
      <c r="C136" s="227" t="s">
        <v>919</v>
      </c>
      <c r="D136" s="222" t="s">
        <v>920</v>
      </c>
      <c r="E136" s="333"/>
      <c r="F136" s="326" t="str">
        <f>$N$2</f>
        <v>Other Ratemaking</v>
      </c>
      <c r="G136" s="326">
        <f t="shared" si="27"/>
        <v>0</v>
      </c>
      <c r="H136" s="224">
        <v>0</v>
      </c>
      <c r="I136" s="224">
        <f t="shared" si="28"/>
        <v>0</v>
      </c>
      <c r="J136" s="326">
        <f t="shared" si="29"/>
        <v>0</v>
      </c>
      <c r="K136" s="365"/>
      <c r="L136" s="332"/>
      <c r="M136" s="225">
        <f t="shared" si="30"/>
        <v>0</v>
      </c>
      <c r="N136" s="326">
        <f t="shared" si="31"/>
        <v>0</v>
      </c>
      <c r="O136" s="228">
        <v>6</v>
      </c>
    </row>
    <row r="137" spans="1:15" x14ac:dyDescent="0.25">
      <c r="A137" s="226" t="s">
        <v>921</v>
      </c>
      <c r="B137" s="221">
        <v>456.1</v>
      </c>
      <c r="C137" s="227" t="s">
        <v>922</v>
      </c>
      <c r="D137" s="222" t="s">
        <v>923</v>
      </c>
      <c r="E137" s="333"/>
      <c r="F137" s="326" t="str">
        <f>$G$2</f>
        <v>Traditional OOR</v>
      </c>
      <c r="G137" s="326">
        <f t="shared" si="27"/>
        <v>0</v>
      </c>
      <c r="H137" s="224">
        <f>G137</f>
        <v>0</v>
      </c>
      <c r="I137" s="224">
        <f t="shared" si="28"/>
        <v>0</v>
      </c>
      <c r="J137" s="326">
        <f t="shared" si="29"/>
        <v>0</v>
      </c>
      <c r="K137" s="365"/>
      <c r="L137" s="332"/>
      <c r="M137" s="225">
        <f t="shared" si="30"/>
        <v>0</v>
      </c>
      <c r="N137" s="326">
        <f t="shared" si="31"/>
        <v>0</v>
      </c>
      <c r="O137" s="228">
        <v>5</v>
      </c>
    </row>
    <row r="138" spans="1:15" x14ac:dyDescent="0.25">
      <c r="A138" s="226" t="s">
        <v>924</v>
      </c>
      <c r="B138" s="221">
        <v>456.1</v>
      </c>
      <c r="C138" s="227" t="s">
        <v>925</v>
      </c>
      <c r="D138" s="222" t="s">
        <v>926</v>
      </c>
      <c r="E138" s="333"/>
      <c r="F138" s="326" t="str">
        <f>$G$2</f>
        <v>Traditional OOR</v>
      </c>
      <c r="G138" s="326">
        <f t="shared" si="27"/>
        <v>0</v>
      </c>
      <c r="H138" s="224">
        <v>0</v>
      </c>
      <c r="I138" s="224">
        <f t="shared" si="28"/>
        <v>0</v>
      </c>
      <c r="J138" s="326">
        <f t="shared" si="29"/>
        <v>0</v>
      </c>
      <c r="K138" s="365"/>
      <c r="L138" s="332"/>
      <c r="M138" s="225">
        <f t="shared" si="30"/>
        <v>0</v>
      </c>
      <c r="N138" s="326">
        <f t="shared" si="31"/>
        <v>0</v>
      </c>
      <c r="O138" s="228">
        <v>4</v>
      </c>
    </row>
    <row r="139" spans="1:15" x14ac:dyDescent="0.25">
      <c r="A139" s="226" t="s">
        <v>927</v>
      </c>
      <c r="B139" s="221">
        <v>456.1</v>
      </c>
      <c r="C139" s="227" t="s">
        <v>928</v>
      </c>
      <c r="D139" s="222" t="s">
        <v>929</v>
      </c>
      <c r="E139" s="333"/>
      <c r="F139" s="326" t="str">
        <f>$G$2</f>
        <v>Traditional OOR</v>
      </c>
      <c r="G139" s="326">
        <f t="shared" si="27"/>
        <v>0</v>
      </c>
      <c r="H139" s="224">
        <v>0</v>
      </c>
      <c r="I139" s="224">
        <f t="shared" si="28"/>
        <v>0</v>
      </c>
      <c r="J139" s="326">
        <f t="shared" si="29"/>
        <v>0</v>
      </c>
      <c r="K139" s="365"/>
      <c r="L139" s="332"/>
      <c r="M139" s="225">
        <f t="shared" si="30"/>
        <v>0</v>
      </c>
      <c r="N139" s="326">
        <f t="shared" si="31"/>
        <v>0</v>
      </c>
      <c r="O139" s="228">
        <v>4</v>
      </c>
    </row>
    <row r="140" spans="1:15" x14ac:dyDescent="0.25">
      <c r="A140" s="226" t="s">
        <v>930</v>
      </c>
      <c r="B140" s="221">
        <v>456.1</v>
      </c>
      <c r="C140" s="227" t="s">
        <v>931</v>
      </c>
      <c r="D140" s="222" t="s">
        <v>932</v>
      </c>
      <c r="E140" s="333"/>
      <c r="F140" s="326" t="str">
        <f>$N$2</f>
        <v>Other Ratemaking</v>
      </c>
      <c r="G140" s="326">
        <f t="shared" si="27"/>
        <v>0</v>
      </c>
      <c r="H140" s="224">
        <v>0</v>
      </c>
      <c r="I140" s="224">
        <f t="shared" si="28"/>
        <v>0</v>
      </c>
      <c r="J140" s="326">
        <f t="shared" si="29"/>
        <v>0</v>
      </c>
      <c r="K140" s="365"/>
      <c r="L140" s="332"/>
      <c r="M140" s="225">
        <f t="shared" si="30"/>
        <v>0</v>
      </c>
      <c r="N140" s="326">
        <f t="shared" si="31"/>
        <v>0</v>
      </c>
      <c r="O140" s="228">
        <v>6</v>
      </c>
    </row>
    <row r="141" spans="1:15" x14ac:dyDescent="0.25">
      <c r="A141" s="226" t="s">
        <v>933</v>
      </c>
      <c r="B141" s="221">
        <v>456.1</v>
      </c>
      <c r="C141" s="227" t="s">
        <v>934</v>
      </c>
      <c r="D141" s="222" t="s">
        <v>935</v>
      </c>
      <c r="E141" s="333"/>
      <c r="F141" s="326" t="str">
        <f t="shared" ref="F141:F148" si="32">$G$2</f>
        <v>Traditional OOR</v>
      </c>
      <c r="G141" s="326">
        <f t="shared" si="27"/>
        <v>0</v>
      </c>
      <c r="H141" s="224">
        <v>0</v>
      </c>
      <c r="I141" s="224">
        <f t="shared" si="28"/>
        <v>0</v>
      </c>
      <c r="J141" s="326">
        <f t="shared" si="29"/>
        <v>0</v>
      </c>
      <c r="K141" s="365"/>
      <c r="L141" s="332"/>
      <c r="M141" s="225">
        <f t="shared" si="30"/>
        <v>0</v>
      </c>
      <c r="N141" s="326">
        <f t="shared" si="31"/>
        <v>0</v>
      </c>
      <c r="O141" s="228">
        <v>4</v>
      </c>
    </row>
    <row r="142" spans="1:15" x14ac:dyDescent="0.25">
      <c r="A142" s="226" t="s">
        <v>936</v>
      </c>
      <c r="B142" s="221">
        <v>456.1</v>
      </c>
      <c r="C142" s="227" t="s">
        <v>937</v>
      </c>
      <c r="D142" s="222" t="s">
        <v>938</v>
      </c>
      <c r="E142" s="333"/>
      <c r="F142" s="326" t="str">
        <f t="shared" si="32"/>
        <v>Traditional OOR</v>
      </c>
      <c r="G142" s="326">
        <f t="shared" si="27"/>
        <v>0</v>
      </c>
      <c r="H142" s="224">
        <v>0</v>
      </c>
      <c r="I142" s="224">
        <f t="shared" si="28"/>
        <v>0</v>
      </c>
      <c r="J142" s="326">
        <f t="shared" si="29"/>
        <v>0</v>
      </c>
      <c r="K142" s="365"/>
      <c r="L142" s="332"/>
      <c r="M142" s="225">
        <f t="shared" si="30"/>
        <v>0</v>
      </c>
      <c r="N142" s="326">
        <f t="shared" si="31"/>
        <v>0</v>
      </c>
      <c r="O142" s="228">
        <v>4</v>
      </c>
    </row>
    <row r="143" spans="1:15" x14ac:dyDescent="0.25">
      <c r="A143" s="226" t="s">
        <v>939</v>
      </c>
      <c r="B143" s="221">
        <v>456.1</v>
      </c>
      <c r="C143" s="227" t="s">
        <v>940</v>
      </c>
      <c r="D143" s="222" t="s">
        <v>941</v>
      </c>
      <c r="E143" s="333"/>
      <c r="F143" s="326" t="str">
        <f t="shared" si="32"/>
        <v>Traditional OOR</v>
      </c>
      <c r="G143" s="326">
        <f t="shared" si="27"/>
        <v>0</v>
      </c>
      <c r="H143" s="224">
        <v>0</v>
      </c>
      <c r="I143" s="224">
        <f t="shared" si="28"/>
        <v>0</v>
      </c>
      <c r="J143" s="326">
        <f t="shared" si="29"/>
        <v>0</v>
      </c>
      <c r="K143" s="365"/>
      <c r="L143" s="332"/>
      <c r="M143" s="225">
        <f t="shared" si="30"/>
        <v>0</v>
      </c>
      <c r="N143" s="326">
        <f t="shared" si="31"/>
        <v>0</v>
      </c>
      <c r="O143" s="228">
        <v>4</v>
      </c>
    </row>
    <row r="144" spans="1:15" x14ac:dyDescent="0.25">
      <c r="A144" s="226" t="s">
        <v>942</v>
      </c>
      <c r="B144" s="221">
        <v>456.1</v>
      </c>
      <c r="C144" s="227" t="s">
        <v>943</v>
      </c>
      <c r="D144" s="222" t="s">
        <v>944</v>
      </c>
      <c r="E144" s="333"/>
      <c r="F144" s="326" t="str">
        <f t="shared" si="32"/>
        <v>Traditional OOR</v>
      </c>
      <c r="G144" s="326">
        <f t="shared" si="27"/>
        <v>0</v>
      </c>
      <c r="H144" s="224">
        <v>0</v>
      </c>
      <c r="I144" s="224">
        <f t="shared" si="28"/>
        <v>0</v>
      </c>
      <c r="J144" s="326">
        <f t="shared" si="29"/>
        <v>0</v>
      </c>
      <c r="K144" s="365"/>
      <c r="L144" s="332"/>
      <c r="M144" s="225">
        <f t="shared" si="30"/>
        <v>0</v>
      </c>
      <c r="N144" s="326">
        <f t="shared" si="31"/>
        <v>0</v>
      </c>
      <c r="O144" s="228">
        <v>4</v>
      </c>
    </row>
    <row r="145" spans="1:15" x14ac:dyDescent="0.25">
      <c r="A145" s="226" t="s">
        <v>945</v>
      </c>
      <c r="B145" s="221">
        <v>456.1</v>
      </c>
      <c r="C145" s="227" t="s">
        <v>946</v>
      </c>
      <c r="D145" s="222" t="s">
        <v>947</v>
      </c>
      <c r="E145" s="333"/>
      <c r="F145" s="326" t="str">
        <f t="shared" si="32"/>
        <v>Traditional OOR</v>
      </c>
      <c r="G145" s="326">
        <f t="shared" si="27"/>
        <v>0</v>
      </c>
      <c r="H145" s="224">
        <v>0</v>
      </c>
      <c r="I145" s="224">
        <f t="shared" si="28"/>
        <v>0</v>
      </c>
      <c r="J145" s="326">
        <f t="shared" si="29"/>
        <v>0</v>
      </c>
      <c r="K145" s="365"/>
      <c r="L145" s="332"/>
      <c r="M145" s="225">
        <f t="shared" si="30"/>
        <v>0</v>
      </c>
      <c r="N145" s="326">
        <f t="shared" si="31"/>
        <v>0</v>
      </c>
      <c r="O145" s="228">
        <v>4</v>
      </c>
    </row>
    <row r="146" spans="1:15" x14ac:dyDescent="0.25">
      <c r="A146" s="226" t="s">
        <v>948</v>
      </c>
      <c r="B146" s="221">
        <v>456.1</v>
      </c>
      <c r="C146" s="227" t="s">
        <v>949</v>
      </c>
      <c r="D146" s="222" t="s">
        <v>950</v>
      </c>
      <c r="E146" s="333"/>
      <c r="F146" s="326" t="str">
        <f t="shared" si="32"/>
        <v>Traditional OOR</v>
      </c>
      <c r="G146" s="326">
        <f t="shared" si="27"/>
        <v>0</v>
      </c>
      <c r="H146" s="224">
        <v>0</v>
      </c>
      <c r="I146" s="224">
        <f t="shared" si="28"/>
        <v>0</v>
      </c>
      <c r="J146" s="326">
        <f t="shared" si="29"/>
        <v>0</v>
      </c>
      <c r="K146" s="365"/>
      <c r="L146" s="332"/>
      <c r="M146" s="225">
        <f t="shared" si="30"/>
        <v>0</v>
      </c>
      <c r="N146" s="326">
        <f t="shared" si="31"/>
        <v>0</v>
      </c>
      <c r="O146" s="228">
        <v>4</v>
      </c>
    </row>
    <row r="147" spans="1:15" x14ac:dyDescent="0.25">
      <c r="A147" s="226" t="s">
        <v>951</v>
      </c>
      <c r="B147" s="221">
        <v>456.1</v>
      </c>
      <c r="C147" s="227" t="s">
        <v>952</v>
      </c>
      <c r="D147" s="222" t="s">
        <v>953</v>
      </c>
      <c r="E147" s="330"/>
      <c r="F147" s="326" t="str">
        <f t="shared" si="32"/>
        <v>Traditional OOR</v>
      </c>
      <c r="G147" s="326">
        <f t="shared" si="27"/>
        <v>0</v>
      </c>
      <c r="H147" s="224">
        <v>0</v>
      </c>
      <c r="I147" s="224">
        <f t="shared" si="28"/>
        <v>0</v>
      </c>
      <c r="J147" s="326">
        <f t="shared" si="29"/>
        <v>0</v>
      </c>
      <c r="K147" s="326"/>
      <c r="L147" s="332"/>
      <c r="M147" s="225">
        <f t="shared" si="30"/>
        <v>0</v>
      </c>
      <c r="N147" s="326">
        <f t="shared" si="31"/>
        <v>0</v>
      </c>
      <c r="O147" s="228">
        <v>4</v>
      </c>
    </row>
    <row r="148" spans="1:15" x14ac:dyDescent="0.25">
      <c r="A148" s="226" t="s">
        <v>954</v>
      </c>
      <c r="B148" s="221">
        <v>456.1</v>
      </c>
      <c r="C148" s="227" t="s">
        <v>955</v>
      </c>
      <c r="D148" s="222" t="s">
        <v>956</v>
      </c>
      <c r="E148" s="333"/>
      <c r="F148" s="326" t="str">
        <f t="shared" si="32"/>
        <v>Traditional OOR</v>
      </c>
      <c r="G148" s="326">
        <f t="shared" si="27"/>
        <v>0</v>
      </c>
      <c r="H148" s="224">
        <v>0</v>
      </c>
      <c r="I148" s="224">
        <f t="shared" si="28"/>
        <v>0</v>
      </c>
      <c r="J148" s="326">
        <f t="shared" si="29"/>
        <v>0</v>
      </c>
      <c r="K148" s="365"/>
      <c r="L148" s="332"/>
      <c r="M148" s="225">
        <f t="shared" si="30"/>
        <v>0</v>
      </c>
      <c r="N148" s="326">
        <f t="shared" si="31"/>
        <v>0</v>
      </c>
      <c r="O148" s="228">
        <v>4</v>
      </c>
    </row>
    <row r="149" spans="1:15" x14ac:dyDescent="0.25">
      <c r="A149" s="226" t="s">
        <v>957</v>
      </c>
      <c r="B149" s="221">
        <v>456.1</v>
      </c>
      <c r="C149" s="227" t="s">
        <v>958</v>
      </c>
      <c r="D149" s="222" t="s">
        <v>959</v>
      </c>
      <c r="E149" s="333"/>
      <c r="F149" s="326" t="str">
        <f>$N$2</f>
        <v>Other Ratemaking</v>
      </c>
      <c r="G149" s="326">
        <f t="shared" si="27"/>
        <v>0</v>
      </c>
      <c r="H149" s="224">
        <v>0</v>
      </c>
      <c r="I149" s="224">
        <f t="shared" si="28"/>
        <v>0</v>
      </c>
      <c r="J149" s="326">
        <f t="shared" si="29"/>
        <v>0</v>
      </c>
      <c r="K149" s="365"/>
      <c r="L149" s="332"/>
      <c r="M149" s="225">
        <f t="shared" si="30"/>
        <v>0</v>
      </c>
      <c r="N149" s="326">
        <f t="shared" si="31"/>
        <v>0</v>
      </c>
      <c r="O149" s="228">
        <v>6</v>
      </c>
    </row>
    <row r="150" spans="1:15" x14ac:dyDescent="0.25">
      <c r="A150" s="360"/>
      <c r="B150" s="356"/>
      <c r="C150" s="355"/>
      <c r="D150" s="357"/>
      <c r="E150" s="333"/>
      <c r="F150" s="333"/>
      <c r="G150" s="334"/>
      <c r="H150" s="332"/>
      <c r="I150" s="332"/>
      <c r="J150" s="330"/>
      <c r="K150" s="333"/>
      <c r="L150" s="332"/>
      <c r="M150" s="332"/>
      <c r="N150" s="330"/>
      <c r="O150" s="331"/>
    </row>
    <row r="151" spans="1:15" x14ac:dyDescent="0.25">
      <c r="A151" s="360"/>
      <c r="B151" s="356"/>
      <c r="C151" s="355"/>
      <c r="D151" s="357"/>
      <c r="E151" s="333"/>
      <c r="F151" s="333"/>
      <c r="G151" s="334"/>
      <c r="H151" s="332"/>
      <c r="I151" s="332"/>
      <c r="J151" s="330"/>
      <c r="K151" s="333"/>
      <c r="L151" s="332"/>
      <c r="M151" s="332"/>
      <c r="N151" s="330"/>
      <c r="O151" s="331"/>
    </row>
    <row r="152" spans="1:15" x14ac:dyDescent="0.25">
      <c r="A152" s="226">
        <v>16</v>
      </c>
      <c r="B152" s="1311" t="s">
        <v>960</v>
      </c>
      <c r="C152" s="1312"/>
      <c r="D152" s="1313"/>
      <c r="E152" s="323">
        <f>SUM(E131:E151)</f>
        <v>0</v>
      </c>
      <c r="F152" s="348"/>
      <c r="G152" s="323">
        <f>SUM(G131:G151)</f>
        <v>0</v>
      </c>
      <c r="H152" s="339">
        <f>SUM(H131:H151)</f>
        <v>0</v>
      </c>
      <c r="I152" s="339">
        <f>SUM(I131:I151)</f>
        <v>0</v>
      </c>
      <c r="J152" s="323">
        <f>SUM(J131:J151)</f>
        <v>0</v>
      </c>
      <c r="K152" s="348"/>
      <c r="L152" s="323">
        <f>SUM(L131:L151)</f>
        <v>0</v>
      </c>
      <c r="M152" s="323">
        <f>SUM(M131:M151)</f>
        <v>0</v>
      </c>
      <c r="N152" s="323">
        <f>SUM(N131:N151)</f>
        <v>0</v>
      </c>
      <c r="O152" s="213"/>
    </row>
    <row r="153" spans="1:15" ht="25.5" customHeight="1" x14ac:dyDescent="0.25">
      <c r="A153" s="226">
        <v>17</v>
      </c>
      <c r="B153" s="1333" t="s">
        <v>1376</v>
      </c>
      <c r="C153" s="1334"/>
      <c r="D153" s="1335"/>
      <c r="E153" s="336"/>
      <c r="F153" s="338"/>
      <c r="G153" s="350"/>
      <c r="H153" s="340"/>
      <c r="I153" s="340"/>
      <c r="J153" s="322"/>
      <c r="K153" s="340"/>
      <c r="L153" s="322"/>
      <c r="M153" s="322"/>
      <c r="N153" s="322"/>
      <c r="O153" s="212"/>
    </row>
    <row r="154" spans="1:15" x14ac:dyDescent="0.25">
      <c r="A154" s="229"/>
      <c r="B154" s="230"/>
      <c r="C154" s="231"/>
      <c r="D154" s="232"/>
      <c r="E154" s="322"/>
      <c r="F154" s="322"/>
      <c r="G154" s="322"/>
      <c r="H154" s="340"/>
      <c r="I154" s="340"/>
      <c r="J154" s="322"/>
      <c r="K154" s="340"/>
      <c r="L154" s="322"/>
      <c r="M154" s="322"/>
      <c r="N154" s="322"/>
      <c r="O154" s="212"/>
    </row>
    <row r="155" spans="1:15" x14ac:dyDescent="0.25">
      <c r="A155" s="360" t="s">
        <v>961</v>
      </c>
      <c r="B155" s="358"/>
      <c r="C155" s="378"/>
      <c r="D155" s="378"/>
      <c r="E155" s="379"/>
      <c r="F155" s="379"/>
      <c r="G155" s="379"/>
      <c r="H155" s="379"/>
      <c r="I155" s="379"/>
      <c r="J155" s="379"/>
      <c r="K155" s="379"/>
      <c r="L155" s="379"/>
      <c r="M155" s="379"/>
      <c r="N155" s="379"/>
      <c r="O155" s="331"/>
    </row>
    <row r="156" spans="1:15" x14ac:dyDescent="0.25">
      <c r="A156" s="360"/>
      <c r="B156" s="380"/>
      <c r="C156" s="378"/>
      <c r="D156" s="378"/>
      <c r="E156" s="379"/>
      <c r="F156" s="379"/>
      <c r="G156" s="379"/>
      <c r="H156" s="379"/>
      <c r="I156" s="379"/>
      <c r="J156" s="379"/>
      <c r="K156" s="379"/>
      <c r="L156" s="379"/>
      <c r="M156" s="379"/>
      <c r="N156" s="379"/>
      <c r="O156" s="331"/>
    </row>
    <row r="157" spans="1:15" x14ac:dyDescent="0.25">
      <c r="A157" s="220">
        <v>19</v>
      </c>
      <c r="B157" s="1311" t="s">
        <v>962</v>
      </c>
      <c r="C157" s="1312"/>
      <c r="D157" s="1313"/>
      <c r="E157" s="323">
        <f>SUM(E155:E156)</f>
        <v>0</v>
      </c>
      <c r="F157" s="386"/>
      <c r="G157" s="323">
        <f>SUM(G155:G156)</f>
        <v>0</v>
      </c>
      <c r="H157" s="323">
        <f t="shared" ref="H157:N157" si="33">SUM(H155:H156)</f>
        <v>0</v>
      </c>
      <c r="I157" s="323">
        <f t="shared" si="33"/>
        <v>0</v>
      </c>
      <c r="J157" s="323">
        <f t="shared" si="33"/>
        <v>0</v>
      </c>
      <c r="K157" s="348"/>
      <c r="L157" s="323">
        <f t="shared" si="33"/>
        <v>0</v>
      </c>
      <c r="M157" s="323">
        <f t="shared" si="33"/>
        <v>0</v>
      </c>
      <c r="N157" s="323">
        <f t="shared" si="33"/>
        <v>0</v>
      </c>
      <c r="O157" s="323"/>
    </row>
    <row r="158" spans="1:15" ht="26.25" customHeight="1" x14ac:dyDescent="0.25">
      <c r="A158" s="220">
        <v>20</v>
      </c>
      <c r="B158" s="1318" t="s">
        <v>1382</v>
      </c>
      <c r="C158" s="1319"/>
      <c r="D158" s="1320"/>
      <c r="E158" s="336"/>
      <c r="F158" s="322"/>
      <c r="G158" s="324"/>
      <c r="H158" s="338"/>
      <c r="I158" s="338"/>
      <c r="J158" s="324"/>
      <c r="K158" s="338"/>
      <c r="L158" s="324"/>
      <c r="M158" s="324"/>
      <c r="N158" s="324"/>
      <c r="O158" s="468"/>
    </row>
    <row r="159" spans="1:15" x14ac:dyDescent="0.25">
      <c r="A159" s="229"/>
      <c r="B159" s="230"/>
      <c r="C159" s="231"/>
      <c r="D159" s="232"/>
      <c r="E159" s="322"/>
      <c r="F159" s="322"/>
      <c r="G159" s="324"/>
      <c r="H159" s="338"/>
      <c r="I159" s="338"/>
      <c r="J159" s="324"/>
      <c r="K159" s="338"/>
      <c r="L159" s="324"/>
      <c r="M159" s="324"/>
      <c r="N159" s="324"/>
      <c r="O159" s="468"/>
    </row>
    <row r="160" spans="1:15" x14ac:dyDescent="0.25">
      <c r="A160" s="360" t="s">
        <v>963</v>
      </c>
      <c r="B160" s="358"/>
      <c r="C160" s="378"/>
      <c r="D160" s="378"/>
      <c r="E160" s="379"/>
      <c r="F160" s="379"/>
      <c r="G160" s="336"/>
      <c r="H160" s="336"/>
      <c r="I160" s="336"/>
      <c r="J160" s="336"/>
      <c r="K160" s="336"/>
      <c r="L160" s="336"/>
      <c r="M160" s="336"/>
      <c r="N160" s="336"/>
      <c r="O160" s="332"/>
    </row>
    <row r="161" spans="1:15" x14ac:dyDescent="0.25">
      <c r="A161" s="360"/>
      <c r="B161" s="380"/>
      <c r="C161" s="378"/>
      <c r="D161" s="378"/>
      <c r="E161" s="379"/>
      <c r="F161" s="379"/>
      <c r="G161" s="336"/>
      <c r="H161" s="336"/>
      <c r="I161" s="336"/>
      <c r="J161" s="336"/>
      <c r="K161" s="336"/>
      <c r="L161" s="336"/>
      <c r="M161" s="336"/>
      <c r="N161" s="336"/>
      <c r="O161" s="332"/>
    </row>
    <row r="162" spans="1:15" x14ac:dyDescent="0.25">
      <c r="A162" s="220">
        <v>22</v>
      </c>
      <c r="B162" s="1311" t="s">
        <v>964</v>
      </c>
      <c r="C162" s="1312"/>
      <c r="D162" s="1313"/>
      <c r="E162" s="323">
        <f>SUM(E160:E161)</f>
        <v>0</v>
      </c>
      <c r="F162" s="386"/>
      <c r="G162" s="323">
        <f>SUM(G160:G161)</f>
        <v>0</v>
      </c>
      <c r="H162" s="323">
        <f>SUM(H160:H161)</f>
        <v>0</v>
      </c>
      <c r="I162" s="323">
        <f>SUM(I160:I161)</f>
        <v>0</v>
      </c>
      <c r="J162" s="323">
        <f>SUM(J160:J161)</f>
        <v>0</v>
      </c>
      <c r="K162" s="348"/>
      <c r="L162" s="323">
        <f>SUM(L160:L161)</f>
        <v>0</v>
      </c>
      <c r="M162" s="323">
        <f>SUM(M160:M161)</f>
        <v>0</v>
      </c>
      <c r="N162" s="323">
        <f>SUM(N160:N161)</f>
        <v>0</v>
      </c>
      <c r="O162" s="323"/>
    </row>
    <row r="163" spans="1:15" ht="26.25" customHeight="1" x14ac:dyDescent="0.25">
      <c r="A163" s="220">
        <v>23</v>
      </c>
      <c r="B163" s="1318" t="s">
        <v>1383</v>
      </c>
      <c r="C163" s="1319"/>
      <c r="D163" s="1320"/>
      <c r="E163" s="336"/>
      <c r="F163" s="322"/>
      <c r="G163" s="322"/>
      <c r="H163" s="340"/>
      <c r="I163" s="340"/>
      <c r="J163" s="322"/>
      <c r="K163" s="340"/>
      <c r="L163" s="322"/>
      <c r="M163" s="322"/>
      <c r="N163" s="322"/>
      <c r="O163" s="212"/>
    </row>
    <row r="164" spans="1:15" x14ac:dyDescent="0.25">
      <c r="A164" s="229"/>
      <c r="B164" s="230"/>
      <c r="C164" s="231"/>
      <c r="D164" s="232"/>
      <c r="E164" s="322"/>
      <c r="F164" s="322"/>
      <c r="G164" s="322"/>
      <c r="H164" s="340"/>
      <c r="I164" s="340"/>
      <c r="J164" s="322"/>
      <c r="K164" s="340"/>
      <c r="L164" s="322"/>
      <c r="M164" s="322"/>
      <c r="N164" s="322"/>
      <c r="O164" s="212"/>
    </row>
    <row r="165" spans="1:15" x14ac:dyDescent="0.25">
      <c r="A165" s="229"/>
      <c r="B165" s="230" t="s">
        <v>965</v>
      </c>
      <c r="C165" s="231"/>
      <c r="D165" s="232"/>
      <c r="E165" s="322"/>
      <c r="F165" s="322"/>
      <c r="G165" s="322"/>
      <c r="H165" s="340"/>
      <c r="I165" s="340"/>
      <c r="J165" s="322"/>
      <c r="K165" s="340"/>
      <c r="L165" s="322"/>
      <c r="M165" s="322"/>
      <c r="N165" s="322"/>
      <c r="O165" s="212"/>
    </row>
    <row r="166" spans="1:15" x14ac:dyDescent="0.25">
      <c r="A166" s="226" t="s">
        <v>966</v>
      </c>
      <c r="B166" s="240">
        <v>417</v>
      </c>
      <c r="C166" s="329">
        <v>4863135</v>
      </c>
      <c r="D166" s="236" t="s">
        <v>967</v>
      </c>
      <c r="E166" s="333"/>
      <c r="F166" s="326" t="str">
        <f t="shared" ref="F166:F180" si="34">$J$2</f>
        <v>GRSM</v>
      </c>
      <c r="G166" s="326">
        <f t="shared" ref="G166:G180" si="35">IF(F166=$G$2,E166,0)</f>
        <v>0</v>
      </c>
      <c r="H166" s="224">
        <v>0</v>
      </c>
      <c r="I166" s="224">
        <f t="shared" ref="I166:I180" si="36">G166-H166</f>
        <v>0</v>
      </c>
      <c r="J166" s="326">
        <f t="shared" ref="J166:J180" si="37">IF(F166=$J$2,E166,0)</f>
        <v>0</v>
      </c>
      <c r="K166" s="223" t="s">
        <v>673</v>
      </c>
      <c r="L166" s="330"/>
      <c r="M166" s="325">
        <f t="shared" ref="M166:M180" si="38">J166-L166</f>
        <v>0</v>
      </c>
      <c r="N166" s="326">
        <f t="shared" ref="N166:N180" si="39">IF(F166=$N$2,E166,0)</f>
        <v>0</v>
      </c>
      <c r="O166" s="228">
        <v>2</v>
      </c>
    </row>
    <row r="167" spans="1:15" x14ac:dyDescent="0.25">
      <c r="A167" s="226" t="s">
        <v>968</v>
      </c>
      <c r="B167" s="240">
        <v>417</v>
      </c>
      <c r="C167" s="329">
        <v>4863130</v>
      </c>
      <c r="D167" s="236" t="s">
        <v>969</v>
      </c>
      <c r="E167" s="333"/>
      <c r="F167" s="326" t="str">
        <f t="shared" si="34"/>
        <v>GRSM</v>
      </c>
      <c r="G167" s="326">
        <f t="shared" si="35"/>
        <v>0</v>
      </c>
      <c r="H167" s="224">
        <v>0</v>
      </c>
      <c r="I167" s="224">
        <f t="shared" si="36"/>
        <v>0</v>
      </c>
      <c r="J167" s="326">
        <f t="shared" si="37"/>
        <v>0</v>
      </c>
      <c r="K167" s="223" t="s">
        <v>673</v>
      </c>
      <c r="L167" s="330"/>
      <c r="M167" s="325">
        <f t="shared" si="38"/>
        <v>0</v>
      </c>
      <c r="N167" s="326">
        <f t="shared" si="39"/>
        <v>0</v>
      </c>
      <c r="O167" s="228">
        <v>2</v>
      </c>
    </row>
    <row r="168" spans="1:15" x14ac:dyDescent="0.25">
      <c r="A168" s="226" t="s">
        <v>970</v>
      </c>
      <c r="B168" s="240">
        <v>417</v>
      </c>
      <c r="C168" s="329">
        <v>4862110</v>
      </c>
      <c r="D168" s="236" t="s">
        <v>971</v>
      </c>
      <c r="E168" s="333"/>
      <c r="F168" s="326" t="str">
        <f t="shared" si="34"/>
        <v>GRSM</v>
      </c>
      <c r="G168" s="326">
        <f t="shared" si="35"/>
        <v>0</v>
      </c>
      <c r="H168" s="224">
        <v>0</v>
      </c>
      <c r="I168" s="224">
        <f t="shared" si="36"/>
        <v>0</v>
      </c>
      <c r="J168" s="326">
        <f t="shared" si="37"/>
        <v>0</v>
      </c>
      <c r="K168" s="223" t="s">
        <v>615</v>
      </c>
      <c r="L168" s="330"/>
      <c r="M168" s="325">
        <f t="shared" si="38"/>
        <v>0</v>
      </c>
      <c r="N168" s="326">
        <f t="shared" si="39"/>
        <v>0</v>
      </c>
      <c r="O168" s="228">
        <v>2</v>
      </c>
    </row>
    <row r="169" spans="1:15" x14ac:dyDescent="0.25">
      <c r="A169" s="226" t="s">
        <v>972</v>
      </c>
      <c r="B169" s="240">
        <v>417</v>
      </c>
      <c r="C169" s="329">
        <v>4862115</v>
      </c>
      <c r="D169" s="236" t="s">
        <v>973</v>
      </c>
      <c r="E169" s="333"/>
      <c r="F169" s="326" t="str">
        <f t="shared" si="34"/>
        <v>GRSM</v>
      </c>
      <c r="G169" s="326">
        <f t="shared" si="35"/>
        <v>0</v>
      </c>
      <c r="H169" s="224">
        <v>0</v>
      </c>
      <c r="I169" s="224">
        <f t="shared" si="36"/>
        <v>0</v>
      </c>
      <c r="J169" s="326">
        <f t="shared" si="37"/>
        <v>0</v>
      </c>
      <c r="K169" s="223" t="s">
        <v>615</v>
      </c>
      <c r="L169" s="330"/>
      <c r="M169" s="325">
        <f t="shared" si="38"/>
        <v>0</v>
      </c>
      <c r="N169" s="326">
        <f t="shared" si="39"/>
        <v>0</v>
      </c>
      <c r="O169" s="228">
        <v>2</v>
      </c>
    </row>
    <row r="170" spans="1:15" x14ac:dyDescent="0.25">
      <c r="A170" s="226" t="s">
        <v>974</v>
      </c>
      <c r="B170" s="240">
        <v>417</v>
      </c>
      <c r="C170" s="329">
        <v>4862120</v>
      </c>
      <c r="D170" s="236" t="s">
        <v>975</v>
      </c>
      <c r="E170" s="333"/>
      <c r="F170" s="326" t="str">
        <f t="shared" si="34"/>
        <v>GRSM</v>
      </c>
      <c r="G170" s="326">
        <f t="shared" si="35"/>
        <v>0</v>
      </c>
      <c r="H170" s="224">
        <v>0</v>
      </c>
      <c r="I170" s="224">
        <f t="shared" si="36"/>
        <v>0</v>
      </c>
      <c r="J170" s="326">
        <f t="shared" si="37"/>
        <v>0</v>
      </c>
      <c r="K170" s="223" t="s">
        <v>615</v>
      </c>
      <c r="L170" s="330"/>
      <c r="M170" s="325">
        <f t="shared" si="38"/>
        <v>0</v>
      </c>
      <c r="N170" s="326">
        <f t="shared" si="39"/>
        <v>0</v>
      </c>
      <c r="O170" s="228">
        <v>2</v>
      </c>
    </row>
    <row r="171" spans="1:15" x14ac:dyDescent="0.25">
      <c r="A171" s="226" t="s">
        <v>976</v>
      </c>
      <c r="B171" s="240">
        <v>417</v>
      </c>
      <c r="C171" s="329">
        <v>4862135</v>
      </c>
      <c r="D171" s="236" t="s">
        <v>977</v>
      </c>
      <c r="E171" s="333"/>
      <c r="F171" s="326" t="str">
        <f t="shared" si="34"/>
        <v>GRSM</v>
      </c>
      <c r="G171" s="326">
        <f t="shared" si="35"/>
        <v>0</v>
      </c>
      <c r="H171" s="224">
        <v>0</v>
      </c>
      <c r="I171" s="224">
        <f t="shared" si="36"/>
        <v>0</v>
      </c>
      <c r="J171" s="326">
        <f t="shared" si="37"/>
        <v>0</v>
      </c>
      <c r="K171" s="223" t="s">
        <v>615</v>
      </c>
      <c r="L171" s="330"/>
      <c r="M171" s="325">
        <f t="shared" si="38"/>
        <v>0</v>
      </c>
      <c r="N171" s="326">
        <f t="shared" si="39"/>
        <v>0</v>
      </c>
      <c r="O171" s="228">
        <v>2</v>
      </c>
    </row>
    <row r="172" spans="1:15" x14ac:dyDescent="0.25">
      <c r="A172" s="226" t="s">
        <v>978</v>
      </c>
      <c r="B172" s="240">
        <v>417</v>
      </c>
      <c r="C172" s="329">
        <v>4864110</v>
      </c>
      <c r="D172" s="673" t="s">
        <v>1981</v>
      </c>
      <c r="E172" s="333"/>
      <c r="F172" s="326" t="str">
        <f t="shared" si="34"/>
        <v>GRSM</v>
      </c>
      <c r="G172" s="326">
        <f t="shared" si="35"/>
        <v>0</v>
      </c>
      <c r="H172" s="224">
        <v>0</v>
      </c>
      <c r="I172" s="224">
        <f t="shared" si="36"/>
        <v>0</v>
      </c>
      <c r="J172" s="326">
        <f t="shared" si="37"/>
        <v>0</v>
      </c>
      <c r="K172" s="223" t="s">
        <v>615</v>
      </c>
      <c r="L172" s="330"/>
      <c r="M172" s="325">
        <f t="shared" si="38"/>
        <v>0</v>
      </c>
      <c r="N172" s="326">
        <f t="shared" si="39"/>
        <v>0</v>
      </c>
      <c r="O172" s="228">
        <v>2</v>
      </c>
    </row>
    <row r="173" spans="1:15" x14ac:dyDescent="0.25">
      <c r="A173" s="226" t="s">
        <v>979</v>
      </c>
      <c r="B173" s="240">
        <v>417</v>
      </c>
      <c r="C173" s="329">
        <v>4864115</v>
      </c>
      <c r="D173" s="236" t="s">
        <v>980</v>
      </c>
      <c r="E173" s="333"/>
      <c r="F173" s="326" t="str">
        <f t="shared" si="34"/>
        <v>GRSM</v>
      </c>
      <c r="G173" s="326">
        <f t="shared" si="35"/>
        <v>0</v>
      </c>
      <c r="H173" s="224">
        <v>0</v>
      </c>
      <c r="I173" s="224">
        <f t="shared" si="36"/>
        <v>0</v>
      </c>
      <c r="J173" s="326">
        <f t="shared" si="37"/>
        <v>0</v>
      </c>
      <c r="K173" s="223" t="s">
        <v>615</v>
      </c>
      <c r="L173" s="330"/>
      <c r="M173" s="325">
        <f t="shared" si="38"/>
        <v>0</v>
      </c>
      <c r="N173" s="326">
        <f t="shared" si="39"/>
        <v>0</v>
      </c>
      <c r="O173" s="228">
        <v>2</v>
      </c>
    </row>
    <row r="174" spans="1:15" x14ac:dyDescent="0.25">
      <c r="A174" s="226" t="s">
        <v>981</v>
      </c>
      <c r="B174" s="240">
        <v>417</v>
      </c>
      <c r="C174" s="329">
        <v>4862125</v>
      </c>
      <c r="D174" s="236" t="s">
        <v>982</v>
      </c>
      <c r="E174" s="333"/>
      <c r="F174" s="326" t="str">
        <f t="shared" si="34"/>
        <v>GRSM</v>
      </c>
      <c r="G174" s="326">
        <f t="shared" si="35"/>
        <v>0</v>
      </c>
      <c r="H174" s="224">
        <v>0</v>
      </c>
      <c r="I174" s="224">
        <f t="shared" si="36"/>
        <v>0</v>
      </c>
      <c r="J174" s="326">
        <f t="shared" si="37"/>
        <v>0</v>
      </c>
      <c r="K174" s="223" t="s">
        <v>615</v>
      </c>
      <c r="L174" s="330"/>
      <c r="M174" s="325">
        <f t="shared" si="38"/>
        <v>0</v>
      </c>
      <c r="N174" s="326">
        <f t="shared" si="39"/>
        <v>0</v>
      </c>
      <c r="O174" s="228">
        <v>2</v>
      </c>
    </row>
    <row r="175" spans="1:15" x14ac:dyDescent="0.25">
      <c r="A175" s="226" t="s">
        <v>983</v>
      </c>
      <c r="B175" s="240">
        <v>417</v>
      </c>
      <c r="C175" s="329">
        <v>4862130</v>
      </c>
      <c r="D175" s="236" t="s">
        <v>984</v>
      </c>
      <c r="E175" s="333"/>
      <c r="F175" s="326" t="str">
        <f t="shared" si="34"/>
        <v>GRSM</v>
      </c>
      <c r="G175" s="326">
        <f t="shared" si="35"/>
        <v>0</v>
      </c>
      <c r="H175" s="224">
        <v>0</v>
      </c>
      <c r="I175" s="224">
        <f t="shared" si="36"/>
        <v>0</v>
      </c>
      <c r="J175" s="326">
        <f t="shared" si="37"/>
        <v>0</v>
      </c>
      <c r="K175" s="223" t="s">
        <v>615</v>
      </c>
      <c r="L175" s="330"/>
      <c r="M175" s="325">
        <f t="shared" si="38"/>
        <v>0</v>
      </c>
      <c r="N175" s="326">
        <f t="shared" si="39"/>
        <v>0</v>
      </c>
      <c r="O175" s="228">
        <v>2</v>
      </c>
    </row>
    <row r="176" spans="1:15" x14ac:dyDescent="0.25">
      <c r="A176" s="226" t="s">
        <v>985</v>
      </c>
      <c r="B176" s="240">
        <v>417</v>
      </c>
      <c r="C176" s="329">
        <v>4863120</v>
      </c>
      <c r="D176" s="236" t="s">
        <v>986</v>
      </c>
      <c r="E176" s="333"/>
      <c r="F176" s="326" t="str">
        <f t="shared" si="34"/>
        <v>GRSM</v>
      </c>
      <c r="G176" s="326">
        <f t="shared" si="35"/>
        <v>0</v>
      </c>
      <c r="H176" s="224">
        <v>0</v>
      </c>
      <c r="I176" s="224">
        <f t="shared" si="36"/>
        <v>0</v>
      </c>
      <c r="J176" s="326">
        <f t="shared" si="37"/>
        <v>0</v>
      </c>
      <c r="K176" s="223" t="s">
        <v>673</v>
      </c>
      <c r="L176" s="330"/>
      <c r="M176" s="325">
        <f t="shared" si="38"/>
        <v>0</v>
      </c>
      <c r="N176" s="326">
        <f t="shared" si="39"/>
        <v>0</v>
      </c>
      <c r="O176" s="228">
        <v>2</v>
      </c>
    </row>
    <row r="177" spans="1:15" x14ac:dyDescent="0.25">
      <c r="A177" s="226" t="s">
        <v>987</v>
      </c>
      <c r="B177" s="240">
        <v>417</v>
      </c>
      <c r="C177" s="329">
        <v>4863110</v>
      </c>
      <c r="D177" s="236" t="s">
        <v>988</v>
      </c>
      <c r="E177" s="333"/>
      <c r="F177" s="326" t="str">
        <f t="shared" si="34"/>
        <v>GRSM</v>
      </c>
      <c r="G177" s="326">
        <f t="shared" si="35"/>
        <v>0</v>
      </c>
      <c r="H177" s="224">
        <v>0</v>
      </c>
      <c r="I177" s="224">
        <f t="shared" si="36"/>
        <v>0</v>
      </c>
      <c r="J177" s="326">
        <f t="shared" si="37"/>
        <v>0</v>
      </c>
      <c r="K177" s="223" t="s">
        <v>673</v>
      </c>
      <c r="L177" s="330"/>
      <c r="M177" s="325">
        <f t="shared" si="38"/>
        <v>0</v>
      </c>
      <c r="N177" s="326">
        <f t="shared" si="39"/>
        <v>0</v>
      </c>
      <c r="O177" s="228">
        <v>2</v>
      </c>
    </row>
    <row r="178" spans="1:15" x14ac:dyDescent="0.25">
      <c r="A178" s="226" t="s">
        <v>989</v>
      </c>
      <c r="B178" s="240">
        <v>417</v>
      </c>
      <c r="C178" s="329">
        <v>4863115</v>
      </c>
      <c r="D178" s="236" t="s">
        <v>990</v>
      </c>
      <c r="E178" s="333"/>
      <c r="F178" s="326" t="str">
        <f t="shared" si="34"/>
        <v>GRSM</v>
      </c>
      <c r="G178" s="326">
        <f t="shared" si="35"/>
        <v>0</v>
      </c>
      <c r="H178" s="224">
        <v>0</v>
      </c>
      <c r="I178" s="224">
        <f t="shared" si="36"/>
        <v>0</v>
      </c>
      <c r="J178" s="326">
        <f t="shared" si="37"/>
        <v>0</v>
      </c>
      <c r="K178" s="223" t="s">
        <v>673</v>
      </c>
      <c r="L178" s="330"/>
      <c r="M178" s="325">
        <f t="shared" si="38"/>
        <v>0</v>
      </c>
      <c r="N178" s="326">
        <f t="shared" si="39"/>
        <v>0</v>
      </c>
      <c r="O178" s="228">
        <v>2</v>
      </c>
    </row>
    <row r="179" spans="1:15" x14ac:dyDescent="0.25">
      <c r="A179" s="226" t="s">
        <v>991</v>
      </c>
      <c r="B179" s="240">
        <v>417</v>
      </c>
      <c r="C179" s="329">
        <v>4863125</v>
      </c>
      <c r="D179" s="236" t="s">
        <v>992</v>
      </c>
      <c r="E179" s="333"/>
      <c r="F179" s="326" t="str">
        <f t="shared" si="34"/>
        <v>GRSM</v>
      </c>
      <c r="G179" s="326">
        <f t="shared" si="35"/>
        <v>0</v>
      </c>
      <c r="H179" s="224">
        <v>0</v>
      </c>
      <c r="I179" s="224">
        <f t="shared" si="36"/>
        <v>0</v>
      </c>
      <c r="J179" s="326">
        <f t="shared" si="37"/>
        <v>0</v>
      </c>
      <c r="K179" s="223" t="s">
        <v>673</v>
      </c>
      <c r="L179" s="330"/>
      <c r="M179" s="325">
        <f t="shared" si="38"/>
        <v>0</v>
      </c>
      <c r="N179" s="326">
        <f t="shared" si="39"/>
        <v>0</v>
      </c>
      <c r="O179" s="228">
        <v>2</v>
      </c>
    </row>
    <row r="180" spans="1:15" x14ac:dyDescent="0.25">
      <c r="A180" s="226" t="s">
        <v>993</v>
      </c>
      <c r="B180" s="240">
        <v>417</v>
      </c>
      <c r="C180" s="329">
        <v>4864120</v>
      </c>
      <c r="D180" s="236" t="s">
        <v>994</v>
      </c>
      <c r="E180" s="333"/>
      <c r="F180" s="326" t="str">
        <f t="shared" si="34"/>
        <v>GRSM</v>
      </c>
      <c r="G180" s="326">
        <f t="shared" si="35"/>
        <v>0</v>
      </c>
      <c r="H180" s="224">
        <v>0</v>
      </c>
      <c r="I180" s="224">
        <f t="shared" si="36"/>
        <v>0</v>
      </c>
      <c r="J180" s="326">
        <f t="shared" si="37"/>
        <v>0</v>
      </c>
      <c r="K180" s="223" t="s">
        <v>615</v>
      </c>
      <c r="L180" s="330"/>
      <c r="M180" s="325">
        <f t="shared" si="38"/>
        <v>0</v>
      </c>
      <c r="N180" s="326">
        <f t="shared" si="39"/>
        <v>0</v>
      </c>
      <c r="O180" s="228">
        <v>2</v>
      </c>
    </row>
    <row r="181" spans="1:15" x14ac:dyDescent="0.25">
      <c r="A181" s="360"/>
      <c r="B181" s="358"/>
      <c r="C181" s="359"/>
      <c r="D181" s="357"/>
      <c r="E181" s="337"/>
      <c r="F181" s="337"/>
      <c r="G181" s="334"/>
      <c r="H181" s="332"/>
      <c r="I181" s="332"/>
      <c r="J181" s="330"/>
      <c r="K181" s="331"/>
      <c r="L181" s="330"/>
      <c r="M181" s="330"/>
      <c r="N181" s="330"/>
      <c r="O181" s="331"/>
    </row>
    <row r="182" spans="1:15" x14ac:dyDescent="0.25">
      <c r="A182" s="360"/>
      <c r="B182" s="358"/>
      <c r="C182" s="359"/>
      <c r="D182" s="357"/>
      <c r="E182" s="337"/>
      <c r="F182" s="337"/>
      <c r="G182" s="334"/>
      <c r="H182" s="332"/>
      <c r="I182" s="332"/>
      <c r="J182" s="330"/>
      <c r="K182" s="331"/>
      <c r="L182" s="330"/>
      <c r="M182" s="330"/>
      <c r="N182" s="330"/>
      <c r="O182" s="331"/>
    </row>
    <row r="183" spans="1:15" x14ac:dyDescent="0.25">
      <c r="A183" s="226">
        <v>25</v>
      </c>
      <c r="B183" s="1321" t="s">
        <v>995</v>
      </c>
      <c r="C183" s="1312"/>
      <c r="D183" s="1313"/>
      <c r="E183" s="323">
        <f>SUM(E166:E182)</f>
        <v>0</v>
      </c>
      <c r="F183" s="348"/>
      <c r="G183" s="323">
        <f>SUM(G166:G182)</f>
        <v>0</v>
      </c>
      <c r="H183" s="339">
        <f>SUM(H166:H182)</f>
        <v>0</v>
      </c>
      <c r="I183" s="339">
        <f>SUM(I166:I182)</f>
        <v>0</v>
      </c>
      <c r="J183" s="323">
        <f>SUM(J166:J182)</f>
        <v>0</v>
      </c>
      <c r="K183" s="348"/>
      <c r="L183" s="323">
        <f>SUM(L166:L182)</f>
        <v>0</v>
      </c>
      <c r="M183" s="323">
        <f>SUM(M166:M182)</f>
        <v>0</v>
      </c>
      <c r="N183" s="323">
        <f>SUM(N166:N182)</f>
        <v>0</v>
      </c>
      <c r="O183" s="213"/>
    </row>
    <row r="184" spans="1:15" x14ac:dyDescent="0.25">
      <c r="A184" s="226">
        <v>26</v>
      </c>
      <c r="B184" s="1321" t="s">
        <v>996</v>
      </c>
      <c r="C184" s="1312"/>
      <c r="D184" s="1313"/>
      <c r="E184" s="336"/>
      <c r="F184" s="324"/>
      <c r="G184" s="322"/>
      <c r="H184" s="340"/>
      <c r="I184" s="340"/>
      <c r="J184" s="322"/>
      <c r="K184" s="340"/>
      <c r="L184" s="322"/>
      <c r="M184" s="322"/>
      <c r="N184" s="322"/>
      <c r="O184" s="212"/>
    </row>
    <row r="185" spans="1:15" ht="25.5" customHeight="1" x14ac:dyDescent="0.25">
      <c r="A185" s="226">
        <v>27</v>
      </c>
      <c r="B185" s="1333" t="s">
        <v>1385</v>
      </c>
      <c r="C185" s="1334"/>
      <c r="D185" s="1335"/>
      <c r="E185" s="336"/>
      <c r="F185" s="381" t="s">
        <v>359</v>
      </c>
    </row>
    <row r="186" spans="1:15" x14ac:dyDescent="0.25">
      <c r="A186" s="234"/>
    </row>
    <row r="187" spans="1:15" x14ac:dyDescent="0.25">
      <c r="B187" s="40" t="s">
        <v>997</v>
      </c>
    </row>
    <row r="188" spans="1:15" x14ac:dyDescent="0.25">
      <c r="A188" s="223" t="s">
        <v>998</v>
      </c>
      <c r="B188" s="1322">
        <v>418.1</v>
      </c>
      <c r="C188" s="1323"/>
      <c r="D188" s="236" t="s">
        <v>999</v>
      </c>
      <c r="E188" s="333"/>
      <c r="F188" s="326" t="str">
        <f>$J$2</f>
        <v>GRSM</v>
      </c>
      <c r="G188" s="326">
        <f t="shared" ref="G188:G193" si="40">IF(F188=$G$2,E188,0)</f>
        <v>0</v>
      </c>
      <c r="H188" s="223">
        <v>0</v>
      </c>
      <c r="I188" s="224">
        <f t="shared" ref="I188:I193" si="41">G188-H188</f>
        <v>0</v>
      </c>
      <c r="J188" s="326">
        <f>IF(F188=$J$2,E188,0)</f>
        <v>0</v>
      </c>
      <c r="K188" s="366" t="s">
        <v>615</v>
      </c>
      <c r="L188" s="330"/>
      <c r="M188" s="225">
        <f t="shared" ref="M188:M193" si="42">J188-L188</f>
        <v>0</v>
      </c>
      <c r="N188" s="326">
        <f t="shared" ref="N188:N193" si="43">IF(F188=$N$2,E188,0)</f>
        <v>0</v>
      </c>
      <c r="O188" s="228" t="s">
        <v>1000</v>
      </c>
    </row>
    <row r="189" spans="1:15" x14ac:dyDescent="0.25">
      <c r="A189" s="223" t="s">
        <v>1001</v>
      </c>
      <c r="B189" s="1322">
        <v>418.1</v>
      </c>
      <c r="C189" s="1323"/>
      <c r="D189" s="236" t="s">
        <v>1002</v>
      </c>
      <c r="E189" s="333"/>
      <c r="F189" s="326" t="str">
        <f>$J$2</f>
        <v>GRSM</v>
      </c>
      <c r="G189" s="326">
        <f t="shared" si="40"/>
        <v>0</v>
      </c>
      <c r="H189" s="223">
        <v>0</v>
      </c>
      <c r="I189" s="224">
        <f t="shared" si="41"/>
        <v>0</v>
      </c>
      <c r="J189" s="326">
        <f>IF(F189=$J$2,E189,0)</f>
        <v>0</v>
      </c>
      <c r="K189" s="366" t="s">
        <v>673</v>
      </c>
      <c r="L189" s="330"/>
      <c r="M189" s="225">
        <f t="shared" si="42"/>
        <v>0</v>
      </c>
      <c r="N189" s="326">
        <f t="shared" si="43"/>
        <v>0</v>
      </c>
      <c r="O189" s="228" t="s">
        <v>1000</v>
      </c>
    </row>
    <row r="190" spans="1:15" x14ac:dyDescent="0.25">
      <c r="A190" s="223" t="s">
        <v>1003</v>
      </c>
      <c r="B190" s="1322">
        <v>418.1</v>
      </c>
      <c r="C190" s="1323"/>
      <c r="D190" s="673" t="s">
        <v>1918</v>
      </c>
      <c r="E190" s="333"/>
      <c r="F190" s="674" t="s">
        <v>630</v>
      </c>
      <c r="G190" s="326">
        <f t="shared" si="40"/>
        <v>0</v>
      </c>
      <c r="H190" s="223">
        <v>0</v>
      </c>
      <c r="I190" s="224">
        <f t="shared" si="41"/>
        <v>0</v>
      </c>
      <c r="J190" s="326">
        <f>IF(F190=$J$2,E190,0)</f>
        <v>0</v>
      </c>
      <c r="K190" s="675" t="s">
        <v>673</v>
      </c>
      <c r="L190" s="330"/>
      <c r="M190" s="225">
        <f t="shared" si="42"/>
        <v>0</v>
      </c>
      <c r="N190" s="326">
        <f t="shared" si="43"/>
        <v>0</v>
      </c>
      <c r="O190" s="671" t="s">
        <v>1919</v>
      </c>
    </row>
    <row r="191" spans="1:15" x14ac:dyDescent="0.25">
      <c r="A191" s="223" t="s">
        <v>1005</v>
      </c>
      <c r="B191" s="1322">
        <v>418.1</v>
      </c>
      <c r="C191" s="1323"/>
      <c r="D191" s="236" t="s">
        <v>1004</v>
      </c>
      <c r="E191" s="333"/>
      <c r="F191" s="326" t="str">
        <f>$G$2</f>
        <v>Traditional OOR</v>
      </c>
      <c r="G191" s="326">
        <f t="shared" si="40"/>
        <v>0</v>
      </c>
      <c r="H191" s="224">
        <v>0</v>
      </c>
      <c r="I191" s="224">
        <f t="shared" si="41"/>
        <v>0</v>
      </c>
      <c r="J191" s="326">
        <f>IF(F191=$J$2,E191,0)</f>
        <v>0</v>
      </c>
      <c r="K191" s="366"/>
      <c r="L191" s="330"/>
      <c r="M191" s="224">
        <f t="shared" si="42"/>
        <v>0</v>
      </c>
      <c r="N191" s="326">
        <f t="shared" si="43"/>
        <v>0</v>
      </c>
      <c r="O191" s="223">
        <v>13</v>
      </c>
    </row>
    <row r="192" spans="1:15" x14ac:dyDescent="0.25">
      <c r="A192" s="672" t="s">
        <v>1324</v>
      </c>
      <c r="B192" s="1322">
        <v>418.1</v>
      </c>
      <c r="C192" s="1323"/>
      <c r="D192" s="236" t="s">
        <v>1006</v>
      </c>
      <c r="E192" s="333"/>
      <c r="F192" s="326" t="str">
        <f>$G$2</f>
        <v>Traditional OOR</v>
      </c>
      <c r="G192" s="326">
        <f t="shared" si="40"/>
        <v>0</v>
      </c>
      <c r="H192" s="224">
        <v>0</v>
      </c>
      <c r="I192" s="224">
        <f t="shared" si="41"/>
        <v>0</v>
      </c>
      <c r="J192" s="326">
        <f>IF(F192=$J$2,E192,0)</f>
        <v>0</v>
      </c>
      <c r="K192" s="366"/>
      <c r="L192" s="330"/>
      <c r="M192" s="224">
        <f t="shared" si="42"/>
        <v>0</v>
      </c>
      <c r="N192" s="326">
        <f t="shared" si="43"/>
        <v>0</v>
      </c>
      <c r="O192" s="223">
        <v>14</v>
      </c>
    </row>
    <row r="193" spans="1:15" x14ac:dyDescent="0.25">
      <c r="A193" s="672" t="s">
        <v>1325</v>
      </c>
      <c r="B193" s="1144">
        <v>418.1</v>
      </c>
      <c r="C193" s="1221"/>
      <c r="D193" s="673" t="s">
        <v>2178</v>
      </c>
      <c r="E193" s="333"/>
      <c r="F193" s="326" t="str">
        <f>$G$2</f>
        <v>Traditional OOR</v>
      </c>
      <c r="G193" s="326">
        <f t="shared" si="40"/>
        <v>0</v>
      </c>
      <c r="H193" s="224">
        <f>E193*$D$234</f>
        <v>0</v>
      </c>
      <c r="I193" s="224">
        <f t="shared" si="41"/>
        <v>0</v>
      </c>
      <c r="J193" s="326">
        <v>0</v>
      </c>
      <c r="K193" s="366"/>
      <c r="L193" s="330"/>
      <c r="M193" s="224">
        <f t="shared" si="42"/>
        <v>0</v>
      </c>
      <c r="N193" s="326">
        <f t="shared" si="43"/>
        <v>0</v>
      </c>
      <c r="O193" s="672" t="s">
        <v>2774</v>
      </c>
    </row>
    <row r="194" spans="1:15" x14ac:dyDescent="0.25">
      <c r="A194" s="331"/>
      <c r="B194" s="373"/>
      <c r="C194" s="374"/>
      <c r="D194" s="375"/>
      <c r="E194" s="333"/>
      <c r="F194" s="330"/>
      <c r="G194" s="334"/>
      <c r="H194" s="331"/>
      <c r="I194" s="332"/>
      <c r="J194" s="330"/>
      <c r="K194" s="376"/>
      <c r="L194" s="330"/>
      <c r="M194" s="377"/>
      <c r="N194" s="330"/>
      <c r="O194" s="331"/>
    </row>
    <row r="195" spans="1:15" x14ac:dyDescent="0.25">
      <c r="A195" s="331"/>
      <c r="B195" s="373"/>
      <c r="C195" s="374"/>
      <c r="D195" s="375"/>
      <c r="E195" s="333"/>
      <c r="F195" s="330"/>
      <c r="G195" s="334"/>
      <c r="H195" s="331"/>
      <c r="I195" s="332"/>
      <c r="J195" s="330"/>
      <c r="K195" s="376"/>
      <c r="L195" s="330"/>
      <c r="M195" s="377"/>
      <c r="N195" s="330"/>
      <c r="O195" s="331"/>
    </row>
    <row r="196" spans="1:15" x14ac:dyDescent="0.25">
      <c r="A196" s="228">
        <v>29</v>
      </c>
      <c r="B196" s="1321" t="s">
        <v>1007</v>
      </c>
      <c r="C196" s="1312"/>
      <c r="D196" s="1313"/>
      <c r="E196" s="462">
        <f>SUM(E188:E195)</f>
        <v>0</v>
      </c>
      <c r="F196" s="385"/>
      <c r="G196" s="464">
        <f>SUM(G188:G195)</f>
        <v>0</v>
      </c>
      <c r="H196" s="464">
        <f>SUM(H188:H195)</f>
        <v>0</v>
      </c>
      <c r="I196" s="464">
        <f>SUM(I188:I195)</f>
        <v>0</v>
      </c>
      <c r="J196" s="462">
        <f>SUM(J188:J195)</f>
        <v>0</v>
      </c>
      <c r="K196" s="349"/>
      <c r="L196" s="462">
        <f>SUM(L188:L195)</f>
        <v>0</v>
      </c>
      <c r="M196" s="462">
        <f>SUM(M188:M195)</f>
        <v>0</v>
      </c>
      <c r="N196" s="462">
        <f>SUM(N188:N195)</f>
        <v>0</v>
      </c>
      <c r="O196" s="213"/>
    </row>
    <row r="197" spans="1:15" x14ac:dyDescent="0.25">
      <c r="A197" s="228">
        <v>30</v>
      </c>
      <c r="B197" s="1321" t="s">
        <v>2022</v>
      </c>
      <c r="C197" s="1328"/>
      <c r="D197" s="1329"/>
      <c r="E197" s="463"/>
      <c r="F197" s="384"/>
      <c r="G197" s="384"/>
      <c r="H197" s="384"/>
      <c r="I197" s="384"/>
      <c r="J197" s="383"/>
      <c r="K197" s="384"/>
      <c r="L197" s="383"/>
      <c r="M197" s="383"/>
      <c r="N197" s="383"/>
      <c r="O197" s="212"/>
    </row>
    <row r="198" spans="1:15" ht="25.5" customHeight="1" x14ac:dyDescent="0.25">
      <c r="A198" s="228">
        <v>31</v>
      </c>
      <c r="B198" s="1326" t="s">
        <v>1384</v>
      </c>
      <c r="C198" s="1327"/>
      <c r="D198" s="1327"/>
      <c r="E198" s="463"/>
      <c r="F198" s="384"/>
      <c r="G198" s="384"/>
      <c r="H198" s="384"/>
      <c r="I198" s="384"/>
      <c r="J198" s="383"/>
      <c r="K198" s="384"/>
      <c r="L198" s="383"/>
      <c r="M198" s="383"/>
      <c r="N198" s="383"/>
      <c r="O198" s="212"/>
    </row>
    <row r="199" spans="1:15" x14ac:dyDescent="0.25">
      <c r="A199" s="234"/>
    </row>
    <row r="200" spans="1:15" x14ac:dyDescent="0.25">
      <c r="A200" s="228">
        <v>32</v>
      </c>
      <c r="B200" s="353"/>
      <c r="C200" s="352"/>
      <c r="D200" s="245" t="s">
        <v>1008</v>
      </c>
      <c r="E200" s="465">
        <f>E9+E28+E36+E67+E128+E152+E157+E162+E183+E196</f>
        <v>0</v>
      </c>
      <c r="F200" s="466"/>
      <c r="G200" s="465">
        <f>G9+G28+G36+G67+G128+G152+G157+G162+G183+G196</f>
        <v>0</v>
      </c>
      <c r="H200" s="465">
        <f>H9+H28+H36+H67+H128+H152+H157+H162+H183+H196</f>
        <v>0</v>
      </c>
      <c r="I200" s="465">
        <f>I9+I28+I36+I67+I128+I152+I157+I162+I183+I196</f>
        <v>0</v>
      </c>
      <c r="J200" s="465">
        <f>J9+J28+J36+J67+J128+J152+J157+J162+J183+J196</f>
        <v>0</v>
      </c>
      <c r="K200" s="466"/>
      <c r="L200" s="465">
        <f>L9+L28+L36+L67+L128+L152+L157+L162+L183+L196</f>
        <v>0</v>
      </c>
      <c r="M200" s="465">
        <f>M9+M28+M36+M67+M128+M152+M157+M162+M183+M196</f>
        <v>0</v>
      </c>
      <c r="N200" s="465">
        <f>N9+N28+N36+N67+N128+N152+N157+N162+N183+N196</f>
        <v>0</v>
      </c>
      <c r="O200" s="213"/>
    </row>
    <row r="201" spans="1:15" x14ac:dyDescent="0.25">
      <c r="A201" s="246"/>
      <c r="B201" s="247"/>
      <c r="C201" s="246"/>
      <c r="E201" s="234"/>
      <c r="F201" s="234"/>
      <c r="G201" s="327"/>
      <c r="J201" s="344"/>
      <c r="K201" s="343"/>
      <c r="N201" s="327"/>
    </row>
    <row r="202" spans="1:15" x14ac:dyDescent="0.25">
      <c r="A202" s="246"/>
      <c r="B202" s="247"/>
      <c r="C202" s="246"/>
      <c r="E202" s="234"/>
      <c r="F202" s="234" t="s">
        <v>171</v>
      </c>
      <c r="J202" s="344"/>
      <c r="K202" s="343"/>
      <c r="N202" s="327"/>
    </row>
    <row r="203" spans="1:15" x14ac:dyDescent="0.25">
      <c r="A203" s="228">
        <v>33</v>
      </c>
      <c r="B203" s="372"/>
      <c r="C203" s="372"/>
      <c r="D203" s="368" t="s">
        <v>1009</v>
      </c>
      <c r="E203" s="365">
        <f>L200</f>
        <v>0</v>
      </c>
      <c r="F203" s="367" t="s">
        <v>1010</v>
      </c>
      <c r="G203" s="327"/>
      <c r="N203" s="327"/>
    </row>
    <row r="204" spans="1:15" x14ac:dyDescent="0.25">
      <c r="A204" s="223">
        <v>34</v>
      </c>
      <c r="B204" s="372"/>
      <c r="C204" s="372"/>
      <c r="D204" s="368" t="s">
        <v>1012</v>
      </c>
      <c r="E204" s="365">
        <f>E203*(5.425/16.671)</f>
        <v>0</v>
      </c>
      <c r="F204" s="1222" t="s">
        <v>1318</v>
      </c>
      <c r="G204" s="343"/>
      <c r="N204" s="327"/>
    </row>
    <row r="205" spans="1:15" x14ac:dyDescent="0.25">
      <c r="A205" s="223">
        <v>35</v>
      </c>
      <c r="B205" s="372"/>
      <c r="C205" s="372"/>
      <c r="D205" s="370"/>
      <c r="E205" s="320"/>
      <c r="F205" s="1223"/>
      <c r="G205" s="343"/>
      <c r="N205" s="327"/>
    </row>
    <row r="206" spans="1:15" x14ac:dyDescent="0.25">
      <c r="A206" s="223">
        <v>36</v>
      </c>
      <c r="B206" s="372"/>
      <c r="C206" s="372"/>
      <c r="D206" s="368" t="s">
        <v>1013</v>
      </c>
      <c r="E206" s="365">
        <f>SUMIF(K4:K189,"=A",M4:M189)</f>
        <v>0</v>
      </c>
      <c r="F206" s="1224" t="s">
        <v>1014</v>
      </c>
      <c r="G206" s="343"/>
      <c r="N206" s="327"/>
    </row>
    <row r="207" spans="1:15" x14ac:dyDescent="0.25">
      <c r="A207" s="223">
        <v>37</v>
      </c>
      <c r="B207" s="362"/>
      <c r="C207" s="362"/>
      <c r="D207" s="368" t="s">
        <v>1015</v>
      </c>
      <c r="E207" s="365">
        <f>0.1*E206</f>
        <v>0</v>
      </c>
      <c r="F207" s="69" t="str">
        <f>"= Line "&amp;A206&amp;"D * 10%"</f>
        <v>= Line 36D * 10%</v>
      </c>
      <c r="G207" s="41"/>
      <c r="H207" s="346"/>
      <c r="I207" s="347"/>
    </row>
    <row r="208" spans="1:15" x14ac:dyDescent="0.25">
      <c r="A208" s="223">
        <v>38</v>
      </c>
      <c r="B208" s="362"/>
      <c r="C208" s="362"/>
      <c r="D208" s="368" t="s">
        <v>1016</v>
      </c>
      <c r="E208" s="365">
        <f>SUMIF(K4:K192,"=P",M4:M192)</f>
        <v>0</v>
      </c>
      <c r="F208" s="1225" t="s">
        <v>1017</v>
      </c>
      <c r="G208" s="41"/>
      <c r="H208" s="234"/>
      <c r="I208" s="347"/>
    </row>
    <row r="209" spans="1:254" x14ac:dyDescent="0.25">
      <c r="A209" s="223">
        <v>39</v>
      </c>
      <c r="B209" s="362"/>
      <c r="C209" s="362"/>
      <c r="D209" s="368" t="s">
        <v>1018</v>
      </c>
      <c r="E209" s="365">
        <f>0.3*E208</f>
        <v>0</v>
      </c>
      <c r="F209" s="69" t="str">
        <f>"= Line "&amp;A208&amp;"D * 30%"</f>
        <v>= Line 38D * 30%</v>
      </c>
      <c r="G209" s="41"/>
      <c r="H209" s="346"/>
      <c r="I209" s="347"/>
    </row>
    <row r="210" spans="1:254" x14ac:dyDescent="0.25">
      <c r="A210" s="223">
        <v>40</v>
      </c>
      <c r="B210" s="362"/>
      <c r="C210" s="362"/>
      <c r="D210" s="368" t="s">
        <v>1019</v>
      </c>
      <c r="E210" s="365">
        <f>E207+E209</f>
        <v>0</v>
      </c>
      <c r="F210" s="69" t="str">
        <f>"= Line "&amp;A207&amp;"D + Line "&amp;A209&amp;"D"</f>
        <v>= Line 37D + Line 39D</v>
      </c>
      <c r="G210" s="342"/>
    </row>
    <row r="211" spans="1:254" x14ac:dyDescent="0.25">
      <c r="A211" s="223">
        <v>41</v>
      </c>
      <c r="B211" s="362"/>
      <c r="C211" s="362"/>
      <c r="D211" s="368" t="s">
        <v>1020</v>
      </c>
      <c r="E211" s="369">
        <f>5.425/16.671</f>
        <v>0.32541539199808051</v>
      </c>
      <c r="F211" s="1224" t="s">
        <v>1011</v>
      </c>
      <c r="G211" s="342"/>
    </row>
    <row r="212" spans="1:254" x14ac:dyDescent="0.25">
      <c r="A212" s="223">
        <v>42</v>
      </c>
      <c r="B212" s="362"/>
      <c r="C212" s="362"/>
      <c r="D212" s="368" t="s">
        <v>1021</v>
      </c>
      <c r="E212" s="365">
        <f>E210*E211</f>
        <v>0</v>
      </c>
      <c r="F212" s="69" t="str">
        <f>"= Line "&amp;A210&amp;"D * Line "&amp;A211&amp;"D"</f>
        <v>= Line 40D * Line 41D</v>
      </c>
      <c r="G212" s="342"/>
    </row>
    <row r="213" spans="1:254" ht="12.75" customHeight="1" x14ac:dyDescent="0.25">
      <c r="A213" s="223">
        <v>43</v>
      </c>
      <c r="B213" s="362"/>
      <c r="C213" s="362"/>
      <c r="D213" s="371" t="s">
        <v>2023</v>
      </c>
      <c r="E213" s="464">
        <f>E212+E204</f>
        <v>0</v>
      </c>
      <c r="F213" s="69" t="str">
        <f>"= Line "&amp;A204&amp;"D + Line "&amp;A212&amp;"D"</f>
        <v>= Line 34D + Line 42D</v>
      </c>
      <c r="G213" s="342"/>
    </row>
    <row r="214" spans="1:254" x14ac:dyDescent="0.25">
      <c r="A214" s="41"/>
      <c r="D214" s="342"/>
      <c r="E214" s="1226"/>
      <c r="F214" s="1224"/>
      <c r="G214" s="342"/>
    </row>
    <row r="215" spans="1:254" x14ac:dyDescent="0.25">
      <c r="A215" s="41"/>
      <c r="D215" s="243"/>
      <c r="E215" s="249" t="s">
        <v>194</v>
      </c>
      <c r="F215" s="249" t="s">
        <v>171</v>
      </c>
      <c r="G215" s="241"/>
      <c r="I215" s="244"/>
      <c r="J215" s="41"/>
      <c r="K215" s="244"/>
      <c r="L215" s="243"/>
      <c r="M215" s="249"/>
      <c r="N215" s="249"/>
      <c r="O215" s="241"/>
      <c r="P215" s="242"/>
      <c r="Q215" s="244"/>
      <c r="R215" s="243"/>
      <c r="S215" s="249"/>
      <c r="T215" s="249"/>
      <c r="U215" s="241"/>
      <c r="V215" s="242"/>
      <c r="W215" s="244"/>
      <c r="X215" s="41"/>
      <c r="Y215" s="244"/>
      <c r="Z215" s="243"/>
      <c r="AA215" s="249"/>
      <c r="AB215" s="249"/>
      <c r="AC215" s="241"/>
      <c r="AD215" s="242"/>
      <c r="AE215" s="244"/>
      <c r="AF215" s="41"/>
      <c r="AG215" s="244"/>
      <c r="AH215" s="243"/>
      <c r="AI215" s="249"/>
      <c r="AJ215" s="249"/>
      <c r="AK215" s="241"/>
      <c r="AL215" s="242"/>
      <c r="AM215" s="244"/>
      <c r="AN215" s="41"/>
      <c r="AO215" s="244"/>
      <c r="AP215" s="243"/>
      <c r="AQ215" s="249"/>
      <c r="AR215" s="249"/>
      <c r="AS215" s="241"/>
      <c r="AT215" s="242"/>
      <c r="AU215" s="244"/>
      <c r="AV215" s="41"/>
      <c r="AW215" s="244"/>
      <c r="AX215" s="243"/>
      <c r="AY215" s="249"/>
      <c r="AZ215" s="249"/>
      <c r="BA215" s="241"/>
      <c r="BB215" s="242"/>
      <c r="BC215" s="244"/>
      <c r="BD215" s="41"/>
      <c r="BE215" s="244"/>
      <c r="BF215" s="243"/>
      <c r="BG215" s="249"/>
      <c r="BH215" s="249"/>
      <c r="BI215" s="241"/>
      <c r="BJ215" s="242"/>
      <c r="BK215" s="244"/>
      <c r="BL215" s="41"/>
      <c r="BM215" s="244"/>
      <c r="BN215" s="243"/>
      <c r="BO215" s="249"/>
      <c r="BP215" s="249"/>
      <c r="BQ215" s="241"/>
      <c r="BR215" s="242"/>
      <c r="BS215" s="244"/>
      <c r="BT215" s="41"/>
      <c r="BU215" s="244"/>
      <c r="BV215" s="243"/>
      <c r="BW215" s="249"/>
      <c r="BX215" s="249"/>
      <c r="BY215" s="241"/>
      <c r="BZ215" s="242"/>
      <c r="CA215" s="244"/>
      <c r="CB215" s="41"/>
      <c r="CC215" s="244"/>
      <c r="CD215" s="243"/>
      <c r="CE215" s="249"/>
      <c r="CF215" s="249"/>
      <c r="CG215" s="241"/>
      <c r="CH215" s="242"/>
      <c r="CI215" s="244"/>
      <c r="CJ215" s="41"/>
      <c r="CK215" s="244"/>
      <c r="CL215" s="243"/>
      <c r="CM215" s="249"/>
      <c r="CN215" s="249"/>
      <c r="CO215" s="241"/>
      <c r="CP215" s="242"/>
      <c r="CQ215" s="244"/>
      <c r="CR215" s="41"/>
      <c r="CS215" s="244"/>
      <c r="CT215" s="243"/>
      <c r="CU215" s="249"/>
      <c r="CV215" s="249"/>
      <c r="CW215" s="241"/>
      <c r="CX215" s="242"/>
      <c r="CY215" s="244"/>
      <c r="CZ215" s="41"/>
      <c r="DA215" s="244"/>
      <c r="DB215" s="243"/>
      <c r="DC215" s="249"/>
      <c r="DD215" s="249"/>
      <c r="DE215" s="241"/>
      <c r="DF215" s="242"/>
      <c r="DG215" s="244"/>
      <c r="DH215" s="41"/>
      <c r="DI215" s="244"/>
      <c r="DJ215" s="243"/>
      <c r="DK215" s="249"/>
      <c r="DL215" s="249"/>
      <c r="DM215" s="241"/>
      <c r="DN215" s="242"/>
      <c r="DO215" s="244"/>
      <c r="DP215" s="41"/>
      <c r="DQ215" s="244"/>
      <c r="DR215" s="243"/>
      <c r="DS215" s="249"/>
      <c r="DT215" s="249"/>
      <c r="DU215" s="241"/>
      <c r="DV215" s="242"/>
      <c r="DW215" s="244"/>
      <c r="DX215" s="41"/>
      <c r="DY215" s="244"/>
      <c r="DZ215" s="243"/>
      <c r="EA215" s="249"/>
      <c r="EB215" s="249"/>
      <c r="EC215" s="241"/>
      <c r="ED215" s="242"/>
      <c r="EE215" s="244"/>
      <c r="EF215" s="41"/>
      <c r="EG215" s="244"/>
      <c r="EH215" s="243"/>
      <c r="EI215" s="249"/>
      <c r="EJ215" s="249"/>
      <c r="EK215" s="241"/>
      <c r="EL215" s="242"/>
      <c r="EM215" s="244"/>
      <c r="EN215" s="41"/>
      <c r="EO215" s="244"/>
      <c r="EP215" s="243"/>
      <c r="EQ215" s="249"/>
      <c r="ER215" s="249"/>
      <c r="ES215" s="241"/>
      <c r="ET215" s="242"/>
      <c r="EU215" s="244"/>
      <c r="EV215" s="41"/>
      <c r="EW215" s="244"/>
      <c r="EX215" s="243"/>
      <c r="EY215" s="249"/>
      <c r="EZ215" s="249"/>
      <c r="FA215" s="241"/>
      <c r="FB215" s="242"/>
      <c r="FC215" s="244"/>
      <c r="FD215" s="41"/>
      <c r="FE215" s="244"/>
      <c r="FF215" s="243"/>
      <c r="FG215" s="249"/>
      <c r="FH215" s="249"/>
      <c r="FI215" s="241"/>
      <c r="FJ215" s="242"/>
      <c r="FK215" s="244"/>
      <c r="FL215" s="41"/>
      <c r="FM215" s="244"/>
      <c r="FN215" s="243"/>
      <c r="FO215" s="249"/>
      <c r="FP215" s="249"/>
      <c r="FQ215" s="241"/>
      <c r="FR215" s="242"/>
      <c r="FS215" s="244"/>
      <c r="FT215" s="41"/>
      <c r="FU215" s="244"/>
      <c r="FV215" s="243"/>
      <c r="FW215" s="249"/>
      <c r="FX215" s="249"/>
      <c r="FY215" s="241"/>
      <c r="FZ215" s="242"/>
      <c r="GA215" s="244"/>
      <c r="GB215" s="41"/>
      <c r="GC215" s="244"/>
      <c r="GD215" s="243"/>
      <c r="GE215" s="249"/>
      <c r="GF215" s="249"/>
      <c r="GG215" s="241"/>
      <c r="GH215" s="242"/>
      <c r="GI215" s="244"/>
      <c r="GJ215" s="41"/>
      <c r="GK215" s="244"/>
      <c r="GL215" s="243"/>
      <c r="GM215" s="249"/>
      <c r="GN215" s="249"/>
      <c r="GO215" s="241"/>
      <c r="GP215" s="242"/>
      <c r="GQ215" s="244"/>
      <c r="GR215" s="41"/>
      <c r="GS215" s="244"/>
      <c r="GT215" s="243"/>
      <c r="GU215" s="249"/>
      <c r="GV215" s="249"/>
      <c r="GW215" s="241"/>
      <c r="GX215" s="242"/>
      <c r="GY215" s="244"/>
      <c r="GZ215" s="41"/>
      <c r="HA215" s="244"/>
      <c r="HB215" s="243"/>
      <c r="HC215" s="249"/>
      <c r="HD215" s="249"/>
      <c r="HE215" s="241"/>
      <c r="HF215" s="242"/>
      <c r="HG215" s="244"/>
      <c r="HH215" s="41"/>
      <c r="HI215" s="244"/>
      <c r="HJ215" s="243"/>
      <c r="HK215" s="249"/>
      <c r="HL215" s="249"/>
      <c r="HM215" s="241"/>
      <c r="HN215" s="242"/>
      <c r="HO215" s="244"/>
      <c r="HP215" s="41"/>
      <c r="HQ215" s="244"/>
      <c r="HR215" s="243"/>
      <c r="HS215" s="249"/>
      <c r="HT215" s="249"/>
      <c r="HU215" s="241"/>
      <c r="HV215" s="242"/>
      <c r="HW215" s="244"/>
      <c r="HX215" s="41"/>
      <c r="HY215" s="244"/>
      <c r="HZ215" s="243"/>
      <c r="IA215" s="249"/>
      <c r="IB215" s="249"/>
      <c r="IC215" s="241"/>
      <c r="ID215" s="242"/>
      <c r="IE215" s="244"/>
      <c r="IF215" s="41"/>
      <c r="IG215" s="244"/>
      <c r="IH215" s="243"/>
      <c r="II215" s="249"/>
      <c r="IJ215" s="249"/>
      <c r="IK215" s="241"/>
      <c r="IL215" s="242"/>
      <c r="IM215" s="244"/>
      <c r="IN215" s="41"/>
      <c r="IO215" s="244"/>
      <c r="IP215" s="243"/>
      <c r="IQ215" s="249"/>
      <c r="IR215" s="249"/>
      <c r="IS215" s="241"/>
      <c r="IT215" s="242"/>
    </row>
    <row r="216" spans="1:254" x14ac:dyDescent="0.25">
      <c r="A216" s="223">
        <v>44</v>
      </c>
      <c r="B216" s="40" t="s">
        <v>1044</v>
      </c>
      <c r="D216" s="243"/>
      <c r="E216" s="467">
        <f>H200+E213</f>
        <v>0</v>
      </c>
      <c r="F216" s="886" t="s">
        <v>2569</v>
      </c>
      <c r="G216" s="241"/>
      <c r="J216" s="40"/>
      <c r="K216" s="244"/>
      <c r="L216" s="243"/>
      <c r="M216" s="248"/>
      <c r="N216" s="250"/>
      <c r="O216" s="241"/>
      <c r="P216" s="242"/>
      <c r="Q216" s="244"/>
      <c r="R216" s="243"/>
      <c r="S216" s="248"/>
      <c r="T216" s="250"/>
      <c r="U216" s="241"/>
      <c r="V216" s="242"/>
      <c r="W216" s="228"/>
      <c r="X216" s="40"/>
      <c r="Y216" s="244"/>
      <c r="Z216" s="243"/>
      <c r="AA216" s="248"/>
      <c r="AB216" s="250"/>
      <c r="AC216" s="241"/>
      <c r="AD216" s="242"/>
      <c r="AE216" s="228"/>
      <c r="AF216" s="40"/>
      <c r="AG216" s="244"/>
      <c r="AH216" s="243"/>
      <c r="AI216" s="248"/>
      <c r="AJ216" s="250"/>
      <c r="AK216" s="241"/>
      <c r="AL216" s="242"/>
      <c r="AM216" s="228"/>
      <c r="AN216" s="40"/>
      <c r="AO216" s="244"/>
      <c r="AP216" s="243"/>
      <c r="AQ216" s="248"/>
      <c r="AR216" s="250"/>
      <c r="AS216" s="241"/>
      <c r="AT216" s="242"/>
      <c r="AU216" s="228"/>
      <c r="AV216" s="40"/>
      <c r="AW216" s="244"/>
      <c r="AX216" s="243"/>
      <c r="AY216" s="248"/>
      <c r="AZ216" s="250"/>
      <c r="BA216" s="241"/>
      <c r="BB216" s="242"/>
      <c r="BC216" s="228"/>
      <c r="BD216" s="40"/>
      <c r="BE216" s="244"/>
      <c r="BF216" s="243"/>
      <c r="BG216" s="248"/>
      <c r="BH216" s="250"/>
      <c r="BI216" s="241"/>
      <c r="BJ216" s="242"/>
      <c r="BK216" s="228"/>
      <c r="BL216" s="40"/>
      <c r="BM216" s="244"/>
      <c r="BN216" s="243"/>
      <c r="BO216" s="248"/>
      <c r="BP216" s="250"/>
      <c r="BQ216" s="241"/>
      <c r="BR216" s="242"/>
      <c r="BS216" s="228"/>
      <c r="BT216" s="40"/>
      <c r="BU216" s="244"/>
      <c r="BV216" s="243"/>
      <c r="BW216" s="248"/>
      <c r="BX216" s="250"/>
      <c r="BY216" s="241"/>
      <c r="BZ216" s="242"/>
      <c r="CA216" s="228"/>
      <c r="CB216" s="40"/>
      <c r="CC216" s="244"/>
      <c r="CD216" s="243"/>
      <c r="CE216" s="248"/>
      <c r="CF216" s="250"/>
      <c r="CG216" s="241"/>
      <c r="CH216" s="242"/>
      <c r="CI216" s="228"/>
      <c r="CJ216" s="40"/>
      <c r="CK216" s="244"/>
      <c r="CL216" s="243"/>
      <c r="CM216" s="248"/>
      <c r="CN216" s="250"/>
      <c r="CO216" s="241"/>
      <c r="CP216" s="242"/>
      <c r="CQ216" s="228"/>
      <c r="CR216" s="40"/>
      <c r="CS216" s="244"/>
      <c r="CT216" s="243"/>
      <c r="CU216" s="248"/>
      <c r="CV216" s="250"/>
      <c r="CW216" s="241"/>
      <c r="CX216" s="242"/>
      <c r="CY216" s="228"/>
      <c r="CZ216" s="40"/>
      <c r="DA216" s="244"/>
      <c r="DB216" s="243"/>
      <c r="DC216" s="248"/>
      <c r="DD216" s="250"/>
      <c r="DE216" s="241"/>
      <c r="DF216" s="242"/>
      <c r="DG216" s="228"/>
      <c r="DH216" s="40"/>
      <c r="DI216" s="244"/>
      <c r="DJ216" s="243"/>
      <c r="DK216" s="248"/>
      <c r="DL216" s="250"/>
      <c r="DM216" s="241"/>
      <c r="DN216" s="242"/>
      <c r="DO216" s="228"/>
      <c r="DP216" s="40"/>
      <c r="DQ216" s="244"/>
      <c r="DR216" s="243"/>
      <c r="DS216" s="248"/>
      <c r="DT216" s="250"/>
      <c r="DU216" s="241"/>
      <c r="DV216" s="242"/>
      <c r="DW216" s="228"/>
      <c r="DX216" s="40"/>
      <c r="DY216" s="244"/>
      <c r="DZ216" s="243"/>
      <c r="EA216" s="248"/>
      <c r="EB216" s="250"/>
      <c r="EC216" s="241"/>
      <c r="ED216" s="242"/>
      <c r="EE216" s="228"/>
      <c r="EF216" s="40"/>
      <c r="EG216" s="244"/>
      <c r="EH216" s="243"/>
      <c r="EI216" s="248"/>
      <c r="EJ216" s="250"/>
      <c r="EK216" s="241"/>
      <c r="EL216" s="242"/>
      <c r="EM216" s="228"/>
      <c r="EN216" s="40"/>
      <c r="EO216" s="244"/>
      <c r="EP216" s="243"/>
      <c r="EQ216" s="248"/>
      <c r="ER216" s="250"/>
      <c r="ES216" s="241"/>
      <c r="ET216" s="242"/>
      <c r="EU216" s="228"/>
      <c r="EV216" s="40"/>
      <c r="EW216" s="244"/>
      <c r="EX216" s="243"/>
      <c r="EY216" s="248"/>
      <c r="EZ216" s="250"/>
      <c r="FA216" s="241"/>
      <c r="FB216" s="242"/>
      <c r="FC216" s="228"/>
      <c r="FD216" s="40"/>
      <c r="FE216" s="244"/>
      <c r="FF216" s="243"/>
      <c r="FG216" s="248"/>
      <c r="FH216" s="250"/>
      <c r="FI216" s="241"/>
      <c r="FJ216" s="242"/>
      <c r="FK216" s="228"/>
      <c r="FL216" s="40"/>
      <c r="FM216" s="244"/>
      <c r="FN216" s="243"/>
      <c r="FO216" s="248"/>
      <c r="FP216" s="250"/>
      <c r="FQ216" s="241"/>
      <c r="FR216" s="242"/>
      <c r="FS216" s="228"/>
      <c r="FT216" s="40"/>
      <c r="FU216" s="244"/>
      <c r="FV216" s="243"/>
      <c r="FW216" s="248"/>
      <c r="FX216" s="250"/>
      <c r="FY216" s="241"/>
      <c r="FZ216" s="242"/>
      <c r="GA216" s="228"/>
      <c r="GB216" s="40"/>
      <c r="GC216" s="244"/>
      <c r="GD216" s="243"/>
      <c r="GE216" s="248"/>
      <c r="GF216" s="250"/>
      <c r="GG216" s="241"/>
      <c r="GH216" s="242"/>
      <c r="GI216" s="228"/>
      <c r="GJ216" s="40"/>
      <c r="GK216" s="244"/>
      <c r="GL216" s="243"/>
      <c r="GM216" s="248"/>
      <c r="GN216" s="250"/>
      <c r="GO216" s="241"/>
      <c r="GP216" s="242"/>
      <c r="GQ216" s="228"/>
      <c r="GR216" s="40"/>
      <c r="GS216" s="244"/>
      <c r="GT216" s="243"/>
      <c r="GU216" s="248"/>
      <c r="GV216" s="250"/>
      <c r="GW216" s="241"/>
      <c r="GX216" s="242"/>
      <c r="GY216" s="228"/>
      <c r="GZ216" s="40"/>
      <c r="HA216" s="244"/>
      <c r="HB216" s="243"/>
      <c r="HC216" s="248"/>
      <c r="HD216" s="250"/>
      <c r="HE216" s="241"/>
      <c r="HF216" s="242"/>
      <c r="HG216" s="228"/>
      <c r="HH216" s="40"/>
      <c r="HI216" s="244"/>
      <c r="HJ216" s="243"/>
      <c r="HK216" s="248"/>
      <c r="HL216" s="250"/>
      <c r="HM216" s="241"/>
      <c r="HN216" s="242"/>
      <c r="HO216" s="228"/>
      <c r="HP216" s="40"/>
      <c r="HQ216" s="244"/>
      <c r="HR216" s="243"/>
      <c r="HS216" s="248"/>
      <c r="HT216" s="250"/>
      <c r="HU216" s="241"/>
      <c r="HV216" s="242"/>
      <c r="HW216" s="228"/>
      <c r="HX216" s="40"/>
      <c r="HY216" s="244"/>
      <c r="HZ216" s="243"/>
      <c r="IA216" s="248"/>
      <c r="IB216" s="250"/>
      <c r="IC216" s="241"/>
      <c r="ID216" s="242"/>
      <c r="IE216" s="228"/>
      <c r="IF216" s="40"/>
      <c r="IG216" s="244"/>
      <c r="IH216" s="243"/>
      <c r="II216" s="248"/>
      <c r="IJ216" s="250"/>
      <c r="IK216" s="241"/>
      <c r="IL216" s="242"/>
      <c r="IM216" s="228"/>
      <c r="IN216" s="40"/>
      <c r="IO216" s="244"/>
      <c r="IP216" s="243"/>
      <c r="IQ216" s="248"/>
      <c r="IR216" s="250"/>
      <c r="IS216" s="241"/>
      <c r="IT216" s="242"/>
    </row>
    <row r="217" spans="1:254" x14ac:dyDescent="0.25">
      <c r="D217" s="342"/>
      <c r="E217" s="328"/>
      <c r="F217" s="367"/>
    </row>
    <row r="219" spans="1:254" x14ac:dyDescent="0.25">
      <c r="A219" s="244" t="s">
        <v>256</v>
      </c>
    </row>
    <row r="220" spans="1:254" ht="12.75" customHeight="1" x14ac:dyDescent="0.25">
      <c r="A220" s="94" t="s">
        <v>1022</v>
      </c>
      <c r="B220" s="1324" t="s">
        <v>1676</v>
      </c>
      <c r="C220" s="1325"/>
      <c r="D220" s="1325"/>
    </row>
    <row r="221" spans="1:254" ht="77.25" customHeight="1" x14ac:dyDescent="0.25">
      <c r="A221" s="94" t="s">
        <v>1023</v>
      </c>
      <c r="B221" s="1308" t="s">
        <v>2205</v>
      </c>
      <c r="C221" s="1309"/>
      <c r="D221" s="1309"/>
      <c r="E221" s="1317"/>
      <c r="F221" s="1317"/>
    </row>
    <row r="222" spans="1:254" ht="12.75" customHeight="1" x14ac:dyDescent="0.25">
      <c r="A222" s="94" t="s">
        <v>1024</v>
      </c>
      <c r="B222" s="1314" t="s">
        <v>1025</v>
      </c>
      <c r="C222" s="1315"/>
      <c r="D222" s="1315"/>
      <c r="E222" s="1316"/>
      <c r="F222" s="1316"/>
    </row>
    <row r="223" spans="1:254" ht="12.75" customHeight="1" x14ac:dyDescent="0.25">
      <c r="A223" s="78" t="s">
        <v>1026</v>
      </c>
      <c r="B223" s="1308" t="s">
        <v>1721</v>
      </c>
      <c r="C223" s="1315"/>
      <c r="D223" s="1315"/>
      <c r="E223" s="1316"/>
      <c r="F223" s="1316"/>
    </row>
    <row r="224" spans="1:254" ht="12.75" customHeight="1" x14ac:dyDescent="0.25">
      <c r="A224" s="94" t="s">
        <v>1027</v>
      </c>
      <c r="B224" s="1314" t="s">
        <v>1028</v>
      </c>
      <c r="C224" s="1315"/>
      <c r="D224" s="1315"/>
      <c r="E224" s="1316"/>
      <c r="F224" s="1316"/>
    </row>
    <row r="225" spans="1:8" ht="12.75" customHeight="1" x14ac:dyDescent="0.25">
      <c r="A225" s="78" t="s">
        <v>1029</v>
      </c>
      <c r="B225" s="1314" t="s">
        <v>1030</v>
      </c>
      <c r="C225" s="1315"/>
      <c r="D225" s="1315"/>
      <c r="E225" s="1316"/>
      <c r="F225" s="1316"/>
    </row>
    <row r="226" spans="1:8" ht="12.75" customHeight="1" x14ac:dyDescent="0.25">
      <c r="A226" s="78" t="s">
        <v>1031</v>
      </c>
      <c r="B226" s="1308" t="s">
        <v>1986</v>
      </c>
      <c r="C226" s="1309"/>
      <c r="D226" s="1309"/>
      <c r="E226" s="1310"/>
      <c r="F226" s="1310"/>
    </row>
    <row r="227" spans="1:8" ht="12.75" customHeight="1" x14ac:dyDescent="0.25">
      <c r="A227" s="78"/>
      <c r="B227" s="1310"/>
      <c r="C227" s="1310"/>
      <c r="D227" s="1310"/>
      <c r="E227" s="1310"/>
      <c r="F227" s="1310"/>
    </row>
    <row r="228" spans="1:8" ht="12.75" customHeight="1" x14ac:dyDescent="0.25">
      <c r="A228" s="78"/>
      <c r="B228" s="1314" t="s">
        <v>1032</v>
      </c>
      <c r="C228" s="1315"/>
      <c r="D228" s="382"/>
      <c r="E228" s="1227" t="s">
        <v>2019</v>
      </c>
      <c r="F228" s="709"/>
      <c r="G228" s="710"/>
    </row>
    <row r="229" spans="1:8" ht="26.25" customHeight="1" x14ac:dyDescent="0.25">
      <c r="A229" s="78" t="s">
        <v>1033</v>
      </c>
      <c r="B229" s="1314" t="s">
        <v>1034</v>
      </c>
      <c r="C229" s="1315"/>
      <c r="D229" s="1315"/>
      <c r="E229" s="1316"/>
      <c r="F229" s="1316"/>
    </row>
    <row r="230" spans="1:8" ht="27.75" customHeight="1" x14ac:dyDescent="0.25">
      <c r="A230" s="78" t="s">
        <v>1035</v>
      </c>
      <c r="B230" s="1314" t="s">
        <v>1036</v>
      </c>
      <c r="C230" s="1315"/>
      <c r="D230" s="1315"/>
      <c r="E230" s="1316"/>
      <c r="F230" s="1316"/>
    </row>
    <row r="231" spans="1:8" ht="25.5" customHeight="1" x14ac:dyDescent="0.25">
      <c r="A231" s="94" t="s">
        <v>1037</v>
      </c>
      <c r="B231" s="1314" t="s">
        <v>1038</v>
      </c>
      <c r="C231" s="1315"/>
      <c r="D231" s="1315"/>
      <c r="E231" s="1316"/>
      <c r="F231" s="1316"/>
    </row>
    <row r="232" spans="1:8" ht="39.9" customHeight="1" x14ac:dyDescent="0.25">
      <c r="A232" s="78" t="s">
        <v>1039</v>
      </c>
      <c r="B232" s="1308" t="s">
        <v>2020</v>
      </c>
      <c r="C232" s="1309"/>
      <c r="D232" s="1309"/>
      <c r="E232" s="1317"/>
      <c r="F232" s="1317"/>
      <c r="G232" s="342"/>
    </row>
    <row r="233" spans="1:8" ht="26.1" customHeight="1" x14ac:dyDescent="0.25">
      <c r="A233" s="78" t="s">
        <v>1040</v>
      </c>
      <c r="B233" s="1308" t="s">
        <v>1987</v>
      </c>
      <c r="C233" s="1309"/>
      <c r="D233" s="1309"/>
      <c r="E233" s="1310"/>
      <c r="F233" s="1310"/>
      <c r="G233" s="1310"/>
    </row>
    <row r="234" spans="1:8" ht="12.75" customHeight="1" x14ac:dyDescent="0.25">
      <c r="A234" s="78"/>
      <c r="B234" s="1314" t="s">
        <v>1032</v>
      </c>
      <c r="C234" s="1315"/>
      <c r="D234" s="382"/>
      <c r="E234" s="1227" t="s">
        <v>2019</v>
      </c>
      <c r="F234" s="709"/>
      <c r="G234" s="710"/>
    </row>
    <row r="235" spans="1:8" ht="12.75" customHeight="1" x14ac:dyDescent="0.25">
      <c r="A235" s="78" t="s">
        <v>1041</v>
      </c>
      <c r="B235" s="1308" t="s">
        <v>2563</v>
      </c>
      <c r="C235" s="1309"/>
      <c r="D235" s="1309"/>
      <c r="E235" s="1310"/>
      <c r="F235" s="1310"/>
      <c r="G235" s="1310"/>
      <c r="H235" s="1310"/>
    </row>
    <row r="236" spans="1:8" ht="12.75" customHeight="1" x14ac:dyDescent="0.25">
      <c r="A236" s="78" t="s">
        <v>1042</v>
      </c>
      <c r="B236" s="1308" t="s">
        <v>2564</v>
      </c>
      <c r="C236" s="1309"/>
      <c r="D236" s="1309"/>
      <c r="E236" s="1310"/>
      <c r="F236" s="1310"/>
      <c r="G236" s="1310"/>
    </row>
    <row r="237" spans="1:8" ht="25.5" customHeight="1" x14ac:dyDescent="0.25">
      <c r="A237" s="676" t="s">
        <v>1920</v>
      </c>
      <c r="B237" s="1308" t="s">
        <v>2043</v>
      </c>
      <c r="C237" s="1309"/>
      <c r="D237" s="1309"/>
      <c r="E237" s="1317"/>
      <c r="F237" s="1317"/>
      <c r="G237" s="342"/>
    </row>
    <row r="238" spans="1:8" x14ac:dyDescent="0.25">
      <c r="A238" s="676" t="s">
        <v>2021</v>
      </c>
      <c r="B238" s="647" t="s">
        <v>2083</v>
      </c>
      <c r="C238" s="41"/>
      <c r="E238" s="41"/>
      <c r="F238" s="41"/>
      <c r="G238" s="342"/>
    </row>
    <row r="239" spans="1:8" x14ac:dyDescent="0.25">
      <c r="A239" s="676" t="s">
        <v>2049</v>
      </c>
      <c r="B239" s="647" t="s">
        <v>2179</v>
      </c>
      <c r="C239" s="41"/>
      <c r="E239" s="342"/>
      <c r="F239" s="342"/>
      <c r="G239" s="342"/>
    </row>
    <row r="240" spans="1:8" x14ac:dyDescent="0.25">
      <c r="A240" s="41"/>
      <c r="B240" s="647" t="s">
        <v>2180</v>
      </c>
      <c r="C240" s="41"/>
      <c r="E240" s="342"/>
      <c r="F240" s="342"/>
      <c r="G240" s="342"/>
    </row>
    <row r="241" spans="1:7" x14ac:dyDescent="0.25">
      <c r="A241" s="41"/>
      <c r="B241" s="647" t="s">
        <v>2181</v>
      </c>
      <c r="C241" s="41"/>
      <c r="E241" s="342"/>
      <c r="F241" s="342"/>
      <c r="G241" s="342"/>
    </row>
    <row r="242" spans="1:7" x14ac:dyDescent="0.25">
      <c r="A242" s="41"/>
      <c r="B242" s="647" t="s">
        <v>2182</v>
      </c>
      <c r="C242" s="41"/>
      <c r="E242" s="342"/>
      <c r="F242" s="342"/>
      <c r="G242" s="342"/>
    </row>
  </sheetData>
  <autoFilter ref="A1:O238"/>
  <mergeCells count="46">
    <mergeCell ref="B237:F237"/>
    <mergeCell ref="J2:M2"/>
    <mergeCell ref="G2:I2"/>
    <mergeCell ref="B185:D185"/>
    <mergeCell ref="B153:D153"/>
    <mergeCell ref="B68:D68"/>
    <mergeCell ref="B37:D37"/>
    <mergeCell ref="B29:D29"/>
    <mergeCell ref="B184:D184"/>
    <mergeCell ref="B162:D162"/>
    <mergeCell ref="B9:D9"/>
    <mergeCell ref="B10:D10"/>
    <mergeCell ref="B36:D36"/>
    <mergeCell ref="B28:D28"/>
    <mergeCell ref="B67:D67"/>
    <mergeCell ref="B129:D129"/>
    <mergeCell ref="B230:F230"/>
    <mergeCell ref="B221:F221"/>
    <mergeCell ref="B188:C188"/>
    <mergeCell ref="B189:C189"/>
    <mergeCell ref="B191:C191"/>
    <mergeCell ref="B196:D196"/>
    <mergeCell ref="B198:D198"/>
    <mergeCell ref="B197:D197"/>
    <mergeCell ref="B190:C190"/>
    <mergeCell ref="B222:F222"/>
    <mergeCell ref="B223:F223"/>
    <mergeCell ref="B225:F225"/>
    <mergeCell ref="B224:F224"/>
    <mergeCell ref="B229:F229"/>
    <mergeCell ref="B235:H235"/>
    <mergeCell ref="B236:G236"/>
    <mergeCell ref="B128:D128"/>
    <mergeCell ref="B231:F231"/>
    <mergeCell ref="B232:F232"/>
    <mergeCell ref="B234:C234"/>
    <mergeCell ref="B233:G233"/>
    <mergeCell ref="B158:D158"/>
    <mergeCell ref="B183:D183"/>
    <mergeCell ref="B163:D163"/>
    <mergeCell ref="B192:C192"/>
    <mergeCell ref="B220:D220"/>
    <mergeCell ref="B157:D157"/>
    <mergeCell ref="B152:D152"/>
    <mergeCell ref="B228:C228"/>
    <mergeCell ref="B226:F227"/>
  </mergeCells>
  <conditionalFormatting sqref="A224:A225 C159:C161 C130:C151 D73 C2:C8 C154:C156 C239:C65548 A229:A230 C163:C172 A232:A235 C217:C219 C30:C35 C38:C66 C69:C127 C200:C214 A237:A238 C11:C27">
    <cfRule type="cellIs" dxfId="5" priority="6" stopIfTrue="1" operator="between">
      <formula>4990000</formula>
      <formula>4999999</formula>
    </cfRule>
  </conditionalFormatting>
  <conditionalFormatting sqref="A236">
    <cfRule type="cellIs" dxfId="4" priority="5" stopIfTrue="1" operator="between">
      <formula>4990000</formula>
      <formula>4999999</formula>
    </cfRule>
  </conditionalFormatting>
  <conditionalFormatting sqref="A226:A228">
    <cfRule type="cellIs" dxfId="3" priority="4" stopIfTrue="1" operator="between">
      <formula>4990000</formula>
      <formula>4999999</formula>
    </cfRule>
  </conditionalFormatting>
  <conditionalFormatting sqref="K215:K216 Q215:Q216 Y215:Y216 AG215:AG216 AO215:AO216 AW215:AW216 BE215:BE216 BM215:BM216 BU215:BU216 CC215:CC216 CK215:CK216 CS215:CS216 DA215:DA216 DI215:DI216 DQ215:DQ216 DY215:DY216 EG215:EG216 EO215:EO216 EW215:EW216 FE215:FE216 FM215:FM216 FU215:FU216 GC215:GC216 GK215:GK216 GS215:GS216 HA215:HA216 HI215:HI216 HQ215:HQ216 HY215:HY216 IG215:IG216 IO215:IO216">
    <cfRule type="cellIs" dxfId="2" priority="3" stopIfTrue="1" operator="between">
      <formula>4990000</formula>
      <formula>4999999</formula>
    </cfRule>
  </conditionalFormatting>
  <conditionalFormatting sqref="C215:C216">
    <cfRule type="cellIs" dxfId="1" priority="2" stopIfTrue="1" operator="between">
      <formula>4990000</formula>
      <formula>4999999</formula>
    </cfRule>
  </conditionalFormatting>
  <conditionalFormatting sqref="A239">
    <cfRule type="cellIs" dxfId="0" priority="1" stopIfTrue="1" operator="between">
      <formula>4990000</formula>
      <formula>4999999</formula>
    </cfRule>
  </conditionalFormatting>
  <pageMargins left="0.7" right="0.7" top="0.75" bottom="0.75" header="0.3" footer="0.3"/>
  <pageSetup scale="50" orientation="landscape" cellComments="asDisplayed" r:id="rId1"/>
  <headerFooter>
    <oddHeader>&amp;CSchedule 21
Revenue Credits
&amp;"Arial,Bold"Attachment 5</oddHeader>
    <oddFooter>&amp;R21-RevenueCredits</oddFooter>
  </headerFooter>
  <rowBreaks count="3" manualBreakCount="3">
    <brk id="68" max="16383" man="1"/>
    <brk id="129" max="16383" man="1"/>
    <brk id="185" max="1638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zoomScale="85" zoomScaleNormal="85" workbookViewId="0">
      <selection activeCell="B19" sqref="B19"/>
    </sheetView>
  </sheetViews>
  <sheetFormatPr defaultRowHeight="13.2" x14ac:dyDescent="0.25"/>
  <cols>
    <col min="1" max="1" width="4.6640625" style="63" customWidth="1"/>
    <col min="2" max="2" width="14" customWidth="1"/>
    <col min="3" max="3" width="26.88671875" customWidth="1"/>
    <col min="4" max="4" width="28.5546875" customWidth="1"/>
    <col min="5" max="5" width="16.33203125" bestFit="1" customWidth="1"/>
    <col min="6" max="6" width="20.6640625" style="414" customWidth="1"/>
    <col min="7" max="7" width="9.6640625" customWidth="1"/>
  </cols>
  <sheetData>
    <row r="1" spans="1:7" x14ac:dyDescent="0.25">
      <c r="A1" s="91" t="s">
        <v>1187</v>
      </c>
      <c r="C1" s="91"/>
      <c r="D1" s="91"/>
      <c r="E1" s="91"/>
    </row>
    <row r="2" spans="1:7" x14ac:dyDescent="0.25">
      <c r="A2" s="91"/>
      <c r="C2" s="91"/>
      <c r="D2" s="91"/>
      <c r="E2" s="1171" t="s">
        <v>1996</v>
      </c>
      <c r="F2" s="450"/>
    </row>
    <row r="3" spans="1:7" x14ac:dyDescent="0.25">
      <c r="B3" s="91" t="s">
        <v>1224</v>
      </c>
      <c r="C3" s="91"/>
      <c r="D3" s="91"/>
      <c r="E3" s="91"/>
    </row>
    <row r="4" spans="1:7" ht="14.4" x14ac:dyDescent="0.3">
      <c r="A4" s="53" t="s">
        <v>360</v>
      </c>
      <c r="C4" s="91"/>
      <c r="E4" s="3" t="s">
        <v>1057</v>
      </c>
      <c r="F4" s="415" t="s">
        <v>187</v>
      </c>
    </row>
    <row r="5" spans="1:7" ht="14.4" x14ac:dyDescent="0.3">
      <c r="A5" s="264">
        <v>1</v>
      </c>
      <c r="B5" s="52" t="s">
        <v>1188</v>
      </c>
      <c r="C5" s="52"/>
      <c r="D5" s="416"/>
      <c r="E5" s="908"/>
      <c r="F5" s="418" t="s">
        <v>236</v>
      </c>
    </row>
    <row r="6" spans="1:7" ht="14.4" x14ac:dyDescent="0.3">
      <c r="A6" s="264">
        <v>2</v>
      </c>
      <c r="B6" s="416" t="s">
        <v>1189</v>
      </c>
      <c r="C6" s="416"/>
      <c r="D6" s="416"/>
      <c r="E6" s="469"/>
      <c r="F6" s="418" t="s">
        <v>33</v>
      </c>
    </row>
    <row r="7" spans="1:7" ht="14.4" x14ac:dyDescent="0.3">
      <c r="A7" s="264">
        <v>3</v>
      </c>
      <c r="B7" s="52" t="s">
        <v>1190</v>
      </c>
      <c r="C7" s="52"/>
      <c r="D7" s="52"/>
      <c r="E7" s="61">
        <f>E5+E6</f>
        <v>0</v>
      </c>
      <c r="F7" s="13" t="str">
        <f>"Line "&amp;A5&amp;" + Line "&amp;A6&amp;""</f>
        <v>Line 1 + Line 2</v>
      </c>
    </row>
    <row r="8" spans="1:7" ht="15" x14ac:dyDescent="0.3">
      <c r="A8" s="419">
        <v>4</v>
      </c>
      <c r="B8" s="1337" t="s">
        <v>1191</v>
      </c>
      <c r="C8" s="1338"/>
      <c r="D8" s="1338"/>
      <c r="E8" s="417"/>
      <c r="F8" s="421" t="s">
        <v>1371</v>
      </c>
      <c r="G8" s="403"/>
    </row>
    <row r="9" spans="1:7" ht="14.4" x14ac:dyDescent="0.3">
      <c r="A9" s="419"/>
      <c r="B9" s="420"/>
      <c r="C9" s="422"/>
      <c r="D9" s="422"/>
      <c r="E9" s="423"/>
      <c r="F9" s="432"/>
      <c r="G9" s="403"/>
    </row>
    <row r="10" spans="1:7" ht="14.4" x14ac:dyDescent="0.3">
      <c r="A10" s="419"/>
      <c r="B10" s="91" t="s">
        <v>1225</v>
      </c>
      <c r="C10" s="422"/>
      <c r="D10" s="422"/>
      <c r="E10" s="423"/>
      <c r="F10" s="421"/>
      <c r="G10" s="403"/>
    </row>
    <row r="11" spans="1:7" ht="14.4" x14ac:dyDescent="0.3">
      <c r="A11" s="424"/>
      <c r="B11" s="52"/>
      <c r="C11" s="52"/>
      <c r="D11" s="52"/>
      <c r="E11" s="61"/>
      <c r="F11" s="421"/>
      <c r="G11" s="403"/>
    </row>
    <row r="12" spans="1:7" ht="14.4" x14ac:dyDescent="0.3">
      <c r="A12" s="424">
        <v>5</v>
      </c>
      <c r="B12" s="52" t="s">
        <v>1188</v>
      </c>
      <c r="C12" s="52"/>
      <c r="D12" s="52"/>
      <c r="E12" s="417"/>
      <c r="F12" s="421" t="s">
        <v>311</v>
      </c>
      <c r="G12" s="403"/>
    </row>
    <row r="13" spans="1:7" ht="14.4" x14ac:dyDescent="0.3">
      <c r="A13" s="424">
        <v>6</v>
      </c>
      <c r="B13" s="52" t="s">
        <v>1189</v>
      </c>
      <c r="C13" s="52"/>
      <c r="D13" s="52"/>
      <c r="E13" s="1267"/>
      <c r="F13" s="418" t="s">
        <v>33</v>
      </c>
      <c r="G13" s="403"/>
    </row>
    <row r="14" spans="1:7" ht="14.4" x14ac:dyDescent="0.3">
      <c r="A14" s="424">
        <v>7</v>
      </c>
      <c r="B14" s="52" t="s">
        <v>1190</v>
      </c>
      <c r="C14" s="52"/>
      <c r="D14" s="52"/>
      <c r="E14" s="423">
        <f>E12+E13</f>
        <v>0</v>
      </c>
      <c r="F14" s="13" t="str">
        <f>"Line "&amp;A12&amp;" + Line "&amp;A13&amp;""</f>
        <v>Line 5 + Line 6</v>
      </c>
      <c r="G14" s="403"/>
    </row>
    <row r="15" spans="1:7" ht="15" x14ac:dyDescent="0.3">
      <c r="A15" s="419">
        <v>8</v>
      </c>
      <c r="B15" s="1337" t="s">
        <v>1192</v>
      </c>
      <c r="C15" s="1338"/>
      <c r="D15" s="1338"/>
      <c r="E15" s="908"/>
      <c r="F15" s="421" t="s">
        <v>1193</v>
      </c>
      <c r="G15" s="403"/>
    </row>
    <row r="16" spans="1:7" ht="14.4" x14ac:dyDescent="0.3">
      <c r="A16" s="264"/>
      <c r="B16" s="52"/>
      <c r="C16" s="52"/>
      <c r="D16" s="52"/>
      <c r="E16" s="61"/>
      <c r="F16" s="418"/>
    </row>
    <row r="17" spans="1:7" ht="14.4" x14ac:dyDescent="0.3">
      <c r="A17" s="264">
        <v>9</v>
      </c>
      <c r="B17" s="52" t="s">
        <v>1194</v>
      </c>
      <c r="C17" s="52"/>
      <c r="D17" s="52"/>
      <c r="E17" s="61">
        <f>(E5+E12)/2</f>
        <v>0</v>
      </c>
      <c r="F17" s="16" t="str">
        <f>"(Line "&amp;A5&amp;" + Line "&amp;A12&amp;") / 2"</f>
        <v>(Line 1 + Line 5) / 2</v>
      </c>
      <c r="G17" s="425"/>
    </row>
    <row r="18" spans="1:7" ht="14.4" x14ac:dyDescent="0.3">
      <c r="A18" s="264"/>
      <c r="B18" s="416"/>
      <c r="C18" s="426"/>
      <c r="D18" s="427"/>
      <c r="E18" s="428"/>
      <c r="F18" s="418"/>
    </row>
    <row r="19" spans="1:7" ht="14.4" x14ac:dyDescent="0.3">
      <c r="A19" s="264">
        <v>10</v>
      </c>
      <c r="B19" s="416" t="s">
        <v>1195</v>
      </c>
      <c r="C19" s="426"/>
      <c r="D19" s="426"/>
      <c r="E19" s="429"/>
      <c r="F19" s="433" t="s">
        <v>1048</v>
      </c>
    </row>
    <row r="20" spans="1:7" ht="14.4" x14ac:dyDescent="0.3">
      <c r="A20" s="264">
        <v>11</v>
      </c>
      <c r="B20" s="416" t="s">
        <v>1196</v>
      </c>
      <c r="C20" s="426"/>
      <c r="D20" s="426"/>
      <c r="E20" s="469"/>
      <c r="F20" s="418" t="s">
        <v>33</v>
      </c>
    </row>
    <row r="21" spans="1:7" ht="14.4" x14ac:dyDescent="0.3">
      <c r="A21" s="264">
        <v>12</v>
      </c>
      <c r="B21" s="416" t="s">
        <v>1197</v>
      </c>
      <c r="C21" s="426"/>
      <c r="D21" s="426"/>
      <c r="E21" s="430">
        <f>E19+E20</f>
        <v>0</v>
      </c>
      <c r="F21" s="13" t="str">
        <f>"Line "&amp;A19&amp;" + Line "&amp;A20&amp;""</f>
        <v>Line 10 + Line 11</v>
      </c>
    </row>
    <row r="22" spans="1:7" ht="14.4" x14ac:dyDescent="0.3">
      <c r="A22" s="264">
        <v>13</v>
      </c>
      <c r="B22" s="1337" t="s">
        <v>1198</v>
      </c>
      <c r="C22" s="1338"/>
      <c r="D22" s="1338"/>
      <c r="E22" s="909"/>
      <c r="F22" s="418" t="s">
        <v>1199</v>
      </c>
    </row>
    <row r="23" spans="1:7" x14ac:dyDescent="0.25">
      <c r="C23" s="62"/>
      <c r="D23" s="62"/>
    </row>
    <row r="24" spans="1:7" x14ac:dyDescent="0.25">
      <c r="C24" s="62"/>
      <c r="D24" s="62"/>
    </row>
    <row r="25" spans="1:7" x14ac:dyDescent="0.25">
      <c r="A25" s="53" t="s">
        <v>256</v>
      </c>
    </row>
    <row r="26" spans="1:7" x14ac:dyDescent="0.25">
      <c r="A26" s="63">
        <v>1</v>
      </c>
      <c r="B26" s="12" t="s">
        <v>1223</v>
      </c>
    </row>
    <row r="27" spans="1:7" x14ac:dyDescent="0.25">
      <c r="A27" s="63">
        <v>2</v>
      </c>
      <c r="B27" s="12" t="s">
        <v>1226</v>
      </c>
    </row>
    <row r="28" spans="1:7" x14ac:dyDescent="0.25">
      <c r="A28" s="63">
        <v>3</v>
      </c>
      <c r="B28" t="s">
        <v>1917</v>
      </c>
    </row>
    <row r="29" spans="1:7" x14ac:dyDescent="0.25">
      <c r="A29" s="63">
        <v>4</v>
      </c>
      <c r="B29" t="s">
        <v>2486</v>
      </c>
      <c r="E29" s="431"/>
    </row>
    <row r="30" spans="1:7" x14ac:dyDescent="0.25">
      <c r="B30" t="s">
        <v>2485</v>
      </c>
      <c r="E30" s="431"/>
    </row>
    <row r="31" spans="1:7" x14ac:dyDescent="0.25">
      <c r="E31" s="431"/>
    </row>
    <row r="32" spans="1:7" x14ac:dyDescent="0.25">
      <c r="A32"/>
      <c r="E32" s="431"/>
    </row>
    <row r="33" spans="1:5" x14ac:dyDescent="0.25">
      <c r="A33"/>
      <c r="E33" s="431"/>
    </row>
    <row r="34" spans="1:5" x14ac:dyDescent="0.25">
      <c r="A34"/>
      <c r="E34" s="431"/>
    </row>
    <row r="35" spans="1:5" x14ac:dyDescent="0.25">
      <c r="A35"/>
      <c r="E35" s="431"/>
    </row>
    <row r="39" spans="1:5" x14ac:dyDescent="0.25">
      <c r="A39"/>
      <c r="C39" s="109"/>
      <c r="D39" s="109"/>
      <c r="E39" s="109"/>
    </row>
    <row r="40" spans="1:5" x14ac:dyDescent="0.25">
      <c r="A40"/>
      <c r="C40" s="109"/>
      <c r="D40" s="109"/>
      <c r="E40" s="109"/>
    </row>
    <row r="41" spans="1:5" x14ac:dyDescent="0.25">
      <c r="A41"/>
      <c r="C41" s="109"/>
      <c r="D41" s="109"/>
      <c r="E41" s="109"/>
    </row>
    <row r="42" spans="1:5" x14ac:dyDescent="0.25">
      <c r="A42"/>
      <c r="C42" s="109"/>
      <c r="D42" s="109"/>
      <c r="E42" s="109"/>
    </row>
    <row r="43" spans="1:5" x14ac:dyDescent="0.25">
      <c r="A43"/>
      <c r="C43" s="109"/>
      <c r="D43" s="109"/>
      <c r="E43" s="109"/>
    </row>
    <row r="44" spans="1:5" x14ac:dyDescent="0.25">
      <c r="A44"/>
      <c r="C44" s="109"/>
      <c r="D44" s="109"/>
      <c r="E44" s="109"/>
    </row>
    <row r="45" spans="1:5" x14ac:dyDescent="0.25">
      <c r="A45"/>
      <c r="C45" s="109"/>
      <c r="D45" s="109"/>
      <c r="E45" s="109"/>
    </row>
    <row r="46" spans="1:5" x14ac:dyDescent="0.25">
      <c r="A46"/>
      <c r="C46" s="109"/>
      <c r="D46" s="109"/>
      <c r="E46" s="109"/>
    </row>
    <row r="47" spans="1:5" x14ac:dyDescent="0.25">
      <c r="A47"/>
      <c r="C47" s="109"/>
      <c r="D47" s="109"/>
      <c r="E47" s="109"/>
    </row>
    <row r="48" spans="1:5" x14ac:dyDescent="0.25">
      <c r="A48"/>
      <c r="C48" s="109"/>
      <c r="D48" s="109"/>
      <c r="E48" s="109"/>
    </row>
    <row r="49" spans="1:5" x14ac:dyDescent="0.25">
      <c r="A49"/>
      <c r="C49" s="109"/>
      <c r="D49" s="109"/>
      <c r="E49" s="109"/>
    </row>
    <row r="50" spans="1:5" x14ac:dyDescent="0.25">
      <c r="A50"/>
      <c r="C50" s="109"/>
      <c r="D50" s="109"/>
      <c r="E50" s="109"/>
    </row>
    <row r="51" spans="1:5" x14ac:dyDescent="0.25">
      <c r="A51"/>
      <c r="C51" s="109"/>
      <c r="D51" s="109"/>
      <c r="E51" s="109"/>
    </row>
    <row r="54" spans="1:5" x14ac:dyDescent="0.25">
      <c r="A54"/>
      <c r="E54" s="109"/>
    </row>
  </sheetData>
  <mergeCells count="3">
    <mergeCell ref="B8:D8"/>
    <mergeCell ref="B15:D15"/>
    <mergeCell ref="B22:D22"/>
  </mergeCells>
  <pageMargins left="0.7" right="0.7" top="0.75" bottom="0.75" header="0.3" footer="0.3"/>
  <pageSetup scale="75" orientation="portrait" cellComments="asDisplayed" r:id="rId1"/>
  <headerFooter>
    <oddHeader>&amp;CSchedule 22
Network Upgrade Credits and Interest Expense
&amp;"Arial,Bold"Attachment 5</oddHeader>
    <oddFooter>&amp;R22-NUCs</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zoomScaleNormal="100" workbookViewId="0"/>
  </sheetViews>
  <sheetFormatPr defaultRowHeight="13.2" x14ac:dyDescent="0.25"/>
  <cols>
    <col min="1" max="1" width="4.6640625" customWidth="1"/>
    <col min="2" max="2" width="30.6640625" customWidth="1"/>
    <col min="3" max="5" width="15.6640625" customWidth="1"/>
    <col min="6" max="6" width="3.6640625" customWidth="1"/>
    <col min="7" max="8" width="10.6640625" customWidth="1"/>
  </cols>
  <sheetData>
    <row r="1" spans="1:11" x14ac:dyDescent="0.25">
      <c r="A1" s="846" t="s">
        <v>1973</v>
      </c>
      <c r="B1" s="847"/>
      <c r="C1" s="847"/>
      <c r="D1" s="847"/>
      <c r="E1" s="847"/>
      <c r="F1" s="847"/>
      <c r="G1" s="847"/>
      <c r="H1" s="14"/>
      <c r="I1" s="14"/>
      <c r="J1" s="14"/>
      <c r="K1" s="14"/>
    </row>
    <row r="2" spans="1:11" x14ac:dyDescent="0.25">
      <c r="A2" s="14"/>
      <c r="B2" s="14"/>
      <c r="C2" s="14"/>
      <c r="D2" s="14"/>
      <c r="E2" s="14"/>
      <c r="F2" s="14"/>
      <c r="G2" s="14"/>
      <c r="H2" s="14"/>
      <c r="I2" s="14"/>
      <c r="J2" s="14"/>
      <c r="K2" s="14"/>
    </row>
    <row r="3" spans="1:11" x14ac:dyDescent="0.25">
      <c r="A3" s="848" t="s">
        <v>360</v>
      </c>
      <c r="B3" s="847"/>
      <c r="C3" s="847"/>
      <c r="D3" s="847"/>
      <c r="E3" s="847"/>
      <c r="F3" s="847"/>
      <c r="G3" s="847"/>
      <c r="H3" s="14"/>
      <c r="I3" s="14"/>
      <c r="J3" s="14"/>
      <c r="K3" s="14"/>
    </row>
    <row r="4" spans="1:11" x14ac:dyDescent="0.25">
      <c r="A4" s="849">
        <v>1</v>
      </c>
      <c r="B4" s="705" t="s">
        <v>1962</v>
      </c>
      <c r="C4" s="847"/>
      <c r="D4" s="847"/>
      <c r="E4" s="847"/>
      <c r="F4" s="847"/>
      <c r="G4" s="847"/>
      <c r="H4" s="14"/>
      <c r="I4" s="14"/>
      <c r="J4" s="14"/>
      <c r="K4" s="14"/>
    </row>
    <row r="5" spans="1:11" x14ac:dyDescent="0.25">
      <c r="A5" s="849">
        <v>2</v>
      </c>
      <c r="B5" s="705" t="s">
        <v>1963</v>
      </c>
      <c r="C5" s="847"/>
      <c r="D5" s="847"/>
      <c r="E5" s="847"/>
      <c r="F5" s="847"/>
      <c r="G5" s="847"/>
      <c r="H5" s="14"/>
      <c r="I5" s="14"/>
      <c r="J5" s="14"/>
      <c r="K5" s="14"/>
    </row>
    <row r="6" spans="1:11" x14ac:dyDescent="0.25">
      <c r="A6" s="849">
        <v>3</v>
      </c>
      <c r="B6" s="705" t="s">
        <v>1964</v>
      </c>
      <c r="C6" s="847"/>
      <c r="D6" s="847"/>
      <c r="E6" s="847"/>
      <c r="F6" s="847"/>
      <c r="G6" s="847"/>
      <c r="H6" s="14"/>
      <c r="I6" s="14"/>
      <c r="J6" s="14"/>
      <c r="K6" s="14"/>
    </row>
    <row r="7" spans="1:11" x14ac:dyDescent="0.25">
      <c r="A7" s="849">
        <v>4</v>
      </c>
      <c r="B7" s="847"/>
      <c r="C7" s="847"/>
      <c r="D7" s="847"/>
      <c r="E7" s="847"/>
      <c r="F7" s="847"/>
      <c r="G7" s="847"/>
      <c r="H7" s="14"/>
      <c r="I7" s="14"/>
      <c r="J7" s="14"/>
      <c r="K7" s="14"/>
    </row>
    <row r="8" spans="1:11" x14ac:dyDescent="0.25">
      <c r="A8" s="849">
        <v>5</v>
      </c>
      <c r="B8" s="705" t="s">
        <v>456</v>
      </c>
      <c r="C8" s="847"/>
      <c r="D8" s="847"/>
      <c r="E8" s="847"/>
      <c r="F8" s="847"/>
      <c r="G8" s="847"/>
      <c r="H8" s="14"/>
      <c r="I8" s="14"/>
      <c r="J8" s="14"/>
      <c r="K8" s="14"/>
    </row>
    <row r="9" spans="1:11" x14ac:dyDescent="0.25">
      <c r="A9" s="849">
        <v>6</v>
      </c>
      <c r="B9" s="705" t="s">
        <v>455</v>
      </c>
      <c r="C9" s="847"/>
      <c r="D9" s="847"/>
      <c r="E9" s="847"/>
      <c r="F9" s="847"/>
      <c r="G9" s="847"/>
      <c r="H9" s="14"/>
      <c r="I9" s="14"/>
      <c r="J9" s="14"/>
      <c r="K9" s="14"/>
    </row>
    <row r="10" spans="1:11" x14ac:dyDescent="0.25">
      <c r="A10" s="849">
        <v>7</v>
      </c>
      <c r="B10" s="847"/>
      <c r="C10" s="847"/>
      <c r="D10" s="847"/>
      <c r="E10" s="847"/>
      <c r="F10" s="847"/>
      <c r="G10" s="847"/>
      <c r="H10" s="14"/>
      <c r="I10" s="14"/>
      <c r="J10" s="14"/>
      <c r="K10" s="14"/>
    </row>
    <row r="11" spans="1:11" x14ac:dyDescent="0.25">
      <c r="A11" s="849">
        <v>8</v>
      </c>
      <c r="B11" s="705" t="s">
        <v>1965</v>
      </c>
      <c r="C11" s="847"/>
      <c r="D11" s="847"/>
      <c r="E11" s="847"/>
      <c r="F11" s="847"/>
      <c r="G11" s="847"/>
      <c r="H11" s="14"/>
      <c r="I11" s="14"/>
      <c r="J11" s="14"/>
      <c r="K11" s="14"/>
    </row>
    <row r="12" spans="1:11" x14ac:dyDescent="0.25">
      <c r="A12" s="849">
        <v>9</v>
      </c>
      <c r="B12" s="705" t="s">
        <v>1966</v>
      </c>
      <c r="C12" s="847"/>
      <c r="D12" s="847"/>
      <c r="E12" s="847"/>
      <c r="F12" s="847"/>
      <c r="G12" s="847"/>
      <c r="H12" s="14"/>
      <c r="I12" s="14"/>
      <c r="J12" s="14"/>
      <c r="K12" s="14"/>
    </row>
    <row r="13" spans="1:11" x14ac:dyDescent="0.25">
      <c r="A13" s="849">
        <v>10</v>
      </c>
      <c r="B13" s="705" t="s">
        <v>1967</v>
      </c>
      <c r="C13" s="847"/>
      <c r="D13" s="847"/>
      <c r="E13" s="847"/>
      <c r="F13" s="847"/>
      <c r="G13" s="847"/>
      <c r="H13" s="14"/>
      <c r="I13" s="14"/>
      <c r="J13" s="14"/>
      <c r="K13" s="14"/>
    </row>
    <row r="14" spans="1:11" x14ac:dyDescent="0.25">
      <c r="A14" s="849">
        <v>11</v>
      </c>
      <c r="B14" s="847"/>
      <c r="C14" s="847"/>
      <c r="D14" s="847"/>
      <c r="E14" s="847"/>
      <c r="F14" s="847"/>
      <c r="G14" s="847"/>
      <c r="H14" s="14"/>
      <c r="I14" s="14"/>
      <c r="J14" s="14"/>
      <c r="K14" s="14"/>
    </row>
    <row r="15" spans="1:11" x14ac:dyDescent="0.25">
      <c r="A15" s="849">
        <v>12</v>
      </c>
      <c r="B15" s="705"/>
      <c r="C15" s="847"/>
      <c r="D15" s="847"/>
      <c r="E15" s="849" t="s">
        <v>73</v>
      </c>
      <c r="F15" s="847"/>
      <c r="G15" s="847"/>
      <c r="H15" s="14"/>
      <c r="I15" s="14"/>
      <c r="J15" s="14"/>
      <c r="K15" s="14"/>
    </row>
    <row r="16" spans="1:11" x14ac:dyDescent="0.25">
      <c r="A16" s="849">
        <v>13</v>
      </c>
      <c r="B16" s="847"/>
      <c r="C16" s="847"/>
      <c r="D16" s="847"/>
      <c r="E16" s="1228" t="s">
        <v>194</v>
      </c>
      <c r="F16" s="847"/>
      <c r="G16" s="1229" t="s">
        <v>2274</v>
      </c>
      <c r="H16" s="14"/>
      <c r="I16" s="14"/>
      <c r="J16" s="14"/>
      <c r="K16" s="14"/>
    </row>
    <row r="17" spans="1:11" x14ac:dyDescent="0.25">
      <c r="A17" s="849">
        <v>14</v>
      </c>
      <c r="B17" s="705" t="s">
        <v>457</v>
      </c>
      <c r="C17" s="847"/>
      <c r="D17" s="847"/>
      <c r="E17" s="700">
        <f>D29</f>
        <v>0</v>
      </c>
      <c r="F17" s="847"/>
      <c r="G17" s="705" t="s">
        <v>558</v>
      </c>
      <c r="H17" s="14"/>
      <c r="I17" s="14"/>
      <c r="J17" s="14"/>
      <c r="K17" s="14"/>
    </row>
    <row r="18" spans="1:11" x14ac:dyDescent="0.25">
      <c r="A18" s="849">
        <v>15</v>
      </c>
      <c r="B18" s="705" t="s">
        <v>1861</v>
      </c>
      <c r="C18" s="847"/>
      <c r="D18" s="847"/>
      <c r="E18" s="700">
        <f>(C29+D29)/2</f>
        <v>0</v>
      </c>
      <c r="F18" s="847"/>
      <c r="G18" s="705" t="s">
        <v>2275</v>
      </c>
      <c r="H18" s="14"/>
      <c r="I18" s="14"/>
      <c r="J18" s="14"/>
      <c r="K18" s="14"/>
    </row>
    <row r="19" spans="1:11" x14ac:dyDescent="0.25">
      <c r="A19" s="849">
        <v>16</v>
      </c>
      <c r="B19" s="705" t="s">
        <v>1968</v>
      </c>
      <c r="C19" s="847"/>
      <c r="D19" s="847"/>
      <c r="E19" s="700">
        <f>E29</f>
        <v>0</v>
      </c>
      <c r="F19" s="847"/>
      <c r="G19" s="705" t="s">
        <v>2276</v>
      </c>
      <c r="H19" s="14"/>
      <c r="I19" s="14"/>
      <c r="J19" s="14"/>
      <c r="K19" s="14"/>
    </row>
    <row r="20" spans="1:11" x14ac:dyDescent="0.25">
      <c r="A20" s="849"/>
      <c r="B20" s="705"/>
      <c r="C20" s="847"/>
      <c r="D20" s="847"/>
      <c r="E20" s="700"/>
      <c r="F20" s="847"/>
      <c r="G20" s="847"/>
      <c r="H20" s="14"/>
      <c r="I20" s="14"/>
      <c r="J20" s="14"/>
      <c r="K20" s="14"/>
    </row>
    <row r="21" spans="1:11" x14ac:dyDescent="0.25">
      <c r="A21" s="849"/>
      <c r="B21" s="847"/>
      <c r="C21" s="855" t="s">
        <v>394</v>
      </c>
      <c r="D21" s="855" t="s">
        <v>378</v>
      </c>
      <c r="E21" s="855" t="s">
        <v>379</v>
      </c>
      <c r="F21" s="847"/>
      <c r="G21" s="847"/>
      <c r="H21" s="14"/>
      <c r="I21" s="14"/>
      <c r="J21" s="14"/>
      <c r="K21" s="14"/>
    </row>
    <row r="22" spans="1:11" x14ac:dyDescent="0.25">
      <c r="A22" s="849"/>
      <c r="B22" s="847"/>
      <c r="C22" s="849" t="s">
        <v>73</v>
      </c>
      <c r="D22" s="849" t="s">
        <v>73</v>
      </c>
      <c r="E22" s="849" t="s">
        <v>73</v>
      </c>
      <c r="F22" s="847"/>
      <c r="G22" s="847"/>
      <c r="H22" s="14"/>
      <c r="I22" s="14"/>
      <c r="J22" s="14"/>
      <c r="K22" s="14"/>
    </row>
    <row r="23" spans="1:11" ht="14.4" x14ac:dyDescent="0.3">
      <c r="A23" s="849"/>
      <c r="B23" s="849" t="s">
        <v>458</v>
      </c>
      <c r="C23" s="849" t="s">
        <v>423</v>
      </c>
      <c r="D23" s="849" t="s">
        <v>330</v>
      </c>
      <c r="E23" s="1230" t="s">
        <v>1969</v>
      </c>
      <c r="F23" s="847"/>
      <c r="G23" s="1231" t="s">
        <v>2277</v>
      </c>
      <c r="H23" s="1164"/>
      <c r="I23" s="14"/>
      <c r="J23" s="14"/>
      <c r="K23" s="14"/>
    </row>
    <row r="24" spans="1:11" x14ac:dyDescent="0.25">
      <c r="A24" s="849"/>
      <c r="B24" s="849" t="s">
        <v>459</v>
      </c>
      <c r="C24" s="849" t="s">
        <v>464</v>
      </c>
      <c r="D24" s="849" t="s">
        <v>464</v>
      </c>
      <c r="E24" s="849" t="s">
        <v>465</v>
      </c>
      <c r="F24" s="847"/>
      <c r="G24" s="1231" t="s">
        <v>2278</v>
      </c>
      <c r="H24" s="1164"/>
      <c r="I24" s="14"/>
      <c r="J24" s="14"/>
      <c r="K24" s="14"/>
    </row>
    <row r="25" spans="1:11" x14ac:dyDescent="0.25">
      <c r="A25" s="849"/>
      <c r="B25" s="1228" t="s">
        <v>460</v>
      </c>
      <c r="C25" s="1228" t="s">
        <v>460</v>
      </c>
      <c r="D25" s="1228" t="s">
        <v>460</v>
      </c>
      <c r="E25" s="1228" t="s">
        <v>1970</v>
      </c>
      <c r="F25" s="847"/>
      <c r="G25" s="1232" t="s">
        <v>2279</v>
      </c>
      <c r="H25" s="1164"/>
      <c r="I25" s="14"/>
      <c r="J25" s="14"/>
      <c r="K25" s="14"/>
    </row>
    <row r="26" spans="1:11" x14ac:dyDescent="0.25">
      <c r="A26" s="696">
        <v>17</v>
      </c>
      <c r="B26" s="701" t="s">
        <v>461</v>
      </c>
      <c r="C26" s="702"/>
      <c r="D26" s="702"/>
      <c r="E26" s="702"/>
      <c r="F26" s="694"/>
      <c r="G26" s="725"/>
      <c r="H26" s="105"/>
    </row>
    <row r="27" spans="1:11" x14ac:dyDescent="0.25">
      <c r="A27" s="696">
        <v>18</v>
      </c>
      <c r="B27" s="701" t="s">
        <v>462</v>
      </c>
      <c r="C27" s="702"/>
      <c r="D27" s="702"/>
      <c r="E27" s="702"/>
      <c r="F27" s="694"/>
      <c r="G27" s="725"/>
      <c r="H27" s="105"/>
    </row>
    <row r="28" spans="1:11" x14ac:dyDescent="0.25">
      <c r="A28" s="696">
        <v>19</v>
      </c>
      <c r="B28" s="701" t="s">
        <v>463</v>
      </c>
      <c r="C28" s="703"/>
      <c r="D28" s="703"/>
      <c r="E28" s="703"/>
      <c r="F28" s="694"/>
      <c r="G28" s="725"/>
      <c r="H28" s="105"/>
    </row>
    <row r="29" spans="1:11" x14ac:dyDescent="0.25">
      <c r="A29" s="696">
        <v>20</v>
      </c>
      <c r="B29" s="697" t="s">
        <v>216</v>
      </c>
      <c r="C29" s="704">
        <v>0</v>
      </c>
      <c r="D29" s="704">
        <v>0</v>
      </c>
      <c r="E29" s="704">
        <v>0</v>
      </c>
      <c r="F29" s="694"/>
      <c r="G29" s="697" t="s">
        <v>356</v>
      </c>
    </row>
    <row r="30" spans="1:11" x14ac:dyDescent="0.25">
      <c r="A30" s="696"/>
      <c r="B30" s="694"/>
      <c r="C30" s="694"/>
      <c r="D30" s="694"/>
      <c r="E30" s="694"/>
      <c r="F30" s="694"/>
      <c r="G30" s="694"/>
    </row>
    <row r="31" spans="1:11" x14ac:dyDescent="0.25">
      <c r="A31" s="696"/>
      <c r="B31" s="693" t="s">
        <v>420</v>
      </c>
      <c r="C31" s="694"/>
      <c r="D31" s="694"/>
      <c r="E31" s="694"/>
      <c r="F31" s="694"/>
      <c r="G31" s="694"/>
    </row>
    <row r="32" spans="1:11" x14ac:dyDescent="0.25">
      <c r="A32" s="696"/>
      <c r="B32" s="705" t="s">
        <v>1971</v>
      </c>
      <c r="C32" s="847"/>
      <c r="D32" s="847"/>
      <c r="E32" s="847"/>
      <c r="F32" s="847"/>
      <c r="G32" s="847"/>
      <c r="H32" s="14"/>
    </row>
    <row r="33" spans="1:8" x14ac:dyDescent="0.25">
      <c r="A33" s="696"/>
      <c r="B33" s="705" t="s">
        <v>466</v>
      </c>
      <c r="C33" s="14"/>
      <c r="D33" s="14"/>
      <c r="E33" s="14"/>
      <c r="F33" s="14"/>
      <c r="G33" s="14"/>
      <c r="H33" s="14"/>
    </row>
    <row r="34" spans="1:8" x14ac:dyDescent="0.25">
      <c r="A34" s="696"/>
      <c r="B34" s="1233" t="s">
        <v>559</v>
      </c>
      <c r="C34" s="14"/>
      <c r="D34" s="14"/>
      <c r="E34" s="14"/>
      <c r="F34" s="14"/>
      <c r="G34" s="14"/>
      <c r="H34" s="14"/>
    </row>
    <row r="35" spans="1:8" x14ac:dyDescent="0.25">
      <c r="A35" s="696"/>
      <c r="B35" s="1233" t="s">
        <v>560</v>
      </c>
      <c r="C35" s="14"/>
      <c r="D35" s="14"/>
      <c r="E35" s="1164"/>
      <c r="F35" s="14"/>
      <c r="G35" s="14"/>
      <c r="H35" s="14"/>
    </row>
    <row r="36" spans="1:8" x14ac:dyDescent="0.25">
      <c r="A36" s="696"/>
      <c r="B36" s="705" t="s">
        <v>467</v>
      </c>
      <c r="C36" s="14"/>
      <c r="D36" s="14"/>
      <c r="E36" s="14"/>
      <c r="F36" s="14"/>
      <c r="G36" s="14"/>
      <c r="H36" s="14"/>
    </row>
    <row r="37" spans="1:8" x14ac:dyDescent="0.25">
      <c r="A37" s="696"/>
    </row>
    <row r="38" spans="1:8" x14ac:dyDescent="0.25">
      <c r="A38" s="696"/>
      <c r="B38" s="694"/>
    </row>
    <row r="39" spans="1:8" x14ac:dyDescent="0.25">
      <c r="A39" s="696"/>
      <c r="B39" s="694"/>
    </row>
  </sheetData>
  <pageMargins left="0.7" right="0.7" top="0.75" bottom="0.75" header="0.3" footer="0.3"/>
  <pageSetup orientation="landscape" cellComments="asDisplayed" r:id="rId1"/>
  <headerFooter>
    <oddHeader>&amp;CSchedule 23
Regulatory Assets and Liabilities
&amp;"Arial,Bold"Attachment 5</oddHeader>
    <oddFooter>&amp;R23-RegAssets</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5"/>
  <sheetViews>
    <sheetView zoomScale="85" zoomScaleNormal="85" workbookViewId="0"/>
  </sheetViews>
  <sheetFormatPr defaultRowHeight="13.2" x14ac:dyDescent="0.25"/>
  <cols>
    <col min="1" max="2" width="4.6640625" customWidth="1"/>
    <col min="3" max="3" width="28.6640625" customWidth="1"/>
    <col min="4" max="8" width="14.6640625" customWidth="1"/>
  </cols>
  <sheetData>
    <row r="1" spans="1:9" ht="14.4" x14ac:dyDescent="0.3">
      <c r="A1" s="1" t="s">
        <v>1386</v>
      </c>
      <c r="I1" s="400"/>
    </row>
    <row r="3" spans="1:9" x14ac:dyDescent="0.25">
      <c r="B3" s="1" t="s">
        <v>1709</v>
      </c>
    </row>
    <row r="4" spans="1:9" x14ac:dyDescent="0.25">
      <c r="B4" s="1"/>
    </row>
    <row r="5" spans="1:9" x14ac:dyDescent="0.25">
      <c r="B5" s="1"/>
      <c r="C5" s="1" t="s">
        <v>1582</v>
      </c>
      <c r="D5" s="92" t="s">
        <v>394</v>
      </c>
      <c r="E5" s="92" t="s">
        <v>378</v>
      </c>
      <c r="F5" s="92" t="s">
        <v>379</v>
      </c>
    </row>
    <row r="6" spans="1:9" ht="14.4" x14ac:dyDescent="0.3">
      <c r="D6" s="264" t="s">
        <v>73</v>
      </c>
      <c r="E6" s="264" t="s">
        <v>73</v>
      </c>
      <c r="F6" s="264" t="s">
        <v>217</v>
      </c>
    </row>
    <row r="7" spans="1:9" ht="14.4" x14ac:dyDescent="0.3">
      <c r="C7" s="1"/>
      <c r="D7" s="264" t="s">
        <v>330</v>
      </c>
      <c r="E7" s="264" t="s">
        <v>255</v>
      </c>
      <c r="F7" s="264" t="s">
        <v>218</v>
      </c>
    </row>
    <row r="8" spans="1:9" x14ac:dyDescent="0.25">
      <c r="A8" s="3" t="s">
        <v>360</v>
      </c>
      <c r="C8" s="3" t="s">
        <v>250</v>
      </c>
      <c r="D8" s="3" t="s">
        <v>194</v>
      </c>
      <c r="E8" s="3" t="s">
        <v>194</v>
      </c>
      <c r="F8" s="3" t="s">
        <v>194</v>
      </c>
      <c r="G8" s="3" t="s">
        <v>198</v>
      </c>
    </row>
    <row r="9" spans="1:9" x14ac:dyDescent="0.25">
      <c r="A9" s="2">
        <v>1</v>
      </c>
      <c r="C9" s="102" t="s">
        <v>1399</v>
      </c>
      <c r="D9" s="7">
        <f>'10-CWIP'!E25</f>
        <v>0</v>
      </c>
      <c r="E9" s="7">
        <f>'10-CWIP'!E26</f>
        <v>0</v>
      </c>
      <c r="F9" s="7">
        <f>'10-CWIP'!K113</f>
        <v>0</v>
      </c>
      <c r="G9" s="47" t="str">
        <f>"10-CWIP, Lines "&amp;'10-CWIP'!A25&amp;", "&amp;'10-CWIP'!A26&amp;", "&amp;'10-CWIP'!A113&amp;""</f>
        <v>10-CWIP, Lines 13, 14, 80</v>
      </c>
    </row>
    <row r="10" spans="1:9" x14ac:dyDescent="0.25">
      <c r="A10" s="2">
        <f>A9+1</f>
        <v>2</v>
      </c>
      <c r="C10" s="102" t="s">
        <v>1400</v>
      </c>
      <c r="D10" s="7">
        <f>'10-CWIP'!F25</f>
        <v>0</v>
      </c>
      <c r="E10" s="7">
        <f>'10-CWIP'!F26</f>
        <v>0</v>
      </c>
      <c r="F10" s="7">
        <f>'10-CWIP'!K146</f>
        <v>0</v>
      </c>
      <c r="G10" s="47" t="str">
        <f>"10-CWIP, Lines "&amp;'10-CWIP'!A25&amp;", "&amp;'10-CWIP'!A26&amp;", "&amp;'10-CWIP'!A146&amp;""</f>
        <v>10-CWIP, Lines 13, 14, 106</v>
      </c>
    </row>
    <row r="11" spans="1:9" x14ac:dyDescent="0.25">
      <c r="A11" s="2">
        <f t="shared" ref="A11:A20" si="0">A10+1</f>
        <v>3</v>
      </c>
      <c r="C11" s="102" t="s">
        <v>1401</v>
      </c>
      <c r="D11" s="7">
        <f>'10-CWIP'!G25</f>
        <v>0</v>
      </c>
      <c r="E11" s="7">
        <f>'10-CWIP'!G26</f>
        <v>0</v>
      </c>
      <c r="F11" s="7">
        <f>'10-CWIP'!K177</f>
        <v>0</v>
      </c>
      <c r="G11" s="47" t="str">
        <f>"10-CWIP, Lines "&amp;'10-CWIP'!A25&amp;", "&amp;'10-CWIP'!A26&amp;", "&amp;'10-CWIP'!A177&amp;""</f>
        <v>10-CWIP, Lines 13, 14, 132</v>
      </c>
    </row>
    <row r="12" spans="1:9" x14ac:dyDescent="0.25">
      <c r="A12" s="2">
        <f t="shared" si="0"/>
        <v>4</v>
      </c>
      <c r="C12" s="102" t="s">
        <v>1402</v>
      </c>
      <c r="D12" s="7">
        <f>'10-CWIP'!H25</f>
        <v>0</v>
      </c>
      <c r="E12" s="7">
        <f>'10-CWIP'!H26</f>
        <v>0</v>
      </c>
      <c r="F12" s="7">
        <f>'10-CWIP'!K210</f>
        <v>0</v>
      </c>
      <c r="G12" s="47" t="str">
        <f>"10-CWIP, Lines "&amp;'10-CWIP'!A25&amp;", "&amp;'10-CWIP'!A26&amp;", "&amp;'10-CWIP'!A210&amp;""</f>
        <v>10-CWIP, Lines 13, 14, 158</v>
      </c>
    </row>
    <row r="13" spans="1:9" x14ac:dyDescent="0.25">
      <c r="A13" s="2">
        <f t="shared" si="0"/>
        <v>5</v>
      </c>
      <c r="C13" s="102" t="s">
        <v>1403</v>
      </c>
      <c r="D13" s="7">
        <f>'10-CWIP'!I25</f>
        <v>0</v>
      </c>
      <c r="E13" s="7">
        <f>'10-CWIP'!I26</f>
        <v>0</v>
      </c>
      <c r="F13" s="7">
        <f>'10-CWIP'!K241</f>
        <v>0</v>
      </c>
      <c r="G13" s="47" t="str">
        <f>"10-CWIP, Lines "&amp;'10-CWIP'!A25&amp;", "&amp;'10-CWIP'!A26&amp;", "&amp;'10-CWIP'!A241&amp;""</f>
        <v>10-CWIP, Lines 13, 14, 184</v>
      </c>
    </row>
    <row r="14" spans="1:9" x14ac:dyDescent="0.25">
      <c r="A14" s="2">
        <f t="shared" si="0"/>
        <v>6</v>
      </c>
      <c r="C14" s="102" t="s">
        <v>1404</v>
      </c>
      <c r="D14" s="7">
        <f>'10-CWIP'!D45</f>
        <v>0</v>
      </c>
      <c r="E14" s="7">
        <f>'10-CWIP'!D46</f>
        <v>0</v>
      </c>
      <c r="F14" s="7">
        <f>'10-CWIP'!K274</f>
        <v>0</v>
      </c>
      <c r="G14" s="47" t="str">
        <f>"10-CWIP, Lines "&amp;'10-CWIP'!A45&amp;", "&amp;'10-CWIP'!A46&amp;", "&amp;'10-CWIP'!A274&amp;""</f>
        <v>10-CWIP, Lines 27, 28, 210</v>
      </c>
    </row>
    <row r="15" spans="1:9" x14ac:dyDescent="0.25">
      <c r="A15" s="2">
        <f t="shared" si="0"/>
        <v>7</v>
      </c>
      <c r="C15" s="102" t="s">
        <v>1405</v>
      </c>
      <c r="D15" s="7">
        <f>'10-CWIP'!E45</f>
        <v>0</v>
      </c>
      <c r="E15" s="7">
        <f>'10-CWIP'!E46</f>
        <v>0</v>
      </c>
      <c r="F15" s="7">
        <f>'10-CWIP'!K305</f>
        <v>0</v>
      </c>
      <c r="G15" s="47" t="str">
        <f>"10-CWIP, Lines "&amp;'10-CWIP'!A45&amp;", "&amp;'10-CWIP'!A46&amp;", "&amp;'10-CWIP'!A305&amp;""</f>
        <v>10-CWIP, Lines 27, 28, 236</v>
      </c>
    </row>
    <row r="16" spans="1:9" x14ac:dyDescent="0.25">
      <c r="A16" s="2">
        <f t="shared" si="0"/>
        <v>8</v>
      </c>
      <c r="C16" s="102" t="s">
        <v>1406</v>
      </c>
      <c r="D16" s="7">
        <f>'10-CWIP'!F45</f>
        <v>0</v>
      </c>
      <c r="E16" s="7">
        <f>'10-CWIP'!F46</f>
        <v>0</v>
      </c>
      <c r="F16" s="7">
        <f>'10-CWIP'!K338</f>
        <v>0</v>
      </c>
      <c r="G16" s="47" t="str">
        <f>"10-CWIP, Lines "&amp;'10-CWIP'!A45&amp;", "&amp;'10-CWIP'!A46&amp;", "&amp;'10-CWIP'!A338&amp;""</f>
        <v>10-CWIP, Lines 27, 28, 262</v>
      </c>
    </row>
    <row r="17" spans="1:7" x14ac:dyDescent="0.25">
      <c r="A17" s="2">
        <f t="shared" si="0"/>
        <v>9</v>
      </c>
      <c r="C17" s="102" t="s">
        <v>1407</v>
      </c>
      <c r="D17" s="7">
        <f>'10-CWIP'!G45</f>
        <v>0</v>
      </c>
      <c r="E17" s="7">
        <f>'10-CWIP'!G46</f>
        <v>0</v>
      </c>
      <c r="F17" s="7">
        <f>'10-CWIP'!K369</f>
        <v>0</v>
      </c>
      <c r="G17" s="47" t="str">
        <f>"10-CWIP, Lines "&amp;'10-CWIP'!A45&amp;", "&amp;'10-CWIP'!A46&amp;", "&amp;'10-CWIP'!A369&amp;""</f>
        <v>10-CWIP, Lines 27, 28, 288</v>
      </c>
    </row>
    <row r="18" spans="1:7" x14ac:dyDescent="0.25">
      <c r="A18" s="2">
        <f t="shared" si="0"/>
        <v>10</v>
      </c>
      <c r="C18" s="470"/>
      <c r="D18" s="471" t="str">
        <f>'10-CWIP'!H44</f>
        <v>---</v>
      </c>
      <c r="E18" s="471" t="str">
        <f>'10-CWIP'!H46</f>
        <v>---</v>
      </c>
      <c r="F18" s="448">
        <f>'10-CWIP'!K402</f>
        <v>0</v>
      </c>
      <c r="G18" s="47" t="str">
        <f>"10-CWIP, Lines "&amp;'10-CWIP'!A45&amp;", "&amp;'10-CWIP'!A46&amp;", "&amp;'10-CWIP'!A402&amp;""</f>
        <v>10-CWIP, Lines 27, 28, 314</v>
      </c>
    </row>
    <row r="19" spans="1:7" x14ac:dyDescent="0.25">
      <c r="A19" s="2">
        <f t="shared" si="0"/>
        <v>11</v>
      </c>
      <c r="C19" s="470"/>
      <c r="D19" s="471" t="str">
        <f>'10-CWIP'!I44</f>
        <v>---</v>
      </c>
      <c r="E19" s="471" t="str">
        <f>'10-CWIP'!I46</f>
        <v>---</v>
      </c>
      <c r="F19" s="60">
        <f>'10-CWIP'!K402</f>
        <v>0</v>
      </c>
      <c r="G19" s="47" t="str">
        <f>"10-CWIP, Lines "&amp;'10-CWIP'!A45&amp;", "&amp;'10-CWIP'!A46&amp;", 304"</f>
        <v>10-CWIP, Lines 27, 28, 304</v>
      </c>
    </row>
    <row r="20" spans="1:7" x14ac:dyDescent="0.25">
      <c r="A20" s="2">
        <f t="shared" si="0"/>
        <v>12</v>
      </c>
      <c r="C20" s="102" t="s">
        <v>216</v>
      </c>
      <c r="D20" s="7">
        <f>SUM(D9:D19)</f>
        <v>0</v>
      </c>
      <c r="E20" s="7">
        <f>SUM(E9:E19)</f>
        <v>0</v>
      </c>
      <c r="F20" s="7">
        <f>SUM(F9:F19)</f>
        <v>0</v>
      </c>
      <c r="G20" s="13" t="str">
        <f>"Sum of Lines "&amp;A9&amp;" to "&amp;A19&amp;""</f>
        <v>Sum of Lines 1 to 11</v>
      </c>
    </row>
    <row r="21" spans="1:7" x14ac:dyDescent="0.25">
      <c r="A21" s="2"/>
      <c r="C21" s="1"/>
    </row>
    <row r="22" spans="1:7" ht="14.4" x14ac:dyDescent="0.3">
      <c r="A22" s="2"/>
      <c r="C22" s="1" t="s">
        <v>1398</v>
      </c>
      <c r="D22" s="264" t="s">
        <v>330</v>
      </c>
      <c r="E22" s="264" t="s">
        <v>255</v>
      </c>
      <c r="F22" s="13"/>
    </row>
    <row r="23" spans="1:7" x14ac:dyDescent="0.25">
      <c r="D23" s="3" t="s">
        <v>194</v>
      </c>
      <c r="E23" s="3" t="s">
        <v>194</v>
      </c>
      <c r="F23" s="3" t="s">
        <v>198</v>
      </c>
    </row>
    <row r="24" spans="1:7" x14ac:dyDescent="0.25">
      <c r="A24" s="2">
        <f>A20+1</f>
        <v>13</v>
      </c>
      <c r="C24" s="102" t="s">
        <v>1583</v>
      </c>
      <c r="D24" s="7">
        <f>D20</f>
        <v>0</v>
      </c>
      <c r="E24" s="7">
        <f>E20</f>
        <v>0</v>
      </c>
      <c r="F24" s="16" t="str">
        <f>"Line "&amp;A20&amp;""</f>
        <v>Line 12</v>
      </c>
    </row>
    <row r="25" spans="1:7" x14ac:dyDescent="0.25">
      <c r="A25" s="2">
        <f>A24+1</f>
        <v>14</v>
      </c>
      <c r="C25" s="102" t="s">
        <v>1387</v>
      </c>
      <c r="D25" s="8" t="e">
        <f>'1-BaseTRR'!K91</f>
        <v>#DIV/0!</v>
      </c>
      <c r="E25" s="8" t="e">
        <f>'1-BaseTRR'!K91</f>
        <v>#DIV/0!</v>
      </c>
      <c r="F25" s="124" t="str">
        <f>"1-BaseTRR, Line "&amp;'1-BaseTRR'!A91&amp;""</f>
        <v>1-BaseTRR, Line 53</v>
      </c>
    </row>
    <row r="26" spans="1:7" x14ac:dyDescent="0.25">
      <c r="A26" s="2">
        <f>A25+1</f>
        <v>15</v>
      </c>
      <c r="C26" s="37" t="s">
        <v>1584</v>
      </c>
      <c r="D26" s="7" t="e">
        <f>D24*D25</f>
        <v>#DIV/0!</v>
      </c>
      <c r="E26" s="7" t="e">
        <f>E24*E25</f>
        <v>#DIV/0!</v>
      </c>
      <c r="F26" s="124" t="str">
        <f>"Line "&amp;A24&amp;" * Line "&amp;A25&amp;""</f>
        <v>Line 13 * Line 14</v>
      </c>
    </row>
    <row r="27" spans="1:7" x14ac:dyDescent="0.25">
      <c r="F27" s="14"/>
    </row>
    <row r="28" spans="1:7" x14ac:dyDescent="0.25">
      <c r="C28" s="1" t="s">
        <v>96</v>
      </c>
      <c r="F28" s="14"/>
    </row>
    <row r="29" spans="1:7" ht="14.4" x14ac:dyDescent="0.3">
      <c r="D29" s="264" t="s">
        <v>330</v>
      </c>
      <c r="E29" s="264" t="s">
        <v>255</v>
      </c>
      <c r="F29" s="14"/>
    </row>
    <row r="30" spans="1:7" x14ac:dyDescent="0.25">
      <c r="D30" s="3" t="s">
        <v>194</v>
      </c>
      <c r="E30" s="3" t="s">
        <v>194</v>
      </c>
      <c r="F30" s="135" t="s">
        <v>198</v>
      </c>
    </row>
    <row r="31" spans="1:7" ht="14.4" x14ac:dyDescent="0.3">
      <c r="A31" s="264">
        <f>A26+1</f>
        <v>16</v>
      </c>
      <c r="C31" s="102" t="s">
        <v>1583</v>
      </c>
      <c r="D31" s="7">
        <f>D20</f>
        <v>0</v>
      </c>
      <c r="E31" s="7">
        <f>E20</f>
        <v>0</v>
      </c>
      <c r="F31" s="124" t="str">
        <f>"Line "&amp;A20&amp;""</f>
        <v>Line 12</v>
      </c>
    </row>
    <row r="32" spans="1:7" x14ac:dyDescent="0.25">
      <c r="A32" s="2">
        <f t="shared" ref="A32:A38" si="1">A31+1</f>
        <v>17</v>
      </c>
      <c r="C32" s="393" t="s">
        <v>1585</v>
      </c>
      <c r="D32" s="8" t="e">
        <f>'1-BaseTRR'!K93</f>
        <v>#DIV/0!</v>
      </c>
      <c r="E32" s="8" t="e">
        <f>'1-BaseTRR'!K93</f>
        <v>#DIV/0!</v>
      </c>
      <c r="F32" s="124" t="str">
        <f>"1-BaseTRR, Line "&amp;'1-BaseTRR'!A93&amp;""</f>
        <v>1-BaseTRR, Line 54</v>
      </c>
    </row>
    <row r="33" spans="1:7" x14ac:dyDescent="0.25">
      <c r="A33" s="2">
        <f t="shared" si="1"/>
        <v>18</v>
      </c>
      <c r="C33" s="393" t="s">
        <v>1144</v>
      </c>
      <c r="D33" s="8">
        <f>'1-BaseTRR'!K102</f>
        <v>0</v>
      </c>
      <c r="E33" s="8">
        <f>'1-BaseTRR'!K102</f>
        <v>0</v>
      </c>
      <c r="F33" s="124" t="str">
        <f>"1-BaseTRR, Line "&amp;'1-BaseTRR'!A102&amp;""</f>
        <v>1-BaseTRR, Line 58</v>
      </c>
    </row>
    <row r="34" spans="1:7" x14ac:dyDescent="0.25">
      <c r="A34" s="2">
        <f t="shared" si="1"/>
        <v>19</v>
      </c>
      <c r="C34" s="393" t="s">
        <v>288</v>
      </c>
      <c r="D34" s="65" t="e">
        <f>((D24*D32)*(D33/(1-D33)))</f>
        <v>#DIV/0!</v>
      </c>
      <c r="E34" s="65" t="e">
        <f>((E24*E32)*(E33/(1-E33)))</f>
        <v>#DIV/0!</v>
      </c>
      <c r="F34" s="550" t="str">
        <f>"Formula on Line "&amp;A36&amp;""</f>
        <v>Formula on Line 21</v>
      </c>
      <c r="G34" s="14"/>
    </row>
    <row r="35" spans="1:7" x14ac:dyDescent="0.25">
      <c r="A35" s="2">
        <f t="shared" si="1"/>
        <v>20</v>
      </c>
      <c r="C35" s="14"/>
      <c r="D35" s="14"/>
      <c r="E35" s="14"/>
      <c r="F35" s="14"/>
      <c r="G35" s="14"/>
    </row>
    <row r="36" spans="1:7" x14ac:dyDescent="0.25">
      <c r="A36" s="2">
        <f t="shared" si="1"/>
        <v>21</v>
      </c>
      <c r="C36" s="47" t="str">
        <f>"Income Taxes = [(RB * ER) * (CTR/(1 – CTR)], or [(L"&amp;A24&amp;" * L"&amp;A32&amp;") * (L"&amp;A33&amp;" / (1 - L"&amp;A33&amp;")]"</f>
        <v>Income Taxes = [(RB * ER) * (CTR/(1 – CTR)], or [(L13 * L17) * (L18 / (1 - L18)]</v>
      </c>
      <c r="D36" s="14"/>
      <c r="E36" s="65"/>
      <c r="F36" s="15"/>
      <c r="G36" s="14"/>
    </row>
    <row r="37" spans="1:7" x14ac:dyDescent="0.25">
      <c r="A37" s="2">
        <f t="shared" si="1"/>
        <v>22</v>
      </c>
      <c r="C37" s="550" t="s">
        <v>2068</v>
      </c>
      <c r="D37" s="14"/>
      <c r="E37" s="65"/>
      <c r="F37" s="15"/>
      <c r="G37" s="14"/>
    </row>
    <row r="38" spans="1:7" x14ac:dyDescent="0.25">
      <c r="A38" s="2">
        <f t="shared" si="1"/>
        <v>23</v>
      </c>
      <c r="D38" s="13"/>
      <c r="E38" s="7"/>
      <c r="F38" s="12"/>
      <c r="G38" s="13"/>
    </row>
    <row r="39" spans="1:7" x14ac:dyDescent="0.25">
      <c r="C39" s="1" t="s">
        <v>1395</v>
      </c>
    </row>
    <row r="40" spans="1:7" x14ac:dyDescent="0.25">
      <c r="D40" s="3" t="s">
        <v>190</v>
      </c>
      <c r="E40" s="3" t="s">
        <v>198</v>
      </c>
    </row>
    <row r="41" spans="1:7" x14ac:dyDescent="0.25">
      <c r="A41" s="2">
        <f>A38+1</f>
        <v>24</v>
      </c>
      <c r="C41" s="393" t="s">
        <v>546</v>
      </c>
      <c r="D41" s="65" t="e">
        <f>'15-IncentiveAdder'!G17</f>
        <v>#DIV/0!</v>
      </c>
      <c r="E41" s="124" t="str">
        <f>"15-IncentiveAdder, Line "&amp;'15-IncentiveAdder'!A17&amp;""</f>
        <v>15-IncentiveAdder, Line 3</v>
      </c>
      <c r="F41" s="14"/>
      <c r="G41" s="14"/>
    </row>
    <row r="42" spans="1:7" x14ac:dyDescent="0.25">
      <c r="C42" s="14"/>
      <c r="D42" s="14"/>
      <c r="E42" s="14"/>
      <c r="F42" s="14"/>
      <c r="G42" s="14"/>
    </row>
    <row r="43" spans="1:7" x14ac:dyDescent="0.25">
      <c r="C43" s="1234" t="s">
        <v>369</v>
      </c>
      <c r="D43" s="14"/>
      <c r="E43" s="14"/>
      <c r="F43" s="14"/>
      <c r="G43" s="14"/>
    </row>
    <row r="44" spans="1:7" ht="14.4" x14ac:dyDescent="0.3">
      <c r="C44" s="14"/>
      <c r="D44" s="1235" t="s">
        <v>330</v>
      </c>
      <c r="E44" s="1235" t="s">
        <v>255</v>
      </c>
      <c r="F44" s="14"/>
      <c r="G44" s="14"/>
    </row>
    <row r="45" spans="1:7" x14ac:dyDescent="0.25">
      <c r="C45" s="14"/>
      <c r="D45" s="135" t="s">
        <v>194</v>
      </c>
      <c r="E45" s="135" t="s">
        <v>194</v>
      </c>
      <c r="F45" s="14"/>
      <c r="G45" s="14"/>
    </row>
    <row r="46" spans="1:7" x14ac:dyDescent="0.25">
      <c r="A46" s="2">
        <f>A41+1</f>
        <v>25</v>
      </c>
      <c r="C46" s="393" t="s">
        <v>1586</v>
      </c>
      <c r="D46" s="65">
        <f>D9</f>
        <v>0</v>
      </c>
      <c r="E46" s="65">
        <f>E9</f>
        <v>0</v>
      </c>
      <c r="F46" s="124" t="str">
        <f>"Line "&amp;A9&amp;""</f>
        <v>Line 1</v>
      </c>
      <c r="G46" s="14"/>
    </row>
    <row r="47" spans="1:7" x14ac:dyDescent="0.25">
      <c r="A47" s="2">
        <f>A46+1</f>
        <v>26</v>
      </c>
      <c r="C47" s="393" t="s">
        <v>1389</v>
      </c>
      <c r="D47" s="85">
        <f>'15-IncentiveAdder'!E26</f>
        <v>0</v>
      </c>
      <c r="E47" s="85">
        <f>'15-IncentiveAdder'!E26</f>
        <v>0</v>
      </c>
      <c r="F47" s="124" t="str">
        <f>"15-IncentiveAdder, Line "&amp;'15-IncentiveAdder'!A26&amp;""</f>
        <v>15-IncentiveAdder, Line 5</v>
      </c>
      <c r="G47" s="14"/>
    </row>
    <row r="48" spans="1:7" x14ac:dyDescent="0.25">
      <c r="A48" s="2">
        <f>A47+1</f>
        <v>27</v>
      </c>
      <c r="C48" s="393" t="s">
        <v>1587</v>
      </c>
      <c r="D48" s="65" t="e">
        <f>(D46/1000000)*($D$41*(D47/0.01))</f>
        <v>#DIV/0!</v>
      </c>
      <c r="E48" s="65" t="e">
        <f>(E46/1000000)*($D$41*(E47/0.01))</f>
        <v>#DIV/0!</v>
      </c>
      <c r="F48" s="550" t="str">
        <f>"Formula on Line "&amp;A57&amp;""</f>
        <v>Formula on Line 32</v>
      </c>
      <c r="G48" s="14"/>
    </row>
    <row r="49" spans="1:7" x14ac:dyDescent="0.25">
      <c r="C49" s="409"/>
      <c r="D49" s="14"/>
      <c r="E49" s="14"/>
      <c r="F49" s="14"/>
      <c r="G49" s="14"/>
    </row>
    <row r="50" spans="1:7" x14ac:dyDescent="0.25">
      <c r="C50" s="1234" t="s">
        <v>1396</v>
      </c>
      <c r="D50" s="14"/>
      <c r="E50" s="135"/>
      <c r="F50" s="135"/>
      <c r="G50" s="14"/>
    </row>
    <row r="51" spans="1:7" ht="14.4" x14ac:dyDescent="0.3">
      <c r="C51" s="14"/>
      <c r="D51" s="1235" t="s">
        <v>330</v>
      </c>
      <c r="E51" s="1235" t="s">
        <v>255</v>
      </c>
      <c r="F51" s="14"/>
      <c r="G51" s="14"/>
    </row>
    <row r="52" spans="1:7" x14ac:dyDescent="0.25">
      <c r="C52" s="14"/>
      <c r="D52" s="135" t="s">
        <v>194</v>
      </c>
      <c r="E52" s="135" t="s">
        <v>194</v>
      </c>
      <c r="F52" s="14"/>
      <c r="G52" s="14"/>
    </row>
    <row r="53" spans="1:7" x14ac:dyDescent="0.25">
      <c r="A53" s="2">
        <f>A48+1</f>
        <v>28</v>
      </c>
      <c r="C53" s="1151" t="s">
        <v>1608</v>
      </c>
      <c r="D53" s="65">
        <f>D10</f>
        <v>0</v>
      </c>
      <c r="E53" s="65">
        <f>E10</f>
        <v>0</v>
      </c>
      <c r="F53" s="124" t="str">
        <f>"Line "&amp;A10&amp;""</f>
        <v>Line 2</v>
      </c>
      <c r="G53" s="14"/>
    </row>
    <row r="54" spans="1:7" x14ac:dyDescent="0.25">
      <c r="A54" s="2">
        <f>A53+1</f>
        <v>29</v>
      </c>
      <c r="C54" s="393" t="s">
        <v>1389</v>
      </c>
      <c r="D54" s="85">
        <f>'15-IncentiveAdder'!E27</f>
        <v>0</v>
      </c>
      <c r="E54" s="85">
        <f>'15-IncentiveAdder'!E27</f>
        <v>0</v>
      </c>
      <c r="F54" s="124" t="str">
        <f>"15-IncentiveAdder, Line "&amp;'15-IncentiveAdder'!A27&amp;""</f>
        <v>15-IncentiveAdder, Line 6</v>
      </c>
      <c r="G54" s="14"/>
    </row>
    <row r="55" spans="1:7" x14ac:dyDescent="0.25">
      <c r="A55" s="2">
        <f>A54+1</f>
        <v>30</v>
      </c>
      <c r="C55" s="393" t="s">
        <v>1587</v>
      </c>
      <c r="D55" s="65" t="e">
        <f>(D53/1000000)*($D$41*(D54/0.01))</f>
        <v>#DIV/0!</v>
      </c>
      <c r="E55" s="65" t="e">
        <f>(E53/1000000)*($D$41*(E54/0.01))</f>
        <v>#DIV/0!</v>
      </c>
      <c r="F55" s="550" t="str">
        <f>"Formula on Line "&amp;A57&amp;""</f>
        <v>Formula on Line 32</v>
      </c>
      <c r="G55" s="14"/>
    </row>
    <row r="56" spans="1:7" x14ac:dyDescent="0.25">
      <c r="A56" s="2">
        <f>A55+1</f>
        <v>31</v>
      </c>
      <c r="C56" s="14"/>
      <c r="D56" s="120"/>
      <c r="E56" s="65"/>
      <c r="F56" s="47"/>
      <c r="G56" s="14"/>
    </row>
    <row r="57" spans="1:7" x14ac:dyDescent="0.25">
      <c r="A57" s="2">
        <f>A56+1</f>
        <v>32</v>
      </c>
      <c r="C57" s="1150" t="s">
        <v>2237</v>
      </c>
      <c r="D57" s="65"/>
      <c r="E57" s="47"/>
      <c r="F57" s="14"/>
      <c r="G57" s="14"/>
    </row>
    <row r="59" spans="1:7" x14ac:dyDescent="0.25">
      <c r="C59" s="1" t="s">
        <v>1710</v>
      </c>
    </row>
    <row r="60" spans="1:7" x14ac:dyDescent="0.25">
      <c r="C60" s="1"/>
    </row>
    <row r="61" spans="1:7" ht="14.4" x14ac:dyDescent="0.3">
      <c r="C61" s="1"/>
      <c r="E61" s="264" t="s">
        <v>307</v>
      </c>
    </row>
    <row r="62" spans="1:7" ht="14.4" x14ac:dyDescent="0.3">
      <c r="C62" s="1"/>
      <c r="D62" s="264" t="s">
        <v>1589</v>
      </c>
      <c r="E62" s="264" t="s">
        <v>1053</v>
      </c>
    </row>
    <row r="63" spans="1:7" x14ac:dyDescent="0.25">
      <c r="D63" s="3" t="s">
        <v>194</v>
      </c>
      <c r="E63" s="3" t="s">
        <v>194</v>
      </c>
      <c r="F63" s="3" t="s">
        <v>198</v>
      </c>
    </row>
    <row r="64" spans="1:7" x14ac:dyDescent="0.25">
      <c r="A64" s="2">
        <f>A57+1</f>
        <v>33</v>
      </c>
      <c r="C64" s="102" t="s">
        <v>1388</v>
      </c>
      <c r="D64" s="7" t="e">
        <f>D26</f>
        <v>#DIV/0!</v>
      </c>
      <c r="E64" s="7" t="e">
        <f>E26</f>
        <v>#DIV/0!</v>
      </c>
      <c r="F64" s="16" t="str">
        <f>"Line "&amp;A26&amp;""</f>
        <v>Line 15</v>
      </c>
    </row>
    <row r="65" spans="1:9" x14ac:dyDescent="0.25">
      <c r="A65" s="2">
        <f>A64+1</f>
        <v>34</v>
      </c>
      <c r="C65" s="102" t="s">
        <v>288</v>
      </c>
      <c r="D65" s="7" t="e">
        <f>D34</f>
        <v>#DIV/0!</v>
      </c>
      <c r="E65" s="7" t="e">
        <f>E34</f>
        <v>#DIV/0!</v>
      </c>
      <c r="F65" s="16" t="str">
        <f>"Line "&amp;A34&amp;""</f>
        <v>Line 19</v>
      </c>
    </row>
    <row r="66" spans="1:9" x14ac:dyDescent="0.25">
      <c r="A66" s="2">
        <f>A65+1</f>
        <v>35</v>
      </c>
      <c r="C66" s="102" t="s">
        <v>1390</v>
      </c>
      <c r="D66" s="7" t="e">
        <f>D48</f>
        <v>#DIV/0!</v>
      </c>
      <c r="E66" s="7" t="e">
        <f>E48</f>
        <v>#DIV/0!</v>
      </c>
      <c r="F66" s="16" t="str">
        <f>"Line "&amp;A48&amp;""</f>
        <v>Line 27</v>
      </c>
    </row>
    <row r="67" spans="1:9" ht="14.4" x14ac:dyDescent="0.3">
      <c r="A67" s="2">
        <f>A66+1</f>
        <v>36</v>
      </c>
      <c r="C67" s="102" t="s">
        <v>1391</v>
      </c>
      <c r="D67" s="111" t="e">
        <f>D55</f>
        <v>#DIV/0!</v>
      </c>
      <c r="E67" s="544" t="e">
        <f>E55</f>
        <v>#DIV/0!</v>
      </c>
      <c r="F67" s="16" t="str">
        <f>"Line "&amp;A55&amp;""</f>
        <v>Line 30</v>
      </c>
    </row>
    <row r="68" spans="1:9" x14ac:dyDescent="0.25">
      <c r="A68" s="542">
        <f t="shared" ref="A68:A69" si="2">A67+1</f>
        <v>37</v>
      </c>
      <c r="C68" s="102" t="s">
        <v>1640</v>
      </c>
      <c r="D68" s="99" t="e">
        <f>SUM(D64:D67)*('28-FFU'!D22+'28-FFU'!E22)</f>
        <v>#DIV/0!</v>
      </c>
      <c r="E68" s="99" t="e">
        <f>SUM(E64:E67)*('28-FFU'!D22)</f>
        <v>#DIV/0!</v>
      </c>
      <c r="F68" s="13" t="s">
        <v>395</v>
      </c>
    </row>
    <row r="69" spans="1:9" x14ac:dyDescent="0.25">
      <c r="A69" s="542">
        <f t="shared" si="2"/>
        <v>38</v>
      </c>
      <c r="C69" s="102" t="s">
        <v>4</v>
      </c>
      <c r="D69" s="7" t="e">
        <f>SUM(D64:D68)</f>
        <v>#DIV/0!</v>
      </c>
      <c r="E69" s="7" t="e">
        <f>SUM(E64:E68)</f>
        <v>#DIV/0!</v>
      </c>
      <c r="F69" s="13" t="str">
        <f>"Sum Lines "&amp;A64&amp;" to "&amp;A68&amp;""</f>
        <v>Sum Lines 33 to 37</v>
      </c>
    </row>
    <row r="70" spans="1:9" x14ac:dyDescent="0.25">
      <c r="A70" s="2"/>
      <c r="D70" s="102"/>
      <c r="E70" s="7"/>
      <c r="F70" s="13"/>
    </row>
    <row r="71" spans="1:9" ht="12.75" customHeight="1" x14ac:dyDescent="0.3">
      <c r="A71" s="2"/>
      <c r="C71" s="400" t="s">
        <v>1711</v>
      </c>
      <c r="D71" s="102"/>
      <c r="E71" s="7"/>
      <c r="F71" s="13"/>
    </row>
    <row r="72" spans="1:9" x14ac:dyDescent="0.25">
      <c r="A72" s="2"/>
      <c r="D72" s="102"/>
      <c r="E72" s="7"/>
      <c r="F72" s="13"/>
    </row>
    <row r="73" spans="1:9" ht="12.75" customHeight="1" x14ac:dyDescent="0.3">
      <c r="A73" s="2"/>
      <c r="C73" s="400" t="s">
        <v>1590</v>
      </c>
      <c r="D73" s="102"/>
      <c r="E73" s="7"/>
      <c r="F73" s="13"/>
    </row>
    <row r="74" spans="1:9" ht="14.4" x14ac:dyDescent="0.3">
      <c r="A74" s="2"/>
      <c r="C74" s="400"/>
      <c r="D74" s="92" t="s">
        <v>394</v>
      </c>
      <c r="E74" s="92" t="s">
        <v>378</v>
      </c>
      <c r="F74" s="92" t="s">
        <v>379</v>
      </c>
      <c r="G74" s="92" t="s">
        <v>380</v>
      </c>
      <c r="H74" s="92" t="s">
        <v>381</v>
      </c>
    </row>
    <row r="75" spans="1:9" ht="14.4" x14ac:dyDescent="0.3">
      <c r="A75" s="2"/>
      <c r="C75" s="400"/>
      <c r="D75" s="2" t="s">
        <v>1591</v>
      </c>
      <c r="E75" s="534" t="s">
        <v>1592</v>
      </c>
      <c r="F75" s="2"/>
      <c r="H75" s="104" t="s">
        <v>1649</v>
      </c>
    </row>
    <row r="76" spans="1:9" ht="14.4" x14ac:dyDescent="0.3">
      <c r="A76" s="2"/>
      <c r="C76" s="3" t="s">
        <v>250</v>
      </c>
      <c r="D76" s="3" t="s">
        <v>1593</v>
      </c>
      <c r="E76" s="458" t="s">
        <v>1594</v>
      </c>
      <c r="F76" s="3" t="s">
        <v>9</v>
      </c>
      <c r="G76" s="3" t="s">
        <v>1598</v>
      </c>
      <c r="H76" s="3" t="s">
        <v>215</v>
      </c>
      <c r="I76" s="3" t="s">
        <v>198</v>
      </c>
    </row>
    <row r="77" spans="1:9" x14ac:dyDescent="0.25">
      <c r="A77" s="2">
        <f>A69+1</f>
        <v>39</v>
      </c>
      <c r="C77" s="102" t="s">
        <v>1399</v>
      </c>
      <c r="D77" s="535" t="e">
        <f t="shared" ref="D77:D85" si="3">$D$26*(D9/$D$20)</f>
        <v>#DIV/0!</v>
      </c>
      <c r="E77" s="535" t="e">
        <f t="shared" ref="E77:E85" si="4">$D$34*(D9/$D$20)</f>
        <v>#DIV/0!</v>
      </c>
      <c r="F77" s="535" t="e">
        <f>D48</f>
        <v>#DIV/0!</v>
      </c>
      <c r="G77" s="7" t="e">
        <f>(D77+E77+F77)*('28-FFU'!$D$22+'28-FFU'!$E$22)</f>
        <v>#DIV/0!</v>
      </c>
      <c r="H77" s="154" t="e">
        <f>SUM(D77:G77)</f>
        <v>#DIV/0!</v>
      </c>
      <c r="I77" s="13" t="s">
        <v>396</v>
      </c>
    </row>
    <row r="78" spans="1:9" x14ac:dyDescent="0.25">
      <c r="A78" s="2">
        <f t="shared" ref="A78:A88" si="5">A77+1</f>
        <v>40</v>
      </c>
      <c r="C78" s="102" t="s">
        <v>1400</v>
      </c>
      <c r="D78" s="535" t="e">
        <f t="shared" si="3"/>
        <v>#DIV/0!</v>
      </c>
      <c r="E78" s="535" t="e">
        <f t="shared" si="4"/>
        <v>#DIV/0!</v>
      </c>
      <c r="F78" s="535" t="e">
        <f>D55</f>
        <v>#DIV/0!</v>
      </c>
      <c r="G78" s="7" t="e">
        <f>(D78+E78+F78)*('28-FFU'!$D$22+'28-FFU'!$E$22)</f>
        <v>#DIV/0!</v>
      </c>
      <c r="H78" s="154" t="e">
        <f t="shared" ref="H78:H85" si="6">SUM(D78:G78)</f>
        <v>#DIV/0!</v>
      </c>
      <c r="I78" s="13" t="s">
        <v>396</v>
      </c>
    </row>
    <row r="79" spans="1:9" x14ac:dyDescent="0.25">
      <c r="A79" s="2">
        <f t="shared" si="5"/>
        <v>41</v>
      </c>
      <c r="C79" s="102" t="s">
        <v>1401</v>
      </c>
      <c r="D79" s="535" t="e">
        <f t="shared" si="3"/>
        <v>#DIV/0!</v>
      </c>
      <c r="E79" s="535" t="e">
        <f t="shared" si="4"/>
        <v>#DIV/0!</v>
      </c>
      <c r="F79" s="535">
        <v>0</v>
      </c>
      <c r="G79" s="7" t="e">
        <f>(D79+E79+F79)*('28-FFU'!$D$22+'28-FFU'!$E$22)</f>
        <v>#DIV/0!</v>
      </c>
      <c r="H79" s="154" t="e">
        <f t="shared" si="6"/>
        <v>#DIV/0!</v>
      </c>
      <c r="I79" s="13" t="s">
        <v>396</v>
      </c>
    </row>
    <row r="80" spans="1:9" x14ac:dyDescent="0.25">
      <c r="A80" s="2">
        <f t="shared" si="5"/>
        <v>42</v>
      </c>
      <c r="C80" s="102" t="s">
        <v>1402</v>
      </c>
      <c r="D80" s="535" t="e">
        <f t="shared" si="3"/>
        <v>#DIV/0!</v>
      </c>
      <c r="E80" s="535" t="e">
        <f t="shared" si="4"/>
        <v>#DIV/0!</v>
      </c>
      <c r="F80" s="535">
        <v>0</v>
      </c>
      <c r="G80" s="7" t="e">
        <f>(D80+E80+F80)*('28-FFU'!$D$22+'28-FFU'!$E$22)</f>
        <v>#DIV/0!</v>
      </c>
      <c r="H80" s="154" t="e">
        <f t="shared" si="6"/>
        <v>#DIV/0!</v>
      </c>
      <c r="I80" s="13" t="s">
        <v>396</v>
      </c>
    </row>
    <row r="81" spans="1:9" x14ac:dyDescent="0.25">
      <c r="A81" s="2">
        <f t="shared" si="5"/>
        <v>43</v>
      </c>
      <c r="C81" s="102" t="s">
        <v>1403</v>
      </c>
      <c r="D81" s="535" t="e">
        <f t="shared" si="3"/>
        <v>#DIV/0!</v>
      </c>
      <c r="E81" s="535" t="e">
        <f t="shared" si="4"/>
        <v>#DIV/0!</v>
      </c>
      <c r="F81" s="535">
        <v>0</v>
      </c>
      <c r="G81" s="7" t="e">
        <f>(D81+E81+F81)*('28-FFU'!$D$22+'28-FFU'!$E$22)</f>
        <v>#DIV/0!</v>
      </c>
      <c r="H81" s="154" t="e">
        <f t="shared" si="6"/>
        <v>#DIV/0!</v>
      </c>
      <c r="I81" s="13" t="s">
        <v>396</v>
      </c>
    </row>
    <row r="82" spans="1:9" x14ac:dyDescent="0.25">
      <c r="A82" s="2">
        <f t="shared" si="5"/>
        <v>44</v>
      </c>
      <c r="C82" s="102" t="s">
        <v>1404</v>
      </c>
      <c r="D82" s="535" t="e">
        <f t="shared" si="3"/>
        <v>#DIV/0!</v>
      </c>
      <c r="E82" s="535" t="e">
        <f t="shared" si="4"/>
        <v>#DIV/0!</v>
      </c>
      <c r="F82" s="535">
        <v>0</v>
      </c>
      <c r="G82" s="7" t="e">
        <f>(D82+E82+F82)*('28-FFU'!$D$22+'28-FFU'!$E$22)</f>
        <v>#DIV/0!</v>
      </c>
      <c r="H82" s="154" t="e">
        <f t="shared" si="6"/>
        <v>#DIV/0!</v>
      </c>
      <c r="I82" s="13" t="s">
        <v>396</v>
      </c>
    </row>
    <row r="83" spans="1:9" x14ac:dyDescent="0.25">
      <c r="A83" s="2">
        <f t="shared" si="5"/>
        <v>45</v>
      </c>
      <c r="C83" s="102" t="s">
        <v>1405</v>
      </c>
      <c r="D83" s="535" t="e">
        <f t="shared" si="3"/>
        <v>#DIV/0!</v>
      </c>
      <c r="E83" s="535" t="e">
        <f t="shared" si="4"/>
        <v>#DIV/0!</v>
      </c>
      <c r="F83" s="535">
        <v>0</v>
      </c>
      <c r="G83" s="7" t="e">
        <f>(D83+E83+F83)*('28-FFU'!$D$22+'28-FFU'!$E$22)</f>
        <v>#DIV/0!</v>
      </c>
      <c r="H83" s="154" t="e">
        <f t="shared" si="6"/>
        <v>#DIV/0!</v>
      </c>
      <c r="I83" s="13" t="s">
        <v>396</v>
      </c>
    </row>
    <row r="84" spans="1:9" x14ac:dyDescent="0.25">
      <c r="A84" s="2">
        <f t="shared" si="5"/>
        <v>46</v>
      </c>
      <c r="C84" s="102" t="s">
        <v>1406</v>
      </c>
      <c r="D84" s="535" t="e">
        <f t="shared" si="3"/>
        <v>#DIV/0!</v>
      </c>
      <c r="E84" s="535" t="e">
        <f t="shared" si="4"/>
        <v>#DIV/0!</v>
      </c>
      <c r="F84" s="535">
        <v>0</v>
      </c>
      <c r="G84" s="7" t="e">
        <f>(D84+E84+F84)*('28-FFU'!$D$22+'28-FFU'!$E$22)</f>
        <v>#DIV/0!</v>
      </c>
      <c r="H84" s="154" t="e">
        <f t="shared" si="6"/>
        <v>#DIV/0!</v>
      </c>
      <c r="I84" s="13" t="s">
        <v>396</v>
      </c>
    </row>
    <row r="85" spans="1:9" x14ac:dyDescent="0.25">
      <c r="A85" s="2">
        <f t="shared" si="5"/>
        <v>47</v>
      </c>
      <c r="C85" s="102" t="s">
        <v>1407</v>
      </c>
      <c r="D85" s="535" t="e">
        <f t="shared" si="3"/>
        <v>#DIV/0!</v>
      </c>
      <c r="E85" s="535" t="e">
        <f t="shared" si="4"/>
        <v>#DIV/0!</v>
      </c>
      <c r="F85" s="535">
        <v>0</v>
      </c>
      <c r="G85" s="7" t="e">
        <f>(D85+E85+F85)*('28-FFU'!$D$22+'28-FFU'!$E$22)</f>
        <v>#DIV/0!</v>
      </c>
      <c r="H85" s="154" t="e">
        <f t="shared" si="6"/>
        <v>#DIV/0!</v>
      </c>
      <c r="I85" s="13" t="s">
        <v>396</v>
      </c>
    </row>
    <row r="86" spans="1:9" x14ac:dyDescent="0.25">
      <c r="A86" s="2">
        <f t="shared" si="5"/>
        <v>48</v>
      </c>
      <c r="C86" s="470"/>
      <c r="D86" s="211" t="s">
        <v>86</v>
      </c>
      <c r="E86" s="211" t="s">
        <v>86</v>
      </c>
      <c r="F86" s="211" t="s">
        <v>86</v>
      </c>
      <c r="G86" s="211" t="s">
        <v>86</v>
      </c>
      <c r="H86" s="211" t="s">
        <v>86</v>
      </c>
      <c r="I86" s="13" t="s">
        <v>396</v>
      </c>
    </row>
    <row r="87" spans="1:9" x14ac:dyDescent="0.25">
      <c r="A87" s="2">
        <f t="shared" si="5"/>
        <v>49</v>
      </c>
      <c r="C87" s="470"/>
      <c r="D87" s="211" t="s">
        <v>86</v>
      </c>
      <c r="E87" s="211" t="s">
        <v>86</v>
      </c>
      <c r="F87" s="211" t="s">
        <v>86</v>
      </c>
      <c r="G87" s="211" t="s">
        <v>86</v>
      </c>
      <c r="H87" s="211" t="s">
        <v>86</v>
      </c>
      <c r="I87" s="13" t="s">
        <v>396</v>
      </c>
    </row>
    <row r="88" spans="1:9" x14ac:dyDescent="0.25">
      <c r="A88" s="2">
        <f t="shared" si="5"/>
        <v>50</v>
      </c>
      <c r="C88" s="102" t="s">
        <v>216</v>
      </c>
      <c r="D88" s="61" t="e">
        <f>SUM(D77:D87)</f>
        <v>#DIV/0!</v>
      </c>
      <c r="E88" s="61" t="e">
        <f>SUM(E77:E87)</f>
        <v>#DIV/0!</v>
      </c>
      <c r="F88" s="61" t="e">
        <f>SUM(F77:F87)</f>
        <v>#DIV/0!</v>
      </c>
      <c r="G88" s="61" t="e">
        <f>SUM(G77:G87)</f>
        <v>#DIV/0!</v>
      </c>
      <c r="H88" s="61" t="e">
        <f>SUM(H77:H87)</f>
        <v>#DIV/0!</v>
      </c>
      <c r="I88" s="13" t="str">
        <f>"Sum L "&amp;A77&amp;" to L "&amp;A87&amp;""</f>
        <v>Sum L 39 to L 49</v>
      </c>
    </row>
    <row r="89" spans="1:9" x14ac:dyDescent="0.25">
      <c r="A89" s="2"/>
      <c r="C89" s="102"/>
      <c r="D89" s="102"/>
      <c r="E89" s="7"/>
      <c r="F89" s="13"/>
    </row>
    <row r="90" spans="1:9" ht="14.4" x14ac:dyDescent="0.3">
      <c r="A90" s="2"/>
      <c r="C90" s="400" t="s">
        <v>1712</v>
      </c>
      <c r="D90" s="102"/>
      <c r="E90" s="7"/>
      <c r="F90" s="13"/>
    </row>
    <row r="91" spans="1:9" ht="14.4" x14ac:dyDescent="0.3">
      <c r="A91" s="2"/>
      <c r="C91" s="400"/>
      <c r="D91" s="92" t="s">
        <v>394</v>
      </c>
      <c r="E91" s="92" t="s">
        <v>378</v>
      </c>
      <c r="F91" s="92" t="s">
        <v>379</v>
      </c>
      <c r="G91" s="92" t="s">
        <v>380</v>
      </c>
      <c r="H91" s="92" t="s">
        <v>381</v>
      </c>
    </row>
    <row r="92" spans="1:9" ht="14.4" x14ac:dyDescent="0.3">
      <c r="A92" s="2"/>
      <c r="C92" s="400"/>
      <c r="D92" s="2" t="s">
        <v>1591</v>
      </c>
      <c r="E92" s="534" t="s">
        <v>1592</v>
      </c>
      <c r="F92" s="2"/>
      <c r="H92" s="104" t="s">
        <v>1649</v>
      </c>
    </row>
    <row r="93" spans="1:9" ht="14.4" x14ac:dyDescent="0.3">
      <c r="A93" s="2"/>
      <c r="C93" s="3" t="s">
        <v>250</v>
      </c>
      <c r="D93" s="3" t="s">
        <v>1593</v>
      </c>
      <c r="E93" s="458" t="s">
        <v>1594</v>
      </c>
      <c r="F93" s="3" t="s">
        <v>9</v>
      </c>
      <c r="G93" s="3" t="s">
        <v>1648</v>
      </c>
      <c r="H93" s="3" t="s">
        <v>215</v>
      </c>
      <c r="I93" s="3" t="s">
        <v>198</v>
      </c>
    </row>
    <row r="94" spans="1:9" x14ac:dyDescent="0.25">
      <c r="A94" s="2">
        <f>A88+1</f>
        <v>51</v>
      </c>
      <c r="C94" s="102" t="s">
        <v>1399</v>
      </c>
      <c r="D94" s="61" t="e">
        <f t="shared" ref="D94:D102" si="7">$E$26*(E9/$E$20)</f>
        <v>#DIV/0!</v>
      </c>
      <c r="E94" s="61" t="e">
        <f t="shared" ref="E94:E102" si="8">$E$34*(E9/$E$20)</f>
        <v>#DIV/0!</v>
      </c>
      <c r="F94" s="536" t="e">
        <f>E48</f>
        <v>#DIV/0!</v>
      </c>
      <c r="G94" s="7" t="e">
        <f>(D94+E94+F94)*('28-FFU'!$D$22)</f>
        <v>#DIV/0!</v>
      </c>
      <c r="H94" s="448" t="e">
        <f>SUM(D94:G94)</f>
        <v>#DIV/0!</v>
      </c>
      <c r="I94" s="13" t="s">
        <v>1294</v>
      </c>
    </row>
    <row r="95" spans="1:9" x14ac:dyDescent="0.25">
      <c r="A95" s="2">
        <f t="shared" ref="A95:A105" si="9">A94+1</f>
        <v>52</v>
      </c>
      <c r="C95" s="102" t="s">
        <v>1400</v>
      </c>
      <c r="D95" s="61" t="e">
        <f t="shared" si="7"/>
        <v>#DIV/0!</v>
      </c>
      <c r="E95" s="61" t="e">
        <f t="shared" si="8"/>
        <v>#DIV/0!</v>
      </c>
      <c r="F95" s="536" t="e">
        <f>E55</f>
        <v>#DIV/0!</v>
      </c>
      <c r="G95" s="7" t="e">
        <f>(D95+E95+F95)*('28-FFU'!$D$22)</f>
        <v>#DIV/0!</v>
      </c>
      <c r="H95" s="448" t="e">
        <f t="shared" ref="H95:H102" si="10">SUM(D95:G95)</f>
        <v>#DIV/0!</v>
      </c>
      <c r="I95" s="13" t="s">
        <v>1294</v>
      </c>
    </row>
    <row r="96" spans="1:9" x14ac:dyDescent="0.25">
      <c r="A96" s="2">
        <f t="shared" si="9"/>
        <v>53</v>
      </c>
      <c r="C96" s="102" t="s">
        <v>1401</v>
      </c>
      <c r="D96" s="61" t="e">
        <f t="shared" si="7"/>
        <v>#DIV/0!</v>
      </c>
      <c r="E96" s="61" t="e">
        <f t="shared" si="8"/>
        <v>#DIV/0!</v>
      </c>
      <c r="F96" s="536">
        <v>0</v>
      </c>
      <c r="G96" s="7" t="e">
        <f>(D96+E96+F96)*('28-FFU'!$D$22)</f>
        <v>#DIV/0!</v>
      </c>
      <c r="H96" s="448" t="e">
        <f t="shared" si="10"/>
        <v>#DIV/0!</v>
      </c>
      <c r="I96" s="13" t="s">
        <v>1294</v>
      </c>
    </row>
    <row r="97" spans="1:9" x14ac:dyDescent="0.25">
      <c r="A97" s="2">
        <f t="shared" si="9"/>
        <v>54</v>
      </c>
      <c r="C97" s="102" t="s">
        <v>1402</v>
      </c>
      <c r="D97" s="61" t="e">
        <f t="shared" si="7"/>
        <v>#DIV/0!</v>
      </c>
      <c r="E97" s="61" t="e">
        <f t="shared" si="8"/>
        <v>#DIV/0!</v>
      </c>
      <c r="F97" s="536">
        <v>0</v>
      </c>
      <c r="G97" s="7" t="e">
        <f>(D97+E97+F97)*('28-FFU'!$D$22)</f>
        <v>#DIV/0!</v>
      </c>
      <c r="H97" s="448" t="e">
        <f t="shared" si="10"/>
        <v>#DIV/0!</v>
      </c>
      <c r="I97" s="13" t="s">
        <v>1294</v>
      </c>
    </row>
    <row r="98" spans="1:9" x14ac:dyDescent="0.25">
      <c r="A98" s="2">
        <f t="shared" si="9"/>
        <v>55</v>
      </c>
      <c r="C98" s="102" t="s">
        <v>1403</v>
      </c>
      <c r="D98" s="61" t="e">
        <f t="shared" si="7"/>
        <v>#DIV/0!</v>
      </c>
      <c r="E98" s="61" t="e">
        <f t="shared" si="8"/>
        <v>#DIV/0!</v>
      </c>
      <c r="F98" s="536">
        <v>0</v>
      </c>
      <c r="G98" s="7" t="e">
        <f>(D98+E98+F98)*('28-FFU'!$D$22)</f>
        <v>#DIV/0!</v>
      </c>
      <c r="H98" s="448" t="e">
        <f t="shared" si="10"/>
        <v>#DIV/0!</v>
      </c>
      <c r="I98" s="13" t="s">
        <v>1294</v>
      </c>
    </row>
    <row r="99" spans="1:9" x14ac:dyDescent="0.25">
      <c r="A99" s="2">
        <f t="shared" si="9"/>
        <v>56</v>
      </c>
      <c r="C99" s="102" t="s">
        <v>1404</v>
      </c>
      <c r="D99" s="61" t="e">
        <f t="shared" si="7"/>
        <v>#DIV/0!</v>
      </c>
      <c r="E99" s="61" t="e">
        <f t="shared" si="8"/>
        <v>#DIV/0!</v>
      </c>
      <c r="F99" s="536">
        <v>0</v>
      </c>
      <c r="G99" s="7" t="e">
        <f>(D99+E99+F99)*('28-FFU'!$D$22)</f>
        <v>#DIV/0!</v>
      </c>
      <c r="H99" s="448" t="e">
        <f t="shared" si="10"/>
        <v>#DIV/0!</v>
      </c>
      <c r="I99" s="13" t="s">
        <v>1294</v>
      </c>
    </row>
    <row r="100" spans="1:9" x14ac:dyDescent="0.25">
      <c r="A100" s="2">
        <f t="shared" si="9"/>
        <v>57</v>
      </c>
      <c r="C100" s="102" t="s">
        <v>1405</v>
      </c>
      <c r="D100" s="61" t="e">
        <f t="shared" si="7"/>
        <v>#DIV/0!</v>
      </c>
      <c r="E100" s="61" t="e">
        <f t="shared" si="8"/>
        <v>#DIV/0!</v>
      </c>
      <c r="F100" s="536">
        <v>0</v>
      </c>
      <c r="G100" s="7" t="e">
        <f>(D100+E100+F100)*('28-FFU'!$D$22)</f>
        <v>#DIV/0!</v>
      </c>
      <c r="H100" s="448" t="e">
        <f t="shared" si="10"/>
        <v>#DIV/0!</v>
      </c>
      <c r="I100" s="13" t="s">
        <v>1294</v>
      </c>
    </row>
    <row r="101" spans="1:9" x14ac:dyDescent="0.25">
      <c r="A101" s="2">
        <f t="shared" si="9"/>
        <v>58</v>
      </c>
      <c r="C101" s="102" t="s">
        <v>1406</v>
      </c>
      <c r="D101" s="61" t="e">
        <f t="shared" si="7"/>
        <v>#DIV/0!</v>
      </c>
      <c r="E101" s="61" t="e">
        <f t="shared" si="8"/>
        <v>#DIV/0!</v>
      </c>
      <c r="F101" s="536">
        <v>0</v>
      </c>
      <c r="G101" s="7" t="e">
        <f>(D101+E101+F101)*('28-FFU'!$D$22)</f>
        <v>#DIV/0!</v>
      </c>
      <c r="H101" s="448" t="e">
        <f t="shared" si="10"/>
        <v>#DIV/0!</v>
      </c>
      <c r="I101" s="13" t="s">
        <v>1294</v>
      </c>
    </row>
    <row r="102" spans="1:9" x14ac:dyDescent="0.25">
      <c r="A102" s="2">
        <f t="shared" si="9"/>
        <v>59</v>
      </c>
      <c r="C102" s="102" t="s">
        <v>1407</v>
      </c>
      <c r="D102" s="61" t="e">
        <f t="shared" si="7"/>
        <v>#DIV/0!</v>
      </c>
      <c r="E102" s="61" t="e">
        <f t="shared" si="8"/>
        <v>#DIV/0!</v>
      </c>
      <c r="F102" s="536">
        <v>0</v>
      </c>
      <c r="G102" s="7" t="e">
        <f>(D102+E102+F102)*('28-FFU'!$D$22)</f>
        <v>#DIV/0!</v>
      </c>
      <c r="H102" s="448" t="e">
        <f t="shared" si="10"/>
        <v>#DIV/0!</v>
      </c>
      <c r="I102" s="13" t="s">
        <v>1294</v>
      </c>
    </row>
    <row r="103" spans="1:9" x14ac:dyDescent="0.25">
      <c r="A103" s="2">
        <f t="shared" si="9"/>
        <v>60</v>
      </c>
      <c r="C103" s="470"/>
      <c r="D103" s="211" t="s">
        <v>86</v>
      </c>
      <c r="E103" s="211" t="s">
        <v>86</v>
      </c>
      <c r="F103" s="211" t="s">
        <v>86</v>
      </c>
      <c r="G103" s="211" t="s">
        <v>86</v>
      </c>
      <c r="H103" s="211" t="s">
        <v>86</v>
      </c>
      <c r="I103" s="13" t="s">
        <v>1294</v>
      </c>
    </row>
    <row r="104" spans="1:9" x14ac:dyDescent="0.25">
      <c r="A104" s="2">
        <f t="shared" si="9"/>
        <v>61</v>
      </c>
      <c r="C104" s="470"/>
      <c r="D104" s="211" t="s">
        <v>86</v>
      </c>
      <c r="E104" s="211" t="s">
        <v>86</v>
      </c>
      <c r="F104" s="211" t="s">
        <v>86</v>
      </c>
      <c r="G104" s="211" t="s">
        <v>86</v>
      </c>
      <c r="H104" s="211" t="s">
        <v>86</v>
      </c>
      <c r="I104" s="13" t="s">
        <v>1294</v>
      </c>
    </row>
    <row r="105" spans="1:9" x14ac:dyDescent="0.25">
      <c r="A105" s="2">
        <f t="shared" si="9"/>
        <v>62</v>
      </c>
      <c r="C105" s="102" t="s">
        <v>216</v>
      </c>
      <c r="D105" s="7" t="e">
        <f>SUM(D94:D104)</f>
        <v>#DIV/0!</v>
      </c>
      <c r="E105" s="7" t="e">
        <f>SUM(E94:E104)</f>
        <v>#DIV/0!</v>
      </c>
      <c r="F105" s="7" t="e">
        <f>SUM(F94:F104)</f>
        <v>#DIV/0!</v>
      </c>
      <c r="G105" s="61" t="e">
        <f>SUM(G94:G104)</f>
        <v>#DIV/0!</v>
      </c>
      <c r="H105" s="7" t="e">
        <f>SUM(H94:H104)</f>
        <v>#DIV/0!</v>
      </c>
      <c r="I105" s="13" t="str">
        <f>"Sum of L "&amp;A94&amp;" to "&amp;A104&amp;""</f>
        <v>Sum of L 51 to 61</v>
      </c>
    </row>
    <row r="106" spans="1:9" x14ac:dyDescent="0.25">
      <c r="C106" s="102"/>
    </row>
    <row r="107" spans="1:9" x14ac:dyDescent="0.25">
      <c r="B107" s="1" t="s">
        <v>1397</v>
      </c>
    </row>
    <row r="108" spans="1:9" x14ac:dyDescent="0.25">
      <c r="B108" s="1"/>
    </row>
    <row r="109" spans="1:9" ht="14.4" x14ac:dyDescent="0.3">
      <c r="B109" s="1"/>
      <c r="C109" s="400" t="s">
        <v>1595</v>
      </c>
    </row>
    <row r="110" spans="1:9" x14ac:dyDescent="0.25">
      <c r="E110" s="3" t="s">
        <v>190</v>
      </c>
      <c r="F110" s="3" t="s">
        <v>198</v>
      </c>
    </row>
    <row r="111" spans="1:9" x14ac:dyDescent="0.25">
      <c r="A111" s="2">
        <f>A105+1</f>
        <v>63</v>
      </c>
      <c r="D111" s="102" t="s">
        <v>389</v>
      </c>
      <c r="E111" s="7">
        <f>F20</f>
        <v>0</v>
      </c>
      <c r="F111" s="16" t="str">
        <f>"Line "&amp;A20&amp;", Col 3"</f>
        <v>Line 12, Col 3</v>
      </c>
    </row>
    <row r="112" spans="1:9" x14ac:dyDescent="0.25">
      <c r="A112" s="2">
        <f>A111+1</f>
        <v>64</v>
      </c>
      <c r="D112" s="102" t="s">
        <v>387</v>
      </c>
      <c r="E112" s="413" t="e">
        <f>'2-IFPTRR'!D25</f>
        <v>#DIV/0!</v>
      </c>
      <c r="F112" s="47" t="str">
        <f>"2-IFPTRR, Line "&amp;'2-IFPTRR'!A25&amp;""</f>
        <v>2-IFPTRR, Line 16</v>
      </c>
      <c r="G112" s="14"/>
      <c r="H112" s="14"/>
    </row>
    <row r="113" spans="1:8" x14ac:dyDescent="0.25">
      <c r="A113" s="2">
        <f>A112+1</f>
        <v>65</v>
      </c>
      <c r="D113" s="102" t="s">
        <v>1641</v>
      </c>
      <c r="E113" s="7" t="e">
        <f>E111*E112</f>
        <v>#DIV/0!</v>
      </c>
      <c r="F113" s="124" t="str">
        <f>"Line "&amp;A111&amp;" * Line "&amp;A112&amp;""</f>
        <v>Line 63 * Line 64</v>
      </c>
      <c r="G113" s="14"/>
      <c r="H113" s="14"/>
    </row>
    <row r="114" spans="1:8" x14ac:dyDescent="0.25">
      <c r="A114" s="542">
        <f>A113+1</f>
        <v>66</v>
      </c>
      <c r="D114" s="102" t="s">
        <v>1640</v>
      </c>
      <c r="E114" s="99" t="e">
        <f>E113*('28-FFU'!D22+'28-FFU'!E22)</f>
        <v>#DIV/0!</v>
      </c>
      <c r="F114" s="550" t="str">
        <f>"Line "&amp;A113&amp;" * (28-FFU, L"&amp;'28-FFU'!A22&amp;" FF Factor + U Factor)"</f>
        <v>Line 65 * (28-FFU, L5 FF Factor + U Factor)</v>
      </c>
      <c r="G114" s="14"/>
      <c r="H114" s="14"/>
    </row>
    <row r="115" spans="1:8" x14ac:dyDescent="0.25">
      <c r="A115" s="547">
        <f>A114+1</f>
        <v>67</v>
      </c>
      <c r="D115" s="102" t="s">
        <v>1642</v>
      </c>
      <c r="E115" s="7" t="e">
        <f>SUM(E113:E114)</f>
        <v>#DIV/0!</v>
      </c>
      <c r="F115" s="16" t="str">
        <f>"Line "&amp;A113&amp;" + Line "&amp;A114&amp;""</f>
        <v>Line 65 + Line 66</v>
      </c>
    </row>
    <row r="116" spans="1:8" x14ac:dyDescent="0.25">
      <c r="A116" s="542"/>
      <c r="D116" s="102"/>
      <c r="E116" s="7"/>
    </row>
    <row r="117" spans="1:8" ht="14.4" x14ac:dyDescent="0.3">
      <c r="A117" s="2"/>
      <c r="C117" s="400" t="s">
        <v>1596</v>
      </c>
      <c r="D117" s="102"/>
      <c r="E117" s="7"/>
      <c r="F117" s="16"/>
    </row>
    <row r="118" spans="1:8" x14ac:dyDescent="0.25">
      <c r="A118" s="2"/>
      <c r="D118" s="575" t="s">
        <v>194</v>
      </c>
      <c r="E118" s="575" t="s">
        <v>194</v>
      </c>
    </row>
    <row r="119" spans="1:8" x14ac:dyDescent="0.25">
      <c r="A119" s="2"/>
      <c r="C119" s="3" t="s">
        <v>250</v>
      </c>
      <c r="D119" s="3" t="s">
        <v>1679</v>
      </c>
      <c r="E119" s="3" t="s">
        <v>1680</v>
      </c>
      <c r="F119" s="3" t="s">
        <v>198</v>
      </c>
    </row>
    <row r="120" spans="1:8" x14ac:dyDescent="0.25">
      <c r="A120" s="2">
        <f>A115+1</f>
        <v>68</v>
      </c>
      <c r="C120" s="102" t="s">
        <v>1399</v>
      </c>
      <c r="D120" s="61" t="e">
        <f>$E$113*(F9/$F$20)</f>
        <v>#DIV/0!</v>
      </c>
      <c r="E120" s="61" t="e">
        <f>$E$115*(F9/$F$20)</f>
        <v>#DIV/0!</v>
      </c>
      <c r="F120" s="13" t="s">
        <v>1309</v>
      </c>
    </row>
    <row r="121" spans="1:8" x14ac:dyDescent="0.25">
      <c r="A121" s="2">
        <f t="shared" ref="A121:A131" si="11">A120+1</f>
        <v>69</v>
      </c>
      <c r="C121" s="102" t="s">
        <v>1400</v>
      </c>
      <c r="D121" s="61" t="e">
        <f t="shared" ref="D121:D128" si="12">$E$113*(F10/$F$20)</f>
        <v>#DIV/0!</v>
      </c>
      <c r="E121" s="61" t="e">
        <f t="shared" ref="E121:E128" si="13">$E$115*(F10/$F$20)</f>
        <v>#DIV/0!</v>
      </c>
      <c r="F121" s="13" t="s">
        <v>1309</v>
      </c>
    </row>
    <row r="122" spans="1:8" x14ac:dyDescent="0.25">
      <c r="A122" s="2">
        <f t="shared" si="11"/>
        <v>70</v>
      </c>
      <c r="C122" s="102" t="s">
        <v>1401</v>
      </c>
      <c r="D122" s="61" t="e">
        <f t="shared" si="12"/>
        <v>#DIV/0!</v>
      </c>
      <c r="E122" s="61" t="e">
        <f t="shared" si="13"/>
        <v>#DIV/0!</v>
      </c>
      <c r="F122" s="13" t="s">
        <v>1309</v>
      </c>
    </row>
    <row r="123" spans="1:8" x14ac:dyDescent="0.25">
      <c r="A123" s="2">
        <f t="shared" si="11"/>
        <v>71</v>
      </c>
      <c r="C123" s="102" t="s">
        <v>1402</v>
      </c>
      <c r="D123" s="61" t="e">
        <f t="shared" si="12"/>
        <v>#DIV/0!</v>
      </c>
      <c r="E123" s="61" t="e">
        <f t="shared" si="13"/>
        <v>#DIV/0!</v>
      </c>
      <c r="F123" s="13" t="s">
        <v>1309</v>
      </c>
    </row>
    <row r="124" spans="1:8" x14ac:dyDescent="0.25">
      <c r="A124" s="2">
        <f t="shared" si="11"/>
        <v>72</v>
      </c>
      <c r="C124" s="102" t="s">
        <v>1403</v>
      </c>
      <c r="D124" s="61" t="e">
        <f t="shared" si="12"/>
        <v>#DIV/0!</v>
      </c>
      <c r="E124" s="61" t="e">
        <f t="shared" si="13"/>
        <v>#DIV/0!</v>
      </c>
      <c r="F124" s="13" t="s">
        <v>1309</v>
      </c>
    </row>
    <row r="125" spans="1:8" x14ac:dyDescent="0.25">
      <c r="A125" s="2">
        <f t="shared" si="11"/>
        <v>73</v>
      </c>
      <c r="C125" s="102" t="s">
        <v>1404</v>
      </c>
      <c r="D125" s="61" t="e">
        <f t="shared" si="12"/>
        <v>#DIV/0!</v>
      </c>
      <c r="E125" s="61" t="e">
        <f t="shared" si="13"/>
        <v>#DIV/0!</v>
      </c>
      <c r="F125" s="13" t="s">
        <v>1309</v>
      </c>
    </row>
    <row r="126" spans="1:8" x14ac:dyDescent="0.25">
      <c r="A126" s="2">
        <f t="shared" si="11"/>
        <v>74</v>
      </c>
      <c r="C126" s="102" t="s">
        <v>1405</v>
      </c>
      <c r="D126" s="61" t="e">
        <f t="shared" si="12"/>
        <v>#DIV/0!</v>
      </c>
      <c r="E126" s="61" t="e">
        <f t="shared" si="13"/>
        <v>#DIV/0!</v>
      </c>
      <c r="F126" s="13" t="s">
        <v>1309</v>
      </c>
    </row>
    <row r="127" spans="1:8" x14ac:dyDescent="0.25">
      <c r="A127" s="2">
        <f t="shared" si="11"/>
        <v>75</v>
      </c>
      <c r="C127" s="102" t="s">
        <v>1406</v>
      </c>
      <c r="D127" s="61" t="e">
        <f t="shared" si="12"/>
        <v>#DIV/0!</v>
      </c>
      <c r="E127" s="61" t="e">
        <f t="shared" si="13"/>
        <v>#DIV/0!</v>
      </c>
      <c r="F127" s="13" t="s">
        <v>1309</v>
      </c>
    </row>
    <row r="128" spans="1:8" x14ac:dyDescent="0.25">
      <c r="A128" s="2">
        <f t="shared" si="11"/>
        <v>76</v>
      </c>
      <c r="C128" s="102" t="s">
        <v>1407</v>
      </c>
      <c r="D128" s="61" t="e">
        <f t="shared" si="12"/>
        <v>#DIV/0!</v>
      </c>
      <c r="E128" s="61" t="e">
        <f t="shared" si="13"/>
        <v>#DIV/0!</v>
      </c>
      <c r="F128" s="13" t="s">
        <v>1309</v>
      </c>
    </row>
    <row r="129" spans="1:8" x14ac:dyDescent="0.25">
      <c r="A129" s="2">
        <f t="shared" si="11"/>
        <v>77</v>
      </c>
      <c r="C129" s="470"/>
      <c r="D129" s="533" t="s">
        <v>86</v>
      </c>
      <c r="E129" s="533" t="s">
        <v>86</v>
      </c>
      <c r="F129" s="13" t="s">
        <v>1309</v>
      </c>
    </row>
    <row r="130" spans="1:8" x14ac:dyDescent="0.25">
      <c r="A130" s="2">
        <f t="shared" si="11"/>
        <v>78</v>
      </c>
      <c r="C130" s="470"/>
      <c r="D130" s="533" t="s">
        <v>86</v>
      </c>
      <c r="E130" s="533" t="s">
        <v>86</v>
      </c>
      <c r="F130" s="13" t="s">
        <v>1309</v>
      </c>
    </row>
    <row r="131" spans="1:8" x14ac:dyDescent="0.25">
      <c r="A131" s="2">
        <f t="shared" si="11"/>
        <v>79</v>
      </c>
      <c r="C131" s="102" t="s">
        <v>216</v>
      </c>
      <c r="D131" s="7" t="e">
        <f>SUM(D120:D130)</f>
        <v>#DIV/0!</v>
      </c>
      <c r="E131" s="7" t="e">
        <f>SUM(E120:E130)</f>
        <v>#DIV/0!</v>
      </c>
      <c r="F131" s="13" t="str">
        <f>"Sum of Lines "&amp;A120&amp;" to "&amp;A130&amp;""</f>
        <v>Sum of Lines 68 to 78</v>
      </c>
    </row>
    <row r="133" spans="1:8" x14ac:dyDescent="0.25">
      <c r="B133" s="1" t="s">
        <v>1685</v>
      </c>
    </row>
    <row r="134" spans="1:8" x14ac:dyDescent="0.25">
      <c r="B134" s="1"/>
    </row>
    <row r="135" spans="1:8" ht="14.4" x14ac:dyDescent="0.3">
      <c r="C135" s="400" t="s">
        <v>1595</v>
      </c>
    </row>
    <row r="136" spans="1:8" x14ac:dyDescent="0.25">
      <c r="E136" s="3" t="s">
        <v>190</v>
      </c>
      <c r="F136" s="3" t="s">
        <v>198</v>
      </c>
      <c r="H136" s="1"/>
    </row>
    <row r="137" spans="1:8" x14ac:dyDescent="0.25">
      <c r="A137" s="2">
        <f>A131+1</f>
        <v>80</v>
      </c>
      <c r="D137" s="102" t="s">
        <v>1408</v>
      </c>
      <c r="E137" s="7" t="e">
        <f>SUM(D64:D67)</f>
        <v>#DIV/0!</v>
      </c>
      <c r="F137" s="16" t="str">
        <f>"Sum Line "&amp;A64&amp;" to "&amp;A67&amp;""</f>
        <v>Sum Line 33 to 36</v>
      </c>
    </row>
    <row r="138" spans="1:8" x14ac:dyDescent="0.25">
      <c r="A138" s="2">
        <f t="shared" ref="A138:A145" si="14">A137+1</f>
        <v>81</v>
      </c>
      <c r="D138" s="549" t="s">
        <v>1677</v>
      </c>
      <c r="E138" s="7" t="e">
        <f>E113</f>
        <v>#DIV/0!</v>
      </c>
      <c r="F138" s="16" t="str">
        <f>"Line "&amp;A113&amp;""</f>
        <v>Line 65</v>
      </c>
    </row>
    <row r="139" spans="1:8" x14ac:dyDescent="0.25">
      <c r="A139" s="2">
        <f t="shared" si="14"/>
        <v>82</v>
      </c>
      <c r="D139" s="102" t="s">
        <v>1409</v>
      </c>
      <c r="E139" s="7" t="e">
        <f>SUM(E137:E138)</f>
        <v>#DIV/0!</v>
      </c>
      <c r="F139" s="16" t="str">
        <f>"Line "&amp;A137&amp;" + Line "&amp;A138&amp;""</f>
        <v>Line 80 + Line 81</v>
      </c>
    </row>
    <row r="140" spans="1:8" x14ac:dyDescent="0.25">
      <c r="A140" s="2">
        <f t="shared" si="14"/>
        <v>83</v>
      </c>
      <c r="D140" s="102" t="s">
        <v>1392</v>
      </c>
      <c r="E140" s="8">
        <f>'28-FFU'!D22</f>
        <v>0</v>
      </c>
      <c r="F140" s="47" t="str">
        <f>"28-FFU, Line "&amp;'28-FFU'!A22&amp;""</f>
        <v>28-FFU, Line 5</v>
      </c>
    </row>
    <row r="141" spans="1:8" x14ac:dyDescent="0.25">
      <c r="A141" s="2">
        <f t="shared" si="14"/>
        <v>84</v>
      </c>
      <c r="D141" s="102" t="s">
        <v>1393</v>
      </c>
      <c r="E141" s="8">
        <f>'28-FFU'!E22</f>
        <v>0</v>
      </c>
      <c r="F141" s="47" t="str">
        <f>"28-FFU, Line "&amp;'28-FFU'!A22&amp;""</f>
        <v>28-FFU, Line 5</v>
      </c>
    </row>
    <row r="142" spans="1:8" x14ac:dyDescent="0.25">
      <c r="A142" s="2">
        <f t="shared" si="14"/>
        <v>85</v>
      </c>
      <c r="D142" s="549" t="s">
        <v>1683</v>
      </c>
      <c r="E142" s="7" t="e">
        <f>E139*E140</f>
        <v>#DIV/0!</v>
      </c>
      <c r="F142" s="16" t="str">
        <f>"Line "&amp;A139&amp;" * Line "&amp;A140&amp;""</f>
        <v>Line 82 * Line 83</v>
      </c>
    </row>
    <row r="143" spans="1:8" x14ac:dyDescent="0.25">
      <c r="A143" s="576">
        <f t="shared" si="14"/>
        <v>86</v>
      </c>
      <c r="D143" s="549" t="s">
        <v>1684</v>
      </c>
      <c r="E143" s="7" t="e">
        <f>E139*E141</f>
        <v>#DIV/0!</v>
      </c>
      <c r="F143" s="16" t="str">
        <f>"Line "&amp;A139&amp;" * Line "&amp;A141&amp;""</f>
        <v>Line 82 * Line 84</v>
      </c>
    </row>
    <row r="144" spans="1:8" x14ac:dyDescent="0.25">
      <c r="A144" s="576">
        <f t="shared" si="14"/>
        <v>87</v>
      </c>
      <c r="D144" s="102" t="s">
        <v>1410</v>
      </c>
      <c r="E144" s="7" t="e">
        <f>E139+E142+E143</f>
        <v>#DIV/0!</v>
      </c>
      <c r="F144" s="13" t="str">
        <f>"Line "&amp;A139&amp;" + Line "&amp;A142&amp;" + Line "&amp;A143&amp;""</f>
        <v>Line 82 + Line 85 + Line 86</v>
      </c>
    </row>
    <row r="145" spans="1:8" x14ac:dyDescent="0.25">
      <c r="A145" s="576">
        <f t="shared" si="14"/>
        <v>88</v>
      </c>
      <c r="D145" s="549" t="s">
        <v>1682</v>
      </c>
      <c r="E145" s="7" t="e">
        <f>E139+E142</f>
        <v>#DIV/0!</v>
      </c>
      <c r="F145" s="13" t="str">
        <f>"Line "&amp;A139&amp;" + Line "&amp;A142&amp;""</f>
        <v>Line 82 + Line 85</v>
      </c>
    </row>
    <row r="147" spans="1:8" ht="14.4" x14ac:dyDescent="0.3">
      <c r="C147" s="400" t="s">
        <v>1597</v>
      </c>
    </row>
    <row r="148" spans="1:8" ht="14.4" x14ac:dyDescent="0.3">
      <c r="C148" s="400"/>
      <c r="D148" s="92" t="s">
        <v>394</v>
      </c>
      <c r="E148" s="92" t="s">
        <v>378</v>
      </c>
      <c r="F148" s="92" t="s">
        <v>379</v>
      </c>
      <c r="G148" s="92" t="s">
        <v>380</v>
      </c>
    </row>
    <row r="149" spans="1:8" ht="12.75" customHeight="1" x14ac:dyDescent="0.3">
      <c r="D149" s="264" t="s">
        <v>1589</v>
      </c>
      <c r="E149" s="264" t="s">
        <v>1215</v>
      </c>
    </row>
    <row r="150" spans="1:8" ht="12.75" customHeight="1" x14ac:dyDescent="0.3">
      <c r="D150" s="3" t="s">
        <v>1679</v>
      </c>
      <c r="E150" s="3" t="s">
        <v>1679</v>
      </c>
      <c r="F150" s="3" t="s">
        <v>1598</v>
      </c>
      <c r="G150" s="266" t="s">
        <v>215</v>
      </c>
      <c r="H150" s="3" t="s">
        <v>198</v>
      </c>
    </row>
    <row r="151" spans="1:8" x14ac:dyDescent="0.25">
      <c r="A151" s="576">
        <f>A145+1</f>
        <v>89</v>
      </c>
      <c r="C151" s="102" t="s">
        <v>1399</v>
      </c>
      <c r="D151" s="7" t="e">
        <f t="shared" ref="D151:D159" si="15">D77+E77+F77</f>
        <v>#DIV/0!</v>
      </c>
      <c r="E151" s="7" t="e">
        <f t="shared" ref="E151:E159" si="16">D120</f>
        <v>#DIV/0!</v>
      </c>
      <c r="F151" s="7" t="e">
        <f>(D151+E151)*('28-FFU'!$D$22+'28-FFU'!$E$22)</f>
        <v>#DIV/0!</v>
      </c>
      <c r="G151" s="7" t="e">
        <f>SUM(D151:F151)</f>
        <v>#DIV/0!</v>
      </c>
      <c r="H151" s="13" t="s">
        <v>1311</v>
      </c>
    </row>
    <row r="152" spans="1:8" x14ac:dyDescent="0.25">
      <c r="A152" s="576">
        <f t="shared" ref="A152:A162" si="17">A151+1</f>
        <v>90</v>
      </c>
      <c r="C152" s="102" t="s">
        <v>1400</v>
      </c>
      <c r="D152" s="7" t="e">
        <f t="shared" si="15"/>
        <v>#DIV/0!</v>
      </c>
      <c r="E152" s="7" t="e">
        <f t="shared" si="16"/>
        <v>#DIV/0!</v>
      </c>
      <c r="F152" s="7" t="e">
        <f>(D152+E152)*('28-FFU'!$D$22+'28-FFU'!$E$22)</f>
        <v>#DIV/0!</v>
      </c>
      <c r="G152" s="7" t="e">
        <f t="shared" ref="G152:G159" si="18">SUM(D152:F152)</f>
        <v>#DIV/0!</v>
      </c>
      <c r="H152" s="13" t="s">
        <v>1311</v>
      </c>
    </row>
    <row r="153" spans="1:8" x14ac:dyDescent="0.25">
      <c r="A153" s="576">
        <f t="shared" si="17"/>
        <v>91</v>
      </c>
      <c r="C153" s="102" t="s">
        <v>1401</v>
      </c>
      <c r="D153" s="7" t="e">
        <f t="shared" si="15"/>
        <v>#DIV/0!</v>
      </c>
      <c r="E153" s="7" t="e">
        <f t="shared" si="16"/>
        <v>#DIV/0!</v>
      </c>
      <c r="F153" s="7" t="e">
        <f>(D153+E153)*('28-FFU'!$D$22+'28-FFU'!$E$22)</f>
        <v>#DIV/0!</v>
      </c>
      <c r="G153" s="7" t="e">
        <f t="shared" si="18"/>
        <v>#DIV/0!</v>
      </c>
      <c r="H153" s="13" t="s">
        <v>1311</v>
      </c>
    </row>
    <row r="154" spans="1:8" x14ac:dyDescent="0.25">
      <c r="A154" s="576">
        <f t="shared" si="17"/>
        <v>92</v>
      </c>
      <c r="C154" s="102" t="s">
        <v>1402</v>
      </c>
      <c r="D154" s="7" t="e">
        <f t="shared" si="15"/>
        <v>#DIV/0!</v>
      </c>
      <c r="E154" s="7" t="e">
        <f t="shared" si="16"/>
        <v>#DIV/0!</v>
      </c>
      <c r="F154" s="7" t="e">
        <f>(D154+E154)*('28-FFU'!$D$22+'28-FFU'!$E$22)</f>
        <v>#DIV/0!</v>
      </c>
      <c r="G154" s="7" t="e">
        <f t="shared" si="18"/>
        <v>#DIV/0!</v>
      </c>
      <c r="H154" s="13" t="s">
        <v>1311</v>
      </c>
    </row>
    <row r="155" spans="1:8" x14ac:dyDescent="0.25">
      <c r="A155" s="576">
        <f t="shared" si="17"/>
        <v>93</v>
      </c>
      <c r="C155" s="102" t="s">
        <v>1403</v>
      </c>
      <c r="D155" s="7" t="e">
        <f t="shared" si="15"/>
        <v>#DIV/0!</v>
      </c>
      <c r="E155" s="7" t="e">
        <f t="shared" si="16"/>
        <v>#DIV/0!</v>
      </c>
      <c r="F155" s="7" t="e">
        <f>(D155+E155)*('28-FFU'!$D$22+'28-FFU'!$E$22)</f>
        <v>#DIV/0!</v>
      </c>
      <c r="G155" s="7" t="e">
        <f t="shared" si="18"/>
        <v>#DIV/0!</v>
      </c>
      <c r="H155" s="13" t="s">
        <v>1311</v>
      </c>
    </row>
    <row r="156" spans="1:8" x14ac:dyDescent="0.25">
      <c r="A156" s="576">
        <f t="shared" si="17"/>
        <v>94</v>
      </c>
      <c r="C156" s="102" t="s">
        <v>1404</v>
      </c>
      <c r="D156" s="7" t="e">
        <f t="shared" si="15"/>
        <v>#DIV/0!</v>
      </c>
      <c r="E156" s="7" t="e">
        <f t="shared" si="16"/>
        <v>#DIV/0!</v>
      </c>
      <c r="F156" s="7" t="e">
        <f>(D156+E156)*('28-FFU'!$D$22+'28-FFU'!$E$22)</f>
        <v>#DIV/0!</v>
      </c>
      <c r="G156" s="7" t="e">
        <f t="shared" si="18"/>
        <v>#DIV/0!</v>
      </c>
      <c r="H156" s="13" t="s">
        <v>1311</v>
      </c>
    </row>
    <row r="157" spans="1:8" x14ac:dyDescent="0.25">
      <c r="A157" s="576">
        <f t="shared" si="17"/>
        <v>95</v>
      </c>
      <c r="C157" s="102" t="s">
        <v>1405</v>
      </c>
      <c r="D157" s="7" t="e">
        <f t="shared" si="15"/>
        <v>#DIV/0!</v>
      </c>
      <c r="E157" s="7" t="e">
        <f t="shared" si="16"/>
        <v>#DIV/0!</v>
      </c>
      <c r="F157" s="7" t="e">
        <f>(D157+E157)*('28-FFU'!$D$22+'28-FFU'!$E$22)</f>
        <v>#DIV/0!</v>
      </c>
      <c r="G157" s="7" t="e">
        <f t="shared" si="18"/>
        <v>#DIV/0!</v>
      </c>
      <c r="H157" s="13" t="s">
        <v>1311</v>
      </c>
    </row>
    <row r="158" spans="1:8" x14ac:dyDescent="0.25">
      <c r="A158" s="576">
        <f t="shared" si="17"/>
        <v>96</v>
      </c>
      <c r="C158" s="102" t="s">
        <v>1406</v>
      </c>
      <c r="D158" s="7" t="e">
        <f t="shared" si="15"/>
        <v>#DIV/0!</v>
      </c>
      <c r="E158" s="7" t="e">
        <f t="shared" si="16"/>
        <v>#DIV/0!</v>
      </c>
      <c r="F158" s="7" t="e">
        <f>(D158+E158)*('28-FFU'!$D$22+'28-FFU'!$E$22)</f>
        <v>#DIV/0!</v>
      </c>
      <c r="G158" s="7" t="e">
        <f t="shared" si="18"/>
        <v>#DIV/0!</v>
      </c>
      <c r="H158" s="13" t="s">
        <v>1311</v>
      </c>
    </row>
    <row r="159" spans="1:8" x14ac:dyDescent="0.25">
      <c r="A159" s="576">
        <f t="shared" si="17"/>
        <v>97</v>
      </c>
      <c r="C159" s="102" t="s">
        <v>1407</v>
      </c>
      <c r="D159" s="7" t="e">
        <f t="shared" si="15"/>
        <v>#DIV/0!</v>
      </c>
      <c r="E159" s="7" t="e">
        <f t="shared" si="16"/>
        <v>#DIV/0!</v>
      </c>
      <c r="F159" s="7" t="e">
        <f>(D159+E159)*('28-FFU'!$D$22+'28-FFU'!$E$22)</f>
        <v>#DIV/0!</v>
      </c>
      <c r="G159" s="7" t="e">
        <f t="shared" si="18"/>
        <v>#DIV/0!</v>
      </c>
      <c r="H159" s="13" t="s">
        <v>1311</v>
      </c>
    </row>
    <row r="160" spans="1:8" x14ac:dyDescent="0.25">
      <c r="A160" s="576">
        <f t="shared" si="17"/>
        <v>98</v>
      </c>
      <c r="C160" s="470"/>
      <c r="D160" s="533" t="s">
        <v>86</v>
      </c>
      <c r="E160" s="533" t="s">
        <v>86</v>
      </c>
      <c r="F160" s="533" t="s">
        <v>86</v>
      </c>
      <c r="G160" s="533" t="s">
        <v>86</v>
      </c>
      <c r="H160" s="13" t="s">
        <v>1311</v>
      </c>
    </row>
    <row r="161" spans="1:8" x14ac:dyDescent="0.25">
      <c r="A161" s="576">
        <f t="shared" si="17"/>
        <v>99</v>
      </c>
      <c r="C161" s="470"/>
      <c r="D161" s="533" t="s">
        <v>86</v>
      </c>
      <c r="E161" s="533" t="s">
        <v>86</v>
      </c>
      <c r="F161" s="533" t="s">
        <v>86</v>
      </c>
      <c r="G161" s="533" t="s">
        <v>86</v>
      </c>
      <c r="H161" s="13" t="s">
        <v>1311</v>
      </c>
    </row>
    <row r="162" spans="1:8" x14ac:dyDescent="0.25">
      <c r="A162" s="576">
        <f t="shared" si="17"/>
        <v>100</v>
      </c>
      <c r="C162" s="102" t="s">
        <v>216</v>
      </c>
      <c r="D162" s="7" t="e">
        <f>SUM(D151:D161)</f>
        <v>#DIV/0!</v>
      </c>
      <c r="E162" s="7" t="e">
        <f>SUM(E151:E161)</f>
        <v>#DIV/0!</v>
      </c>
      <c r="F162" s="7" t="e">
        <f>SUM(F151:F161)</f>
        <v>#DIV/0!</v>
      </c>
      <c r="G162" s="7" t="e">
        <f>SUM(G151:G161)</f>
        <v>#DIV/0!</v>
      </c>
    </row>
    <row r="164" spans="1:8" ht="14.4" x14ac:dyDescent="0.3">
      <c r="C164" s="400" t="s">
        <v>1678</v>
      </c>
    </row>
    <row r="165" spans="1:8" ht="14.4" x14ac:dyDescent="0.3">
      <c r="C165" s="400"/>
    </row>
    <row r="166" spans="1:8" x14ac:dyDescent="0.25">
      <c r="D166" s="92" t="s">
        <v>394</v>
      </c>
      <c r="E166" s="92" t="s">
        <v>378</v>
      </c>
      <c r="F166" s="92" t="s">
        <v>379</v>
      </c>
      <c r="G166" s="92" t="s">
        <v>380</v>
      </c>
    </row>
    <row r="167" spans="1:8" ht="12.75" customHeight="1" x14ac:dyDescent="0.3">
      <c r="D167" s="264" t="s">
        <v>1589</v>
      </c>
      <c r="E167" s="264" t="s">
        <v>1215</v>
      </c>
      <c r="F167" s="92"/>
      <c r="G167" s="92"/>
    </row>
    <row r="168" spans="1:8" ht="12.75" customHeight="1" x14ac:dyDescent="0.3">
      <c r="D168" s="3" t="s">
        <v>1679</v>
      </c>
      <c r="E168" s="3" t="s">
        <v>1679</v>
      </c>
      <c r="F168" s="3" t="s">
        <v>1648</v>
      </c>
      <c r="G168" s="266" t="s">
        <v>215</v>
      </c>
      <c r="H168" s="3" t="s">
        <v>198</v>
      </c>
    </row>
    <row r="169" spans="1:8" x14ac:dyDescent="0.25">
      <c r="A169" s="576">
        <f>A162+1</f>
        <v>101</v>
      </c>
      <c r="C169" s="102" t="s">
        <v>1399</v>
      </c>
      <c r="D169" s="7" t="e">
        <f t="shared" ref="D169:D177" si="19">D77+E77+F77</f>
        <v>#DIV/0!</v>
      </c>
      <c r="E169" s="7" t="e">
        <f t="shared" ref="E169:E177" si="20">D120</f>
        <v>#DIV/0!</v>
      </c>
      <c r="F169" s="7" t="e">
        <f>(D169+E169)*('28-FFU'!$D$22)</f>
        <v>#DIV/0!</v>
      </c>
      <c r="G169" s="7" t="e">
        <f>SUM(D169:F169)</f>
        <v>#DIV/0!</v>
      </c>
      <c r="H169" s="555" t="s">
        <v>1312</v>
      </c>
    </row>
    <row r="170" spans="1:8" x14ac:dyDescent="0.25">
      <c r="A170" s="576">
        <f t="shared" ref="A170:A180" si="21">A169+1</f>
        <v>102</v>
      </c>
      <c r="C170" s="102" t="s">
        <v>1400</v>
      </c>
      <c r="D170" s="7" t="e">
        <f t="shared" si="19"/>
        <v>#DIV/0!</v>
      </c>
      <c r="E170" s="7" t="e">
        <f t="shared" si="20"/>
        <v>#DIV/0!</v>
      </c>
      <c r="F170" s="7" t="e">
        <f>(D170+E170)*('28-FFU'!$D$22)</f>
        <v>#DIV/0!</v>
      </c>
      <c r="G170" s="7" t="e">
        <f t="shared" ref="G170:G177" si="22">SUM(D170:F170)</f>
        <v>#DIV/0!</v>
      </c>
      <c r="H170" s="555" t="s">
        <v>1312</v>
      </c>
    </row>
    <row r="171" spans="1:8" x14ac:dyDescent="0.25">
      <c r="A171" s="576">
        <f t="shared" si="21"/>
        <v>103</v>
      </c>
      <c r="C171" s="102" t="s">
        <v>1401</v>
      </c>
      <c r="D171" s="7" t="e">
        <f t="shared" si="19"/>
        <v>#DIV/0!</v>
      </c>
      <c r="E171" s="7" t="e">
        <f t="shared" si="20"/>
        <v>#DIV/0!</v>
      </c>
      <c r="F171" s="7" t="e">
        <f>(D171+E171)*('28-FFU'!$D$22)</f>
        <v>#DIV/0!</v>
      </c>
      <c r="G171" s="7" t="e">
        <f t="shared" si="22"/>
        <v>#DIV/0!</v>
      </c>
      <c r="H171" s="555" t="s">
        <v>1312</v>
      </c>
    </row>
    <row r="172" spans="1:8" x14ac:dyDescent="0.25">
      <c r="A172" s="576">
        <f t="shared" si="21"/>
        <v>104</v>
      </c>
      <c r="C172" s="102" t="s">
        <v>1402</v>
      </c>
      <c r="D172" s="7" t="e">
        <f t="shared" si="19"/>
        <v>#DIV/0!</v>
      </c>
      <c r="E172" s="7" t="e">
        <f t="shared" si="20"/>
        <v>#DIV/0!</v>
      </c>
      <c r="F172" s="7" t="e">
        <f>(D172+E172)*('28-FFU'!$D$22)</f>
        <v>#DIV/0!</v>
      </c>
      <c r="G172" s="7" t="e">
        <f t="shared" si="22"/>
        <v>#DIV/0!</v>
      </c>
      <c r="H172" s="555" t="s">
        <v>1312</v>
      </c>
    </row>
    <row r="173" spans="1:8" x14ac:dyDescent="0.25">
      <c r="A173" s="576">
        <f t="shared" si="21"/>
        <v>105</v>
      </c>
      <c r="C173" s="102" t="s">
        <v>1403</v>
      </c>
      <c r="D173" s="7" t="e">
        <f t="shared" si="19"/>
        <v>#DIV/0!</v>
      </c>
      <c r="E173" s="7" t="e">
        <f t="shared" si="20"/>
        <v>#DIV/0!</v>
      </c>
      <c r="F173" s="7" t="e">
        <f>(D173+E173)*('28-FFU'!$D$22)</f>
        <v>#DIV/0!</v>
      </c>
      <c r="G173" s="7" t="e">
        <f t="shared" si="22"/>
        <v>#DIV/0!</v>
      </c>
      <c r="H173" s="555" t="s">
        <v>1312</v>
      </c>
    </row>
    <row r="174" spans="1:8" x14ac:dyDescent="0.25">
      <c r="A174" s="576">
        <f t="shared" si="21"/>
        <v>106</v>
      </c>
      <c r="C174" s="102" t="s">
        <v>1404</v>
      </c>
      <c r="D174" s="7" t="e">
        <f t="shared" si="19"/>
        <v>#DIV/0!</v>
      </c>
      <c r="E174" s="7" t="e">
        <f t="shared" si="20"/>
        <v>#DIV/0!</v>
      </c>
      <c r="F174" s="7" t="e">
        <f>(D174+E174)*('28-FFU'!$D$22)</f>
        <v>#DIV/0!</v>
      </c>
      <c r="G174" s="7" t="e">
        <f t="shared" si="22"/>
        <v>#DIV/0!</v>
      </c>
      <c r="H174" s="555" t="s">
        <v>1312</v>
      </c>
    </row>
    <row r="175" spans="1:8" x14ac:dyDescent="0.25">
      <c r="A175" s="576">
        <f t="shared" si="21"/>
        <v>107</v>
      </c>
      <c r="C175" s="102" t="s">
        <v>1405</v>
      </c>
      <c r="D175" s="7" t="e">
        <f t="shared" si="19"/>
        <v>#DIV/0!</v>
      </c>
      <c r="E175" s="7" t="e">
        <f t="shared" si="20"/>
        <v>#DIV/0!</v>
      </c>
      <c r="F175" s="7" t="e">
        <f>(D175+E175)*('28-FFU'!$D$22)</f>
        <v>#DIV/0!</v>
      </c>
      <c r="G175" s="7" t="e">
        <f t="shared" si="22"/>
        <v>#DIV/0!</v>
      </c>
      <c r="H175" s="555" t="s">
        <v>1312</v>
      </c>
    </row>
    <row r="176" spans="1:8" x14ac:dyDescent="0.25">
      <c r="A176" s="576">
        <f t="shared" si="21"/>
        <v>108</v>
      </c>
      <c r="C176" s="102" t="s">
        <v>1406</v>
      </c>
      <c r="D176" s="7" t="e">
        <f t="shared" si="19"/>
        <v>#DIV/0!</v>
      </c>
      <c r="E176" s="7" t="e">
        <f t="shared" si="20"/>
        <v>#DIV/0!</v>
      </c>
      <c r="F176" s="7" t="e">
        <f>(D176+E176)*('28-FFU'!$D$22)</f>
        <v>#DIV/0!</v>
      </c>
      <c r="G176" s="7" t="e">
        <f t="shared" si="22"/>
        <v>#DIV/0!</v>
      </c>
      <c r="H176" s="555" t="s">
        <v>1312</v>
      </c>
    </row>
    <row r="177" spans="1:11" x14ac:dyDescent="0.25">
      <c r="A177" s="576">
        <f t="shared" si="21"/>
        <v>109</v>
      </c>
      <c r="C177" s="102" t="s">
        <v>1407</v>
      </c>
      <c r="D177" s="7" t="e">
        <f t="shared" si="19"/>
        <v>#DIV/0!</v>
      </c>
      <c r="E177" s="7" t="e">
        <f t="shared" si="20"/>
        <v>#DIV/0!</v>
      </c>
      <c r="F177" s="7" t="e">
        <f>(D177+E177)*('28-FFU'!$D$22)</f>
        <v>#DIV/0!</v>
      </c>
      <c r="G177" s="7" t="e">
        <f t="shared" si="22"/>
        <v>#DIV/0!</v>
      </c>
      <c r="H177" s="555" t="s">
        <v>1312</v>
      </c>
    </row>
    <row r="178" spans="1:11" x14ac:dyDescent="0.25">
      <c r="A178" s="576">
        <f t="shared" si="21"/>
        <v>110</v>
      </c>
      <c r="C178" s="470"/>
      <c r="D178" s="533" t="s">
        <v>86</v>
      </c>
      <c r="E178" s="533" t="s">
        <v>86</v>
      </c>
      <c r="F178" s="533" t="s">
        <v>86</v>
      </c>
      <c r="G178" s="533" t="s">
        <v>86</v>
      </c>
      <c r="H178" s="555" t="s">
        <v>1312</v>
      </c>
    </row>
    <row r="179" spans="1:11" x14ac:dyDescent="0.25">
      <c r="A179" s="576">
        <f t="shared" si="21"/>
        <v>111</v>
      </c>
      <c r="C179" s="470"/>
      <c r="D179" s="533" t="s">
        <v>86</v>
      </c>
      <c r="E179" s="533" t="s">
        <v>86</v>
      </c>
      <c r="F179" s="533" t="s">
        <v>86</v>
      </c>
      <c r="G179" s="533" t="s">
        <v>86</v>
      </c>
      <c r="H179" s="555" t="s">
        <v>1312</v>
      </c>
    </row>
    <row r="180" spans="1:11" x14ac:dyDescent="0.25">
      <c r="A180" s="576">
        <f t="shared" si="21"/>
        <v>112</v>
      </c>
      <c r="C180" s="102" t="s">
        <v>216</v>
      </c>
      <c r="D180" s="7" t="e">
        <f>SUM(D169:D179)</f>
        <v>#DIV/0!</v>
      </c>
      <c r="E180" s="7" t="e">
        <f>SUM(E169:E179)</f>
        <v>#DIV/0!</v>
      </c>
      <c r="F180" s="7" t="e">
        <f>SUM(F169:F179)</f>
        <v>#DIV/0!</v>
      </c>
      <c r="G180" s="7" t="e">
        <f>SUM(G169:G179)</f>
        <v>#DIV/0!</v>
      </c>
    </row>
    <row r="182" spans="1:11" x14ac:dyDescent="0.25">
      <c r="B182" s="1" t="s">
        <v>256</v>
      </c>
    </row>
    <row r="183" spans="1:11" x14ac:dyDescent="0.25">
      <c r="B183" s="120" t="str">
        <f>"1) (Sum Lines "&amp;A64&amp;" to "&amp;A67&amp;") * (FF + U Factors from 28-FFU) for Prior Year TRR"</f>
        <v>1) (Sum Lines 33 to 36) * (FF + U Factors from 28-FFU) for Prior Year TRR</v>
      </c>
      <c r="C183" s="14"/>
      <c r="D183" s="14"/>
      <c r="E183" s="14"/>
      <c r="F183" s="14"/>
      <c r="G183" s="14"/>
      <c r="H183" s="14"/>
      <c r="I183" s="14"/>
      <c r="J183" s="14"/>
      <c r="K183" s="14"/>
    </row>
    <row r="184" spans="1:11" x14ac:dyDescent="0.25">
      <c r="B184" s="47" t="str">
        <f>"(Sum Lines "&amp;A65&amp;" to "&amp;A68&amp;") * (FF Factor from 28-FFU) for True Up TRR"</f>
        <v>(Sum Lines 34 to 37) * (FF Factor from 28-FFU) for True Up TRR</v>
      </c>
      <c r="C184" s="14"/>
      <c r="D184" s="14"/>
      <c r="E184" s="14"/>
      <c r="F184" s="14"/>
      <c r="G184" s="14"/>
      <c r="H184" s="14"/>
      <c r="I184" s="14"/>
      <c r="J184" s="14"/>
      <c r="K184" s="14"/>
    </row>
    <row r="185" spans="1:11" x14ac:dyDescent="0.25">
      <c r="B185" s="15" t="str">
        <f>"2) Project Cost of capital is a fraction of total Cost of Capital on Line "&amp;A26&amp;" based on fraction of project CWIP Balances on Lines "&amp;A9&amp;" to "&amp;A20&amp;", Col 1."</f>
        <v>2) Project Cost of capital is a fraction of total Cost of Capital on Line 15 based on fraction of project CWIP Balances on Lines 1 to 12, Col 1.</v>
      </c>
      <c r="C185" s="14"/>
      <c r="D185" s="14"/>
      <c r="E185" s="14"/>
      <c r="F185" s="14"/>
      <c r="G185" s="14"/>
      <c r="H185" s="14"/>
      <c r="I185" s="14"/>
      <c r="J185" s="14"/>
      <c r="K185" s="14"/>
    </row>
    <row r="186" spans="1:11" x14ac:dyDescent="0.25">
      <c r="B186" s="47" t="str">
        <f>"Project Income Taxes is a fraction of total Income on Line "&amp;A34&amp;" based on fraction of project CWIP Balances on Lines "&amp;A9&amp;" to "&amp;A20&amp;", Col 1."</f>
        <v>Project Income Taxes is a fraction of total Income on Line 19 based on fraction of project CWIP Balances on Lines 1 to 12, Col 1.</v>
      </c>
      <c r="C186" s="14"/>
      <c r="D186" s="14"/>
      <c r="E186" s="14"/>
      <c r="F186" s="14"/>
      <c r="G186" s="14"/>
      <c r="H186" s="14"/>
      <c r="I186" s="14"/>
      <c r="J186" s="14"/>
      <c r="K186" s="14"/>
    </row>
    <row r="187" spans="1:11" x14ac:dyDescent="0.25">
      <c r="B187" s="124" t="str">
        <f>"ROE Adder is from Lines "&amp;A66&amp;" and "&amp;A67&amp;".  FF&amp;U Expenses are based on FF&amp;U Factors on 28-FFU."</f>
        <v>ROE Adder is from Lines 35 and 36.  FF&amp;U Expenses are based on FF&amp;U Factors on 28-FFU.</v>
      </c>
      <c r="C187" s="14"/>
      <c r="D187" s="14"/>
      <c r="E187" s="14"/>
      <c r="F187" s="14"/>
      <c r="G187" s="14"/>
      <c r="H187" s="14"/>
      <c r="I187" s="14"/>
      <c r="J187" s="14"/>
      <c r="K187" s="14"/>
    </row>
    <row r="188" spans="1:11" x14ac:dyDescent="0.25">
      <c r="B188" s="15" t="str">
        <f>"3) Project Cost of capital is a fraction of total Cost of Capital on Line "&amp;A26&amp;" based on fraction of project CWIP Balances on Lines "&amp;A9&amp;" to "&amp;A20&amp;", Col 2."</f>
        <v>3) Project Cost of capital is a fraction of total Cost of Capital on Line 15 based on fraction of project CWIP Balances on Lines 1 to 12, Col 2.</v>
      </c>
      <c r="C188" s="14"/>
      <c r="D188" s="14"/>
      <c r="E188" s="14"/>
      <c r="F188" s="14"/>
      <c r="G188" s="14"/>
      <c r="H188" s="14"/>
      <c r="I188" s="14"/>
      <c r="J188" s="14"/>
      <c r="K188" s="14"/>
    </row>
    <row r="189" spans="1:11" x14ac:dyDescent="0.25">
      <c r="B189" s="47" t="str">
        <f>"Project Income Taxes is a fraction of total Income on Line "&amp;A34&amp;" based on fraction of project CWIP Balances on Lines "&amp;A9&amp;" to "&amp;A20&amp;", Col 2."</f>
        <v>Project Income Taxes is a fraction of total Income on Line 19 based on fraction of project CWIP Balances on Lines 1 to 12, Col 2.</v>
      </c>
      <c r="C189" s="14"/>
      <c r="D189" s="14"/>
      <c r="E189" s="14"/>
      <c r="F189" s="14"/>
      <c r="G189" s="14"/>
      <c r="H189" s="14"/>
      <c r="I189" s="14"/>
      <c r="J189" s="14"/>
      <c r="K189" s="14"/>
    </row>
    <row r="190" spans="1:11" x14ac:dyDescent="0.25">
      <c r="B190" s="124" t="str">
        <f>"ROE Adder is from Lines "&amp;A66&amp;" and "&amp;A67&amp;".  FF Expenses is based on FF Factor on 28-FFU."</f>
        <v>ROE Adder is from Lines 35 and 36.  FF Expenses is based on FF Factor on 28-FFU.</v>
      </c>
      <c r="C190" s="14"/>
      <c r="D190" s="14"/>
      <c r="E190" s="14"/>
      <c r="F190" s="14"/>
      <c r="G190" s="14"/>
      <c r="H190" s="14"/>
      <c r="I190" s="14"/>
      <c r="J190" s="14"/>
      <c r="K190" s="14"/>
    </row>
    <row r="191" spans="1:11" x14ac:dyDescent="0.25">
      <c r="B191" s="15" t="str">
        <f>"4) Project contribution to total IFPTRR is based on fraction of Forecast Period CWIP Balances on Lines "&amp;A9&amp;" to "&amp;A20&amp;", Col 3."</f>
        <v>4) Project contribution to total IFPTRR is based on fraction of Forecast Period CWIP Balances on Lines 1 to 12, Col 3.</v>
      </c>
      <c r="C191" s="14"/>
      <c r="D191" s="14"/>
      <c r="E191" s="14"/>
      <c r="F191" s="14"/>
      <c r="G191" s="14"/>
      <c r="H191" s="14"/>
      <c r="I191" s="14"/>
      <c r="J191" s="14"/>
      <c r="K191" s="14"/>
    </row>
    <row r="192" spans="1:11" x14ac:dyDescent="0.25">
      <c r="B192" s="15" t="str">
        <f>"5) Column 1 is from Lines "&amp;A77&amp;" to "&amp;A87&amp;", Sum of Column 1-3 (no FF&amp;U)."</f>
        <v>5) Column 1 is from Lines 39 to 49, Sum of Column 1-3 (no FF&amp;U).</v>
      </c>
      <c r="C192" s="14"/>
      <c r="D192" s="14"/>
      <c r="E192" s="14"/>
      <c r="F192" s="14"/>
      <c r="G192" s="14"/>
      <c r="H192" s="14"/>
      <c r="I192" s="14"/>
      <c r="J192" s="14"/>
      <c r="K192" s="14"/>
    </row>
    <row r="193" spans="2:11" x14ac:dyDescent="0.25">
      <c r="B193" s="47" t="str">
        <f>"Column 2 is from Lines "&amp;A120&amp;" to "&amp;A130&amp;" (no FF&amp;U)."</f>
        <v>Column 2 is from Lines 68 to 78 (no FF&amp;U).</v>
      </c>
      <c r="C193" s="14"/>
      <c r="D193" s="14"/>
      <c r="E193" s="14"/>
      <c r="F193" s="14"/>
      <c r="G193" s="14"/>
      <c r="H193" s="14"/>
      <c r="I193" s="14"/>
      <c r="J193" s="14"/>
      <c r="K193" s="14"/>
    </row>
    <row r="194" spans="2:11" x14ac:dyDescent="0.25">
      <c r="B194" s="550" t="str">
        <f>"Column 3 is the product of (C1 + C2) and the sum of FF and U factors (28-FFU, L"&amp;'28-FFU'!A22&amp;")"</f>
        <v>Column 3 is the product of (C1 + C2) and the sum of FF and U factors (28-FFU, L5)</v>
      </c>
      <c r="C194" s="14"/>
      <c r="D194" s="14"/>
      <c r="E194" s="14"/>
      <c r="F194" s="14"/>
      <c r="G194" s="14"/>
      <c r="H194" s="14"/>
      <c r="I194" s="14"/>
      <c r="J194" s="14"/>
      <c r="K194" s="14"/>
    </row>
    <row r="195" spans="2:11" x14ac:dyDescent="0.25">
      <c r="B195" s="551" t="s">
        <v>1681</v>
      </c>
    </row>
  </sheetData>
  <pageMargins left="0.7" right="0.7" top="0.75" bottom="0.75" header="0.3" footer="0.3"/>
  <pageSetup scale="70" orientation="portrait" cellComments="asDisplayed" r:id="rId1"/>
  <headerFooter>
    <oddHeader xml:space="preserve">&amp;CSchedule 24
CWIP TRR
&amp;"Arial,Bold"Attachment 5&amp;"Arial,Regular"
</oddHeader>
    <oddFooter>&amp;R24-CWIPTRR</oddFooter>
  </headerFooter>
  <rowBreaks count="2" manualBreakCount="2">
    <brk id="70" max="16383" man="1"/>
    <brk id="13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zoomScaleNormal="100" workbookViewId="0">
      <selection activeCell="B16" sqref="B16"/>
    </sheetView>
  </sheetViews>
  <sheetFormatPr defaultRowHeight="13.2" x14ac:dyDescent="0.25"/>
  <cols>
    <col min="1" max="1" width="2.6640625" customWidth="1"/>
    <col min="2" max="2" width="18.6640625" customWidth="1"/>
    <col min="3" max="3" width="10.6640625" customWidth="1"/>
    <col min="4" max="4" width="66.6640625" customWidth="1"/>
  </cols>
  <sheetData>
    <row r="1" spans="1:4" x14ac:dyDescent="0.25">
      <c r="A1" s="1" t="s">
        <v>1264</v>
      </c>
      <c r="C1" s="1"/>
    </row>
    <row r="3" spans="1:4" x14ac:dyDescent="0.25">
      <c r="B3" s="3" t="s">
        <v>1265</v>
      </c>
      <c r="C3" s="3" t="s">
        <v>1341</v>
      </c>
      <c r="D3" s="442" t="s">
        <v>581</v>
      </c>
    </row>
    <row r="4" spans="1:4" x14ac:dyDescent="0.25">
      <c r="B4" s="405" t="s">
        <v>1204</v>
      </c>
      <c r="C4" s="63"/>
      <c r="D4" s="12" t="s">
        <v>1267</v>
      </c>
    </row>
    <row r="5" spans="1:4" x14ac:dyDescent="0.25">
      <c r="B5" s="715" t="s">
        <v>1266</v>
      </c>
      <c r="C5" s="63">
        <v>1</v>
      </c>
      <c r="D5" s="551" t="s">
        <v>2768</v>
      </c>
    </row>
    <row r="6" spans="1:4" x14ac:dyDescent="0.25">
      <c r="B6" s="715" t="s">
        <v>1215</v>
      </c>
      <c r="C6" s="63">
        <v>2</v>
      </c>
      <c r="D6" s="12" t="s">
        <v>1274</v>
      </c>
    </row>
    <row r="7" spans="1:4" x14ac:dyDescent="0.25">
      <c r="B7" s="715" t="s">
        <v>1216</v>
      </c>
      <c r="C7" s="63">
        <v>3</v>
      </c>
      <c r="D7" s="12" t="s">
        <v>1275</v>
      </c>
    </row>
    <row r="8" spans="1:4" x14ac:dyDescent="0.25">
      <c r="B8" s="715" t="s">
        <v>1697</v>
      </c>
      <c r="C8" s="63">
        <v>4</v>
      </c>
      <c r="D8" s="551" t="s">
        <v>1698</v>
      </c>
    </row>
    <row r="9" spans="1:4" x14ac:dyDescent="0.25">
      <c r="B9" s="715" t="s">
        <v>1205</v>
      </c>
      <c r="C9" s="63">
        <v>5</v>
      </c>
      <c r="D9" s="12" t="s">
        <v>1268</v>
      </c>
    </row>
    <row r="10" spans="1:4" x14ac:dyDescent="0.25">
      <c r="B10" s="715" t="s">
        <v>1208</v>
      </c>
      <c r="C10" s="63">
        <v>6</v>
      </c>
      <c r="D10" s="12" t="s">
        <v>1271</v>
      </c>
    </row>
    <row r="11" spans="1:4" x14ac:dyDescent="0.25">
      <c r="B11" s="715" t="s">
        <v>1209</v>
      </c>
      <c r="C11" s="63">
        <v>7</v>
      </c>
      <c r="D11" s="12" t="s">
        <v>1633</v>
      </c>
    </row>
    <row r="12" spans="1:4" x14ac:dyDescent="0.25">
      <c r="B12" s="715" t="s">
        <v>1218</v>
      </c>
      <c r="C12" s="63">
        <v>8</v>
      </c>
      <c r="D12" s="12" t="s">
        <v>1276</v>
      </c>
    </row>
    <row r="13" spans="1:4" x14ac:dyDescent="0.25">
      <c r="B13" s="715" t="s">
        <v>220</v>
      </c>
      <c r="C13" s="63">
        <v>9</v>
      </c>
      <c r="D13" s="12" t="s">
        <v>109</v>
      </c>
    </row>
    <row r="14" spans="1:4" x14ac:dyDescent="0.25">
      <c r="B14" s="715" t="s">
        <v>1</v>
      </c>
      <c r="C14" s="63">
        <v>10</v>
      </c>
      <c r="D14" s="551" t="s">
        <v>2769</v>
      </c>
    </row>
    <row r="15" spans="1:4" x14ac:dyDescent="0.25">
      <c r="B15" s="715" t="s">
        <v>1210</v>
      </c>
      <c r="C15" s="63">
        <v>11</v>
      </c>
      <c r="D15" s="12" t="s">
        <v>1326</v>
      </c>
    </row>
    <row r="16" spans="1:4" x14ac:dyDescent="0.25">
      <c r="B16" s="715" t="s">
        <v>1211</v>
      </c>
      <c r="C16" s="63">
        <v>12</v>
      </c>
      <c r="D16" s="12" t="s">
        <v>1272</v>
      </c>
    </row>
    <row r="17" spans="2:4" x14ac:dyDescent="0.25">
      <c r="B17" s="715" t="s">
        <v>1217</v>
      </c>
      <c r="C17" s="63">
        <v>13</v>
      </c>
      <c r="D17" s="12" t="s">
        <v>1286</v>
      </c>
    </row>
    <row r="18" spans="2:4" x14ac:dyDescent="0.25">
      <c r="B18" s="715" t="s">
        <v>1212</v>
      </c>
      <c r="C18" s="63">
        <v>14</v>
      </c>
      <c r="D18" s="12" t="s">
        <v>1273</v>
      </c>
    </row>
    <row r="19" spans="2:4" x14ac:dyDescent="0.25">
      <c r="B19" s="715" t="s">
        <v>1213</v>
      </c>
      <c r="C19" s="63">
        <v>15</v>
      </c>
      <c r="D19" s="551" t="s">
        <v>1944</v>
      </c>
    </row>
    <row r="20" spans="2:4" x14ac:dyDescent="0.25">
      <c r="B20" s="715" t="s">
        <v>1214</v>
      </c>
      <c r="C20" s="63">
        <v>16</v>
      </c>
      <c r="D20" s="12" t="s">
        <v>1334</v>
      </c>
    </row>
    <row r="21" spans="2:4" x14ac:dyDescent="0.25">
      <c r="B21" s="715" t="s">
        <v>1206</v>
      </c>
      <c r="C21" s="63">
        <v>17</v>
      </c>
      <c r="D21" s="12" t="s">
        <v>1269</v>
      </c>
    </row>
    <row r="22" spans="2:4" x14ac:dyDescent="0.25">
      <c r="B22" s="715" t="s">
        <v>1207</v>
      </c>
      <c r="C22" s="63">
        <v>18</v>
      </c>
      <c r="D22" s="12" t="s">
        <v>1270</v>
      </c>
    </row>
    <row r="23" spans="2:4" x14ac:dyDescent="0.25">
      <c r="B23" s="715" t="s">
        <v>1219</v>
      </c>
      <c r="C23" s="63">
        <v>19</v>
      </c>
      <c r="D23" s="12" t="s">
        <v>1277</v>
      </c>
    </row>
    <row r="24" spans="2:4" x14ac:dyDescent="0.25">
      <c r="B24" s="715" t="s">
        <v>1220</v>
      </c>
      <c r="C24" s="63">
        <v>20</v>
      </c>
      <c r="D24" s="551" t="s">
        <v>308</v>
      </c>
    </row>
    <row r="25" spans="2:4" x14ac:dyDescent="0.25">
      <c r="B25" s="715" t="s">
        <v>1243</v>
      </c>
      <c r="C25" s="63">
        <v>21</v>
      </c>
      <c r="D25" s="12" t="s">
        <v>1278</v>
      </c>
    </row>
    <row r="26" spans="2:4" x14ac:dyDescent="0.25">
      <c r="B26" s="715" t="s">
        <v>1244</v>
      </c>
      <c r="C26" s="63">
        <v>22</v>
      </c>
      <c r="D26" s="12" t="s">
        <v>1333</v>
      </c>
    </row>
    <row r="27" spans="2:4" x14ac:dyDescent="0.25">
      <c r="B27" s="715" t="s">
        <v>1245</v>
      </c>
      <c r="C27" s="63">
        <v>23</v>
      </c>
      <c r="D27" s="12" t="s">
        <v>1279</v>
      </c>
    </row>
    <row r="28" spans="2:4" ht="12.75" customHeight="1" x14ac:dyDescent="0.25">
      <c r="B28" s="715" t="s">
        <v>1615</v>
      </c>
      <c r="C28" s="63">
        <v>24</v>
      </c>
      <c r="D28" s="12" t="s">
        <v>1616</v>
      </c>
    </row>
    <row r="29" spans="2:4" x14ac:dyDescent="0.25">
      <c r="B29" s="715" t="s">
        <v>1553</v>
      </c>
      <c r="C29" s="63">
        <v>25</v>
      </c>
      <c r="D29" s="12" t="s">
        <v>1554</v>
      </c>
    </row>
    <row r="30" spans="2:4" x14ac:dyDescent="0.25">
      <c r="B30" s="715" t="s">
        <v>1248</v>
      </c>
      <c r="C30" s="63">
        <v>26</v>
      </c>
      <c r="D30" s="12" t="s">
        <v>1280</v>
      </c>
    </row>
    <row r="31" spans="2:4" x14ac:dyDescent="0.25">
      <c r="B31" s="715" t="s">
        <v>1247</v>
      </c>
      <c r="C31" s="63">
        <v>27</v>
      </c>
      <c r="D31" s="12" t="s">
        <v>221</v>
      </c>
    </row>
    <row r="32" spans="2:4" x14ac:dyDescent="0.25">
      <c r="B32" s="715" t="s">
        <v>1246</v>
      </c>
      <c r="C32" s="63">
        <v>28</v>
      </c>
      <c r="D32" s="12" t="s">
        <v>1281</v>
      </c>
    </row>
    <row r="33" spans="2:4" x14ac:dyDescent="0.25">
      <c r="B33" s="715" t="s">
        <v>1249</v>
      </c>
      <c r="C33" s="63">
        <v>29</v>
      </c>
      <c r="D33" s="12" t="s">
        <v>1282</v>
      </c>
    </row>
    <row r="34" spans="2:4" x14ac:dyDescent="0.25">
      <c r="B34" s="715" t="s">
        <v>1250</v>
      </c>
      <c r="C34" s="63">
        <v>30</v>
      </c>
      <c r="D34" s="12" t="s">
        <v>1335</v>
      </c>
    </row>
    <row r="35" spans="2:4" x14ac:dyDescent="0.25">
      <c r="B35" s="715" t="s">
        <v>1251</v>
      </c>
      <c r="C35" s="63">
        <v>31</v>
      </c>
      <c r="D35" s="12" t="s">
        <v>1283</v>
      </c>
    </row>
    <row r="36" spans="2:4" x14ac:dyDescent="0.25">
      <c r="B36" s="715" t="s">
        <v>1252</v>
      </c>
      <c r="C36" s="63">
        <v>32</v>
      </c>
      <c r="D36" s="12" t="s">
        <v>1284</v>
      </c>
    </row>
    <row r="37" spans="2:4" x14ac:dyDescent="0.25">
      <c r="B37" s="715" t="s">
        <v>1253</v>
      </c>
      <c r="C37" s="538">
        <v>33</v>
      </c>
      <c r="D37" s="12" t="s">
        <v>1285</v>
      </c>
    </row>
    <row r="38" spans="2:4" x14ac:dyDescent="0.25">
      <c r="B38" s="1146" t="s">
        <v>2425</v>
      </c>
      <c r="C38" s="1147">
        <v>34</v>
      </c>
      <c r="D38" s="553" t="s">
        <v>2484</v>
      </c>
    </row>
    <row r="39" spans="2:4" x14ac:dyDescent="0.25">
      <c r="B39" s="1146" t="s">
        <v>535</v>
      </c>
      <c r="C39" s="1147">
        <v>35</v>
      </c>
      <c r="D39" s="553" t="s">
        <v>2418</v>
      </c>
    </row>
    <row r="40" spans="2:4" x14ac:dyDescent="0.25">
      <c r="B40" s="12"/>
    </row>
    <row r="41" spans="2:4" x14ac:dyDescent="0.25">
      <c r="B41" s="12"/>
    </row>
    <row r="42" spans="2:4" x14ac:dyDescent="0.25">
      <c r="B42" s="12"/>
    </row>
    <row r="43" spans="2:4" x14ac:dyDescent="0.25">
      <c r="B43" s="12"/>
    </row>
  </sheetData>
  <hyperlinks>
    <hyperlink ref="B9" location="'5-ROR-1'!A1" display="ROR"/>
    <hyperlink ref="B4" location="Overview!A1" display="Overview"/>
    <hyperlink ref="B5" location="'1-BaseTRR'!A1" display="BaseTRR"/>
    <hyperlink ref="B21" location="'17-Depreciation'!A1" display="Depreciation"/>
    <hyperlink ref="B22" location="'18-DepRates'!A1" display="DepRates"/>
    <hyperlink ref="B10" location="'6-PlantInService'!A1" display="PlantInService"/>
    <hyperlink ref="B11" location="'7-PlantStudy'!A1" display="PlantStudy"/>
    <hyperlink ref="B15" location="'11-PHFU'!A1" display="PHFU"/>
    <hyperlink ref="B16" location="'12-AbandonedPlant'!A1" display="AbandonedPlant"/>
    <hyperlink ref="B18" location="'14-IncentivePlant'!A1" display="IncentivePlant"/>
    <hyperlink ref="B19" location="'15-IncentiveAdder'!A1" display="IncentiveAdder"/>
    <hyperlink ref="B20" location="'16-PlantAdditions'!A1" display="PlantAdditions"/>
    <hyperlink ref="B14" location="'10-CWIP'!A1" display="CWIP"/>
    <hyperlink ref="B6" location="'2-IFPTRR'!A1" display="IFPTRR"/>
    <hyperlink ref="B8" location="'4-TUTRR'!A1" display="TUTRR"/>
    <hyperlink ref="B7" location="'3-TrueUpAdjust'!A1" display="TrueUpAdjust"/>
    <hyperlink ref="B17" location="'13-WorkCap'!A1" display="WorkCap"/>
    <hyperlink ref="B12" location="'8-AccDep'!A1" display="AccDep"/>
    <hyperlink ref="B23" location="'19-OandM'!A1" display="OandM"/>
    <hyperlink ref="B24" location="'20-AandG'!A1" display="AandG"/>
    <hyperlink ref="B13" location="'9-ADIT'!A1" display="ADIT"/>
    <hyperlink ref="B25" location="'21-RevenueCredits'!A1" display="RevenueCredits"/>
    <hyperlink ref="B26" location="'22-NUCs'!A1" display="NUCs"/>
    <hyperlink ref="B27" location="'23-RegAssets'!A1" display="RegAssets"/>
    <hyperlink ref="B29" location="'25-WholesaleDifference'!A1" display="WholesaleDifference"/>
    <hyperlink ref="B30" location="'26-TaxRates'!A1" display="TaxRates"/>
    <hyperlink ref="B31" location="'27-Allocators'!A1" display="Allocators"/>
    <hyperlink ref="B32" location="'28-FFU'!A1" display="FFU"/>
    <hyperlink ref="B33" location="'29-WholesaleTRRs'!A1" display="WholesaleTRRs"/>
    <hyperlink ref="B34" location="'30-WholesaleRates'!A1" display="Wholesale Rates"/>
    <hyperlink ref="B35" location="'31-HVLV'!A1" display="HVLV"/>
    <hyperlink ref="B36" location="'32-GrossLoad'!A1" display="GrossLoad"/>
    <hyperlink ref="B37" location="'33-RetailRates'!A1" display="RetailRates"/>
    <hyperlink ref="B28" location="'24-CWIPTRR'!A1" display="CWIPTRR"/>
    <hyperlink ref="B39" location="'35-PBOPs'!A1" display="PBOPs"/>
    <hyperlink ref="B38" location="'34-UnfundedReserves'!A1" display="Unfunded Reserves"/>
  </hyperlinks>
  <pageMargins left="0.7" right="0.7" top="0.75" bottom="0.75" header="0.3" footer="0.3"/>
  <pageSetup scale="90" orientation="portrait" cellComments="asDisplayed" r:id="rId1"/>
  <headerFooter>
    <oddHeader>&amp;C&amp;"Arial,Bold"Attachment 5</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2"/>
  <sheetViews>
    <sheetView zoomScale="85" zoomScaleNormal="85" workbookViewId="0">
      <selection activeCell="B5" sqref="B5"/>
    </sheetView>
  </sheetViews>
  <sheetFormatPr defaultRowHeight="13.2" x14ac:dyDescent="0.25"/>
  <cols>
    <col min="1" max="1" width="4.6640625" customWidth="1"/>
    <col min="6" max="6" width="11.6640625" customWidth="1"/>
    <col min="7" max="7" width="21.6640625" customWidth="1"/>
    <col min="8" max="9" width="14.6640625" customWidth="1"/>
  </cols>
  <sheetData>
    <row r="1" spans="1:12" x14ac:dyDescent="0.25">
      <c r="A1" s="1" t="s">
        <v>1514</v>
      </c>
      <c r="B1" s="251"/>
      <c r="C1" s="251"/>
      <c r="D1" s="251"/>
      <c r="E1" s="251"/>
      <c r="F1" s="251"/>
      <c r="G1" s="251"/>
      <c r="H1" s="251"/>
      <c r="I1" s="251"/>
      <c r="J1" s="251"/>
      <c r="K1" s="251"/>
      <c r="L1" s="251"/>
    </row>
    <row r="2" spans="1:12" x14ac:dyDescent="0.25">
      <c r="A2" s="1"/>
      <c r="B2" s="251"/>
      <c r="C2" s="251"/>
      <c r="D2" s="251"/>
      <c r="E2" s="251"/>
      <c r="F2" s="251"/>
      <c r="G2" s="251"/>
      <c r="H2" s="517" t="s">
        <v>17</v>
      </c>
      <c r="I2" s="450"/>
      <c r="J2" s="251"/>
      <c r="K2" s="251"/>
      <c r="L2" s="251"/>
    </row>
    <row r="3" spans="1:12" x14ac:dyDescent="0.25">
      <c r="A3" s="1"/>
      <c r="B3" s="251" t="s">
        <v>1515</v>
      </c>
      <c r="C3" s="251"/>
      <c r="D3" s="251"/>
      <c r="E3" s="251"/>
      <c r="F3" s="251"/>
      <c r="G3" s="251"/>
      <c r="H3" s="261"/>
      <c r="I3" s="261"/>
      <c r="J3" s="251"/>
      <c r="K3" s="251"/>
      <c r="L3" s="251"/>
    </row>
    <row r="4" spans="1:12" x14ac:dyDescent="0.25">
      <c r="A4" s="1"/>
      <c r="B4" s="261" t="s">
        <v>2199</v>
      </c>
      <c r="C4" s="261"/>
      <c r="D4" s="261"/>
      <c r="E4" s="261"/>
      <c r="F4" s="261"/>
      <c r="G4" s="261"/>
      <c r="H4" s="261"/>
      <c r="I4" s="261"/>
      <c r="J4" s="251"/>
      <c r="K4" s="251"/>
      <c r="L4" s="251"/>
    </row>
    <row r="5" spans="1:12" ht="13.8" x14ac:dyDescent="0.3">
      <c r="A5" s="1"/>
      <c r="B5" s="261" t="s">
        <v>2009</v>
      </c>
      <c r="C5" s="261"/>
      <c r="D5" s="261"/>
      <c r="E5" s="261"/>
      <c r="F5" s="261"/>
      <c r="G5" s="261"/>
      <c r="H5" s="261"/>
      <c r="I5" s="261"/>
      <c r="J5" s="251"/>
      <c r="K5" s="251"/>
      <c r="L5" s="251"/>
    </row>
    <row r="6" spans="1:12" x14ac:dyDescent="0.25">
      <c r="A6" s="1"/>
      <c r="B6" s="261"/>
      <c r="C6" s="261"/>
      <c r="D6" s="261"/>
      <c r="E6" s="261"/>
      <c r="F6" s="261"/>
      <c r="G6" s="261"/>
      <c r="H6" s="261"/>
      <c r="I6" s="261"/>
      <c r="J6" s="251"/>
      <c r="K6" s="251"/>
      <c r="L6" s="251"/>
    </row>
    <row r="7" spans="1:12" x14ac:dyDescent="0.25">
      <c r="A7" s="1"/>
      <c r="B7" s="261" t="s">
        <v>2200</v>
      </c>
      <c r="C7" s="261"/>
      <c r="D7" s="261"/>
      <c r="E7" s="261"/>
      <c r="F7" s="261"/>
      <c r="G7" s="261"/>
      <c r="H7" s="261"/>
      <c r="I7" s="261"/>
      <c r="J7" s="251"/>
      <c r="K7" s="251"/>
      <c r="L7" s="251"/>
    </row>
    <row r="8" spans="1:12" x14ac:dyDescent="0.25">
      <c r="A8" s="1"/>
      <c r="B8" s="261" t="s">
        <v>1516</v>
      </c>
      <c r="C8" s="261"/>
      <c r="D8" s="261"/>
      <c r="E8" s="261"/>
      <c r="F8" s="261"/>
      <c r="G8" s="261"/>
      <c r="H8" s="261"/>
      <c r="I8" s="261"/>
      <c r="J8" s="251"/>
      <c r="K8" s="251"/>
      <c r="L8" s="251"/>
    </row>
    <row r="9" spans="1:12" x14ac:dyDescent="0.25">
      <c r="A9" s="1"/>
      <c r="B9" s="261" t="s">
        <v>1517</v>
      </c>
      <c r="C9" s="261"/>
      <c r="D9" s="261"/>
      <c r="E9" s="261"/>
      <c r="F9" s="261"/>
      <c r="G9" s="261"/>
      <c r="H9" s="261"/>
      <c r="I9" s="261"/>
      <c r="J9" s="251"/>
      <c r="K9" s="251"/>
      <c r="L9" s="251"/>
    </row>
    <row r="10" spans="1:12" x14ac:dyDescent="0.25">
      <c r="A10" s="1"/>
      <c r="B10" s="261"/>
      <c r="C10" s="261"/>
      <c r="D10" s="261"/>
      <c r="E10" s="261"/>
      <c r="F10" s="261"/>
      <c r="G10" s="261"/>
      <c r="H10" s="518" t="s">
        <v>1518</v>
      </c>
      <c r="I10" s="261"/>
      <c r="J10" s="251"/>
      <c r="K10" s="251"/>
      <c r="L10" s="251"/>
    </row>
    <row r="11" spans="1:12" ht="14.4" x14ac:dyDescent="0.3">
      <c r="A11" s="1"/>
      <c r="B11" s="261"/>
      <c r="C11" s="261"/>
      <c r="D11" s="261"/>
      <c r="E11" s="261"/>
      <c r="F11" s="261"/>
      <c r="G11" s="518" t="s">
        <v>192</v>
      </c>
      <c r="H11" s="1235" t="s">
        <v>1519</v>
      </c>
      <c r="I11" s="518" t="s">
        <v>354</v>
      </c>
      <c r="J11" s="251"/>
      <c r="K11" s="251"/>
      <c r="L11" s="251"/>
    </row>
    <row r="12" spans="1:12" x14ac:dyDescent="0.25">
      <c r="A12" s="53" t="s">
        <v>360</v>
      </c>
      <c r="B12" s="261"/>
      <c r="C12" s="261"/>
      <c r="D12" s="261"/>
      <c r="E12" s="261"/>
      <c r="F12" s="261"/>
      <c r="G12" s="519" t="s">
        <v>317</v>
      </c>
      <c r="H12" s="519" t="s">
        <v>317</v>
      </c>
      <c r="I12" s="519" t="s">
        <v>1520</v>
      </c>
      <c r="J12" s="251"/>
      <c r="K12" s="251"/>
      <c r="L12" s="251"/>
    </row>
    <row r="13" spans="1:12" x14ac:dyDescent="0.25">
      <c r="A13" s="2">
        <v>1</v>
      </c>
      <c r="B13" s="261" t="s">
        <v>1521</v>
      </c>
      <c r="C13" s="261"/>
      <c r="D13" s="261"/>
      <c r="E13" s="261"/>
      <c r="F13" s="261"/>
      <c r="G13" s="520" t="s">
        <v>246</v>
      </c>
      <c r="H13" s="520" t="s">
        <v>246</v>
      </c>
      <c r="I13" s="1147" t="s">
        <v>248</v>
      </c>
      <c r="J13" s="251"/>
      <c r="K13" s="251"/>
      <c r="L13" s="251"/>
    </row>
    <row r="14" spans="1:12" x14ac:dyDescent="0.25">
      <c r="A14" s="2">
        <f>A13+1</f>
        <v>2</v>
      </c>
      <c r="B14" s="261" t="s">
        <v>1522</v>
      </c>
      <c r="C14" s="261"/>
      <c r="D14" s="261"/>
      <c r="E14" s="261"/>
      <c r="F14" s="261"/>
      <c r="G14" s="520" t="s">
        <v>246</v>
      </c>
      <c r="H14" s="520" t="s">
        <v>246</v>
      </c>
      <c r="I14" s="520" t="s">
        <v>246</v>
      </c>
      <c r="J14" s="251"/>
      <c r="K14" s="251"/>
      <c r="L14" s="251"/>
    </row>
    <row r="15" spans="1:12" x14ac:dyDescent="0.25">
      <c r="A15" s="121">
        <f>A14+1</f>
        <v>3</v>
      </c>
      <c r="B15" s="261" t="s">
        <v>1716</v>
      </c>
      <c r="C15" s="261"/>
      <c r="D15" s="261"/>
      <c r="E15" s="261"/>
      <c r="F15" s="261"/>
      <c r="G15" s="520" t="s">
        <v>246</v>
      </c>
      <c r="H15" s="520" t="s">
        <v>246</v>
      </c>
      <c r="I15" s="520" t="s">
        <v>246</v>
      </c>
      <c r="J15" s="251"/>
      <c r="K15" s="251"/>
      <c r="L15" s="251"/>
    </row>
    <row r="16" spans="1:12" x14ac:dyDescent="0.25">
      <c r="A16" s="2">
        <f>A15+1</f>
        <v>4</v>
      </c>
      <c r="B16" s="261" t="s">
        <v>1523</v>
      </c>
      <c r="C16" s="261"/>
      <c r="D16" s="261"/>
      <c r="E16" s="261"/>
      <c r="F16" s="261"/>
      <c r="G16" s="520" t="s">
        <v>246</v>
      </c>
      <c r="H16" s="520" t="s">
        <v>246</v>
      </c>
      <c r="I16" s="520" t="s">
        <v>248</v>
      </c>
      <c r="J16" s="251"/>
      <c r="K16" s="251"/>
      <c r="L16" s="251"/>
    </row>
    <row r="17" spans="1:12" x14ac:dyDescent="0.25">
      <c r="A17" s="2">
        <f>A16+1</f>
        <v>5</v>
      </c>
      <c r="B17" s="261" t="s">
        <v>1524</v>
      </c>
      <c r="C17" s="261"/>
      <c r="D17" s="261"/>
      <c r="E17" s="261"/>
      <c r="F17" s="261"/>
      <c r="G17" s="520" t="s">
        <v>248</v>
      </c>
      <c r="H17" s="520" t="s">
        <v>246</v>
      </c>
      <c r="I17" s="520" t="s">
        <v>248</v>
      </c>
      <c r="J17" s="251"/>
      <c r="K17" s="251"/>
      <c r="L17" s="251"/>
    </row>
    <row r="18" spans="1:12" x14ac:dyDescent="0.25">
      <c r="A18" s="121">
        <f>A17+1</f>
        <v>6</v>
      </c>
      <c r="B18" s="261" t="s">
        <v>2462</v>
      </c>
      <c r="C18" s="261"/>
      <c r="D18" s="261"/>
      <c r="E18" s="261"/>
      <c r="F18" s="261"/>
      <c r="G18" s="520" t="s">
        <v>248</v>
      </c>
      <c r="H18" s="520" t="s">
        <v>246</v>
      </c>
      <c r="I18" s="520" t="s">
        <v>248</v>
      </c>
      <c r="J18" s="251"/>
      <c r="K18" s="251"/>
      <c r="L18" s="251"/>
    </row>
    <row r="19" spans="1:12" x14ac:dyDescent="0.25">
      <c r="A19" s="251"/>
      <c r="B19" s="251"/>
      <c r="C19" s="521"/>
      <c r="D19" s="261"/>
      <c r="E19" s="261"/>
      <c r="F19" s="261"/>
      <c r="G19" s="251"/>
      <c r="H19" s="251"/>
      <c r="I19" s="251"/>
      <c r="J19" s="251"/>
      <c r="K19" s="251"/>
      <c r="L19" s="251"/>
    </row>
    <row r="20" spans="1:12" x14ac:dyDescent="0.25">
      <c r="A20" s="251"/>
      <c r="B20" s="449" t="s">
        <v>1525</v>
      </c>
      <c r="C20" s="408"/>
      <c r="D20" s="261"/>
      <c r="E20" s="261"/>
      <c r="F20" s="261"/>
      <c r="G20" s="251"/>
      <c r="H20" s="251"/>
      <c r="I20" s="251"/>
      <c r="J20" s="251"/>
      <c r="K20" s="251"/>
      <c r="L20" s="251"/>
    </row>
    <row r="21" spans="1:12" x14ac:dyDescent="0.25">
      <c r="A21" s="251"/>
      <c r="B21" s="449"/>
      <c r="C21" s="408"/>
      <c r="D21" s="261"/>
      <c r="E21" s="261"/>
      <c r="F21" s="261"/>
      <c r="G21" s="251"/>
      <c r="H21" s="251"/>
      <c r="I21" s="251"/>
      <c r="J21" s="251"/>
      <c r="K21" s="251"/>
      <c r="L21" s="251"/>
    </row>
    <row r="22" spans="1:12" x14ac:dyDescent="0.25">
      <c r="A22" s="251"/>
      <c r="B22" s="522" t="s">
        <v>1526</v>
      </c>
      <c r="C22" s="410"/>
      <c r="D22" s="261"/>
      <c r="E22" s="261"/>
      <c r="F22" s="261"/>
      <c r="G22" s="251"/>
      <c r="H22" s="251"/>
      <c r="I22" s="251"/>
      <c r="J22" s="251"/>
      <c r="K22" s="251"/>
      <c r="L22" s="251"/>
    </row>
    <row r="23" spans="1:12" x14ac:dyDescent="0.25">
      <c r="A23" s="251"/>
      <c r="B23" s="270" t="s">
        <v>1527</v>
      </c>
      <c r="C23" s="410"/>
      <c r="D23" s="261"/>
      <c r="E23" s="261"/>
      <c r="F23" s="261"/>
      <c r="G23" s="251"/>
      <c r="H23" s="251"/>
      <c r="I23" s="251"/>
      <c r="J23" s="251"/>
      <c r="K23" s="251"/>
      <c r="L23" s="251"/>
    </row>
    <row r="24" spans="1:12" x14ac:dyDescent="0.25">
      <c r="A24" s="251"/>
      <c r="B24" s="270" t="s">
        <v>1528</v>
      </c>
      <c r="C24" s="251"/>
      <c r="D24" s="251"/>
      <c r="E24" s="251"/>
      <c r="F24" s="251"/>
      <c r="G24" s="251"/>
      <c r="H24" s="251"/>
      <c r="I24" s="251"/>
      <c r="J24" s="251"/>
      <c r="K24" s="251"/>
      <c r="L24" s="251"/>
    </row>
    <row r="25" spans="1:12" x14ac:dyDescent="0.25">
      <c r="A25" s="251"/>
      <c r="B25" s="251"/>
      <c r="C25" s="251"/>
      <c r="D25" s="251"/>
      <c r="E25" s="251"/>
      <c r="F25" s="251"/>
      <c r="G25" s="251"/>
      <c r="H25" s="92" t="s">
        <v>394</v>
      </c>
      <c r="I25" s="92" t="s">
        <v>378</v>
      </c>
      <c r="J25" s="251"/>
      <c r="K25" s="251"/>
      <c r="L25" s="251"/>
    </row>
    <row r="26" spans="1:12" x14ac:dyDescent="0.25">
      <c r="A26" s="251"/>
      <c r="B26" s="251"/>
      <c r="C26" s="251"/>
      <c r="D26" s="251"/>
      <c r="E26" s="251"/>
      <c r="F26" s="251"/>
      <c r="G26" s="251"/>
      <c r="H26" s="523" t="s">
        <v>1529</v>
      </c>
      <c r="I26" s="251"/>
      <c r="J26" s="251"/>
      <c r="K26" s="251"/>
      <c r="L26" s="251"/>
    </row>
    <row r="27" spans="1:12" x14ac:dyDescent="0.25">
      <c r="A27" s="251"/>
      <c r="B27" s="251"/>
      <c r="C27" s="251"/>
      <c r="D27" s="251"/>
      <c r="E27" s="251"/>
      <c r="F27" s="251"/>
      <c r="G27" s="251"/>
      <c r="H27" s="523" t="s">
        <v>317</v>
      </c>
      <c r="I27" s="254" t="s">
        <v>1530</v>
      </c>
      <c r="J27" s="251"/>
      <c r="K27" s="251"/>
      <c r="L27" s="251"/>
    </row>
    <row r="28" spans="1:12" x14ac:dyDescent="0.25">
      <c r="A28" s="251"/>
      <c r="B28" s="251"/>
      <c r="C28" s="251"/>
      <c r="D28" s="251"/>
      <c r="E28" s="251"/>
      <c r="F28" s="251"/>
      <c r="G28" s="26" t="s">
        <v>213</v>
      </c>
      <c r="H28" s="254" t="s">
        <v>1531</v>
      </c>
      <c r="I28" s="254" t="s">
        <v>1532</v>
      </c>
      <c r="J28" s="251"/>
      <c r="K28" s="251"/>
      <c r="L28" s="251"/>
    </row>
    <row r="29" spans="1:12" ht="14.4" x14ac:dyDescent="0.3">
      <c r="A29" s="53"/>
      <c r="B29" s="251"/>
      <c r="C29" s="251"/>
      <c r="D29" s="251"/>
      <c r="E29" s="251"/>
      <c r="F29" s="251"/>
      <c r="G29" s="25" t="s">
        <v>198</v>
      </c>
      <c r="H29" s="524" t="s">
        <v>1533</v>
      </c>
      <c r="I29" s="266" t="s">
        <v>1519</v>
      </c>
      <c r="J29" s="398"/>
      <c r="K29" s="251"/>
      <c r="L29" s="251"/>
    </row>
    <row r="30" spans="1:12" x14ac:dyDescent="0.25">
      <c r="A30" s="121">
        <f>A18+1</f>
        <v>7</v>
      </c>
      <c r="B30" s="261"/>
      <c r="C30" s="261" t="s">
        <v>1534</v>
      </c>
      <c r="D30" s="261"/>
      <c r="E30" s="261"/>
      <c r="F30" s="261"/>
      <c r="G30" s="47" t="s">
        <v>1535</v>
      </c>
      <c r="H30" s="255">
        <v>31556000</v>
      </c>
      <c r="I30" s="253">
        <v>-2176300</v>
      </c>
      <c r="J30" s="251"/>
      <c r="K30" s="251"/>
      <c r="L30" s="251"/>
    </row>
    <row r="31" spans="1:12" x14ac:dyDescent="0.25">
      <c r="A31" s="121">
        <f>A30+1</f>
        <v>8</v>
      </c>
      <c r="B31" s="261"/>
      <c r="C31" s="261" t="s">
        <v>1536</v>
      </c>
      <c r="D31" s="261"/>
      <c r="E31" s="261"/>
      <c r="F31" s="261"/>
      <c r="G31" s="47" t="s">
        <v>1535</v>
      </c>
      <c r="H31" s="253">
        <v>-35044000</v>
      </c>
      <c r="I31" s="253">
        <v>2503000</v>
      </c>
      <c r="J31" s="251"/>
      <c r="K31" s="251"/>
      <c r="L31" s="251"/>
    </row>
    <row r="32" spans="1:12" x14ac:dyDescent="0.25">
      <c r="A32" s="121">
        <f>A31+1</f>
        <v>9</v>
      </c>
      <c r="B32" s="261"/>
      <c r="C32" s="261" t="s">
        <v>1717</v>
      </c>
      <c r="D32" s="261"/>
      <c r="E32" s="261"/>
      <c r="F32" s="261"/>
      <c r="G32" s="47" t="s">
        <v>1535</v>
      </c>
      <c r="H32" s="255">
        <v>-624650</v>
      </c>
      <c r="I32" s="255">
        <v>43100</v>
      </c>
      <c r="J32" s="251"/>
      <c r="K32" s="251"/>
      <c r="L32" s="251"/>
    </row>
    <row r="33" spans="1:12" x14ac:dyDescent="0.25">
      <c r="A33" s="121">
        <f>A32+1</f>
        <v>10</v>
      </c>
      <c r="B33" s="261"/>
      <c r="C33" s="261" t="s">
        <v>1537</v>
      </c>
      <c r="D33" s="261"/>
      <c r="E33" s="261"/>
      <c r="F33" s="261"/>
      <c r="G33" s="47" t="s">
        <v>1535</v>
      </c>
      <c r="H33" s="397">
        <v>-7410000</v>
      </c>
      <c r="I33" s="525">
        <v>511200</v>
      </c>
      <c r="J33" s="251"/>
      <c r="K33" s="251"/>
      <c r="L33" s="251"/>
    </row>
    <row r="34" spans="1:12" x14ac:dyDescent="0.25">
      <c r="A34" s="121">
        <f>A33+1</f>
        <v>11</v>
      </c>
      <c r="B34" s="261"/>
      <c r="C34" s="261"/>
      <c r="D34" s="261"/>
      <c r="E34" s="261"/>
      <c r="F34" s="14"/>
      <c r="G34" s="1171" t="s">
        <v>216</v>
      </c>
      <c r="H34" s="253">
        <f>SUM(H30:H33)</f>
        <v>-11522650</v>
      </c>
      <c r="I34" s="253">
        <f>SUM(I30:I33)</f>
        <v>881000</v>
      </c>
      <c r="J34" s="251"/>
      <c r="K34" s="251"/>
      <c r="L34" s="251"/>
    </row>
    <row r="35" spans="1:12" x14ac:dyDescent="0.25">
      <c r="A35" s="121"/>
      <c r="B35" s="261"/>
      <c r="C35" s="261"/>
      <c r="D35" s="261"/>
      <c r="E35" s="261"/>
      <c r="F35" s="14"/>
      <c r="G35" s="1171"/>
      <c r="H35" s="253"/>
      <c r="I35" s="253"/>
      <c r="J35" s="251"/>
      <c r="K35" s="251"/>
      <c r="L35" s="251"/>
    </row>
    <row r="36" spans="1:12" x14ac:dyDescent="0.25">
      <c r="A36" s="121"/>
      <c r="B36" s="1236" t="s">
        <v>1538</v>
      </c>
      <c r="C36" s="261"/>
      <c r="D36" s="261"/>
      <c r="E36" s="261"/>
      <c r="F36" s="14"/>
      <c r="G36" s="1171"/>
      <c r="H36" s="253"/>
      <c r="I36" s="253"/>
      <c r="J36" s="251"/>
      <c r="K36" s="251"/>
      <c r="L36" s="251"/>
    </row>
    <row r="37" spans="1:12" x14ac:dyDescent="0.25">
      <c r="A37" s="121"/>
      <c r="B37" s="530" t="s">
        <v>1862</v>
      </c>
      <c r="C37" s="261"/>
      <c r="D37" s="261"/>
      <c r="E37" s="261"/>
      <c r="F37" s="14"/>
      <c r="G37" s="1171"/>
      <c r="H37" s="253"/>
      <c r="I37" s="253"/>
      <c r="J37" s="251"/>
      <c r="K37" s="251"/>
      <c r="L37" s="251"/>
    </row>
    <row r="38" spans="1:12" x14ac:dyDescent="0.25">
      <c r="A38" s="121"/>
      <c r="B38" s="530" t="s">
        <v>1539</v>
      </c>
      <c r="C38" s="261"/>
      <c r="D38" s="261"/>
      <c r="E38" s="261"/>
      <c r="F38" s="14"/>
      <c r="G38" s="1171"/>
      <c r="H38" s="253"/>
      <c r="I38" s="253"/>
      <c r="J38" s="251"/>
      <c r="K38" s="251"/>
      <c r="L38" s="251"/>
    </row>
    <row r="39" spans="1:12" x14ac:dyDescent="0.25">
      <c r="A39" s="518"/>
      <c r="B39" s="261"/>
      <c r="C39" s="261"/>
      <c r="D39" s="261"/>
      <c r="E39" s="261"/>
      <c r="F39" s="261"/>
      <c r="G39" s="486" t="s">
        <v>213</v>
      </c>
      <c r="H39" s="251"/>
      <c r="I39" s="251"/>
      <c r="J39" s="251"/>
      <c r="K39" s="251"/>
      <c r="L39" s="251"/>
    </row>
    <row r="40" spans="1:12" x14ac:dyDescent="0.25">
      <c r="A40" s="518"/>
      <c r="B40" s="1237"/>
      <c r="C40" s="408"/>
      <c r="D40" s="261"/>
      <c r="E40" s="261"/>
      <c r="F40" s="261"/>
      <c r="G40" s="29" t="s">
        <v>198</v>
      </c>
      <c r="H40" s="3" t="s">
        <v>190</v>
      </c>
      <c r="I40" s="527" t="s">
        <v>1540</v>
      </c>
      <c r="J40" s="251"/>
      <c r="K40" s="251"/>
      <c r="L40" s="251"/>
    </row>
    <row r="41" spans="1:12" x14ac:dyDescent="0.25">
      <c r="A41" s="121">
        <f>A34+1</f>
        <v>12</v>
      </c>
      <c r="B41" s="530" t="s">
        <v>1541</v>
      </c>
      <c r="C41" s="261"/>
      <c r="D41" s="261"/>
      <c r="E41" s="261"/>
      <c r="F41" s="261"/>
      <c r="G41" s="530" t="str">
        <f>"2-IFPTRR Line "&amp;'2-IFPTRR'!A25&amp;""</f>
        <v>2-IFPTRR Line 16</v>
      </c>
      <c r="H41" s="396" t="e">
        <f>'2-IFPTRR'!D25</f>
        <v>#DIV/0!</v>
      </c>
      <c r="I41" s="272">
        <v>1</v>
      </c>
      <c r="J41" s="251"/>
      <c r="K41" s="251"/>
      <c r="L41" s="251"/>
    </row>
    <row r="42" spans="1:12" x14ac:dyDescent="0.25">
      <c r="A42" s="121">
        <f>A41+1</f>
        <v>13</v>
      </c>
      <c r="B42" s="530" t="s">
        <v>73</v>
      </c>
      <c r="C42" s="261"/>
      <c r="D42" s="261"/>
      <c r="E42" s="261"/>
      <c r="F42" s="261"/>
      <c r="G42" s="530"/>
      <c r="H42" s="528"/>
      <c r="I42" s="272">
        <v>2</v>
      </c>
      <c r="J42" s="251"/>
      <c r="K42" s="251"/>
      <c r="L42" s="251"/>
    </row>
    <row r="43" spans="1:12" x14ac:dyDescent="0.25">
      <c r="A43" s="121">
        <f>A42+1</f>
        <v>14</v>
      </c>
      <c r="B43" s="530" t="s">
        <v>1542</v>
      </c>
      <c r="C43" s="261"/>
      <c r="D43" s="261"/>
      <c r="E43" s="261"/>
      <c r="F43" s="261"/>
      <c r="G43" s="255"/>
      <c r="H43" s="253">
        <f>H34+ (I34*(H42-2010))</f>
        <v>-1782332650</v>
      </c>
      <c r="I43" s="272">
        <v>3</v>
      </c>
      <c r="J43" s="251"/>
      <c r="K43" s="251"/>
      <c r="L43" s="251"/>
    </row>
    <row r="44" spans="1:12" x14ac:dyDescent="0.25">
      <c r="A44" s="121">
        <f>A43+1</f>
        <v>15</v>
      </c>
      <c r="B44" s="530" t="s">
        <v>1543</v>
      </c>
      <c r="C44" s="408"/>
      <c r="D44" s="261"/>
      <c r="E44" s="261"/>
      <c r="F44" s="261"/>
      <c r="G44" s="47" t="str">
        <f>"Line "&amp;A43&amp;" * Line "&amp;A41&amp;""</f>
        <v>Line 14 * Line 12</v>
      </c>
      <c r="H44" s="253" t="e">
        <f xml:space="preserve"> H43*H41</f>
        <v>#DIV/0!</v>
      </c>
      <c r="I44" s="251"/>
      <c r="J44" s="251"/>
      <c r="K44" s="251"/>
      <c r="L44" s="251"/>
    </row>
    <row r="45" spans="1:12" x14ac:dyDescent="0.25">
      <c r="A45" s="14"/>
      <c r="B45" s="14"/>
      <c r="C45" s="14"/>
      <c r="D45" s="14"/>
      <c r="E45" s="14"/>
      <c r="F45" s="14"/>
      <c r="G45" s="14"/>
      <c r="L45" s="251"/>
    </row>
    <row r="46" spans="1:12" x14ac:dyDescent="0.25">
      <c r="B46" s="449" t="s">
        <v>1722</v>
      </c>
      <c r="L46" s="251"/>
    </row>
    <row r="47" spans="1:12" x14ac:dyDescent="0.25">
      <c r="L47" s="251"/>
    </row>
    <row r="48" spans="1:12" x14ac:dyDescent="0.25">
      <c r="B48" s="251" t="str">
        <f>"The annual Wholesale Expense Difference impact is the negative of amounts stated in Lines "&amp;A30&amp;" to "&amp;A33&amp;" above, Column 2."</f>
        <v>The annual Wholesale Expense Difference impact is the negative of amounts stated in Lines 7 to 10 above, Column 2.</v>
      </c>
      <c r="L48" s="251"/>
    </row>
    <row r="49" spans="1:12" x14ac:dyDescent="0.25">
      <c r="B49" s="251" t="s">
        <v>1570</v>
      </c>
      <c r="L49" s="251"/>
    </row>
    <row r="50" spans="1:12" x14ac:dyDescent="0.25">
      <c r="A50" s="251"/>
      <c r="B50" s="251" t="s">
        <v>1863</v>
      </c>
      <c r="C50" s="251"/>
      <c r="D50" s="251"/>
      <c r="E50" s="251"/>
      <c r="F50" s="251"/>
      <c r="G50" s="251"/>
      <c r="H50" s="251"/>
      <c r="I50" s="251"/>
      <c r="J50" s="251"/>
      <c r="K50" s="251"/>
      <c r="L50" s="251"/>
    </row>
    <row r="52" spans="1:12" x14ac:dyDescent="0.25">
      <c r="A52" s="251"/>
      <c r="B52" s="76" t="s">
        <v>1544</v>
      </c>
      <c r="C52" s="251"/>
      <c r="D52" s="251"/>
      <c r="E52" s="251"/>
      <c r="F52" s="251"/>
      <c r="G52" s="251"/>
      <c r="H52" s="251"/>
      <c r="I52" s="251"/>
      <c r="J52" s="251"/>
      <c r="K52" s="251"/>
      <c r="L52" s="251"/>
    </row>
    <row r="53" spans="1:12" x14ac:dyDescent="0.25">
      <c r="A53" s="251"/>
      <c r="B53" s="251"/>
      <c r="C53" s="251"/>
      <c r="D53" s="251"/>
      <c r="E53" s="251"/>
      <c r="F53" s="251"/>
      <c r="G53" s="26"/>
      <c r="H53" s="251"/>
      <c r="I53" s="251"/>
      <c r="J53" s="251"/>
      <c r="K53" s="251"/>
      <c r="L53" s="251"/>
    </row>
    <row r="54" spans="1:12" x14ac:dyDescent="0.25">
      <c r="B54" s="251"/>
      <c r="C54" s="251"/>
      <c r="D54" s="251"/>
      <c r="E54" s="251"/>
      <c r="F54" s="251"/>
      <c r="G54" s="25" t="s">
        <v>198</v>
      </c>
      <c r="H54" s="3" t="s">
        <v>190</v>
      </c>
      <c r="I54" s="251"/>
      <c r="J54" s="398"/>
      <c r="K54" s="251"/>
      <c r="L54" s="251"/>
    </row>
    <row r="55" spans="1:12" x14ac:dyDescent="0.25">
      <c r="A55" s="121">
        <f>A44+1</f>
        <v>16</v>
      </c>
      <c r="B55" s="530" t="s">
        <v>1545</v>
      </c>
      <c r="C55" s="261"/>
      <c r="D55" s="261"/>
      <c r="E55" s="261"/>
      <c r="F55" s="261"/>
      <c r="G55" s="47" t="str">
        <f>"Line "&amp;A31&amp;""</f>
        <v>Line 8</v>
      </c>
      <c r="H55" s="253">
        <f>I31</f>
        <v>2503000</v>
      </c>
      <c r="I55" s="251"/>
      <c r="J55" s="251"/>
      <c r="K55" s="251"/>
      <c r="L55" s="251"/>
    </row>
    <row r="56" spans="1:12" x14ac:dyDescent="0.25">
      <c r="A56" s="121">
        <f>A55+1</f>
        <v>17</v>
      </c>
      <c r="B56" s="47" t="s">
        <v>319</v>
      </c>
      <c r="C56" s="261"/>
      <c r="D56" s="261"/>
      <c r="E56" s="261"/>
      <c r="F56" s="261"/>
      <c r="G56" s="530" t="str">
        <f>"1-BaseTRR L "&amp;'1-BaseTRR'!A102&amp;""</f>
        <v>1-BaseTRR L 58</v>
      </c>
      <c r="H56" s="446">
        <f>'1-BaseTRR'!K102</f>
        <v>0</v>
      </c>
      <c r="I56" s="251"/>
      <c r="J56" s="251"/>
      <c r="K56" s="251"/>
      <c r="L56" s="251"/>
    </row>
    <row r="57" spans="1:12" x14ac:dyDescent="0.25">
      <c r="A57" s="121">
        <f>A56+1</f>
        <v>18</v>
      </c>
      <c r="B57" s="47" t="s">
        <v>1569</v>
      </c>
      <c r="C57" s="261"/>
      <c r="D57" s="261"/>
      <c r="E57" s="261"/>
      <c r="F57" s="261"/>
      <c r="G57" s="75" t="s">
        <v>318</v>
      </c>
      <c r="H57" s="529">
        <f>1/(1-H56)</f>
        <v>1</v>
      </c>
      <c r="I57" s="251"/>
      <c r="J57" s="251"/>
      <c r="K57" s="251"/>
      <c r="L57" s="251"/>
    </row>
    <row r="58" spans="1:12" x14ac:dyDescent="0.25">
      <c r="A58" s="121">
        <f>A57+1</f>
        <v>19</v>
      </c>
      <c r="B58" s="47" t="s">
        <v>362</v>
      </c>
      <c r="C58" s="261"/>
      <c r="D58" s="261"/>
      <c r="E58" s="261"/>
      <c r="F58" s="261"/>
      <c r="G58" s="261"/>
      <c r="H58" s="251"/>
      <c r="I58" s="251"/>
      <c r="J58" s="251"/>
      <c r="K58" s="251"/>
      <c r="L58" s="251"/>
    </row>
    <row r="59" spans="1:12" x14ac:dyDescent="0.25">
      <c r="A59" s="121">
        <f>A58+1</f>
        <v>20</v>
      </c>
      <c r="B59" s="47" t="s">
        <v>361</v>
      </c>
      <c r="C59" s="261"/>
      <c r="D59" s="261"/>
      <c r="E59" s="261"/>
      <c r="F59" s="261"/>
      <c r="G59" s="47" t="str">
        <f>"- Line "&amp;A55&amp;" * Line "&amp;A57&amp;""</f>
        <v>- Line 16 * Line 18</v>
      </c>
      <c r="H59" s="268">
        <f>-H57*H55</f>
        <v>-2503000</v>
      </c>
      <c r="I59" s="251"/>
      <c r="J59" s="251"/>
      <c r="K59" s="251"/>
      <c r="L59" s="251"/>
    </row>
    <row r="60" spans="1:12" x14ac:dyDescent="0.25">
      <c r="A60" s="14"/>
      <c r="B60" s="14"/>
      <c r="C60" s="14"/>
      <c r="D60" s="14"/>
      <c r="E60" s="14"/>
      <c r="F60" s="14"/>
      <c r="G60" s="14"/>
    </row>
    <row r="61" spans="1:12" x14ac:dyDescent="0.25">
      <c r="A61" s="14"/>
      <c r="B61" s="1238" t="s">
        <v>1719</v>
      </c>
      <c r="C61" s="14"/>
      <c r="D61" s="14"/>
      <c r="E61" s="14"/>
      <c r="F61" s="14"/>
      <c r="G61" s="14"/>
    </row>
    <row r="62" spans="1:12" x14ac:dyDescent="0.25">
      <c r="A62" s="14"/>
      <c r="B62" s="14"/>
      <c r="C62" s="14"/>
      <c r="D62" s="14"/>
      <c r="E62" s="14"/>
      <c r="F62" s="14"/>
      <c r="G62" s="14"/>
    </row>
    <row r="63" spans="1:12" x14ac:dyDescent="0.25">
      <c r="A63" s="14"/>
      <c r="B63" s="14"/>
      <c r="C63" s="14"/>
      <c r="D63" s="14"/>
      <c r="E63" s="14"/>
      <c r="F63" s="14"/>
      <c r="G63" s="29" t="s">
        <v>198</v>
      </c>
      <c r="H63" s="3" t="s">
        <v>190</v>
      </c>
    </row>
    <row r="64" spans="1:12" x14ac:dyDescent="0.25">
      <c r="A64" s="121">
        <f>A59+1</f>
        <v>21</v>
      </c>
      <c r="B64" s="530" t="s">
        <v>1718</v>
      </c>
      <c r="C64" s="14"/>
      <c r="D64" s="14"/>
      <c r="E64" s="14"/>
      <c r="F64" s="14"/>
      <c r="G64" s="47" t="str">
        <f>"Line "&amp;A32&amp;""</f>
        <v>Line 9</v>
      </c>
      <c r="H64" s="7">
        <f>I32</f>
        <v>43100</v>
      </c>
    </row>
    <row r="65" spans="1:12" x14ac:dyDescent="0.25">
      <c r="A65" s="121">
        <f>A64+1</f>
        <v>22</v>
      </c>
      <c r="B65" s="47" t="s">
        <v>1569</v>
      </c>
      <c r="C65" s="261"/>
      <c r="D65" s="261"/>
      <c r="E65" s="261"/>
      <c r="F65" s="261"/>
      <c r="G65" s="47" t="str">
        <f>"Line "&amp;A57&amp;""</f>
        <v>Line 18</v>
      </c>
      <c r="H65" s="529">
        <f>H57</f>
        <v>1</v>
      </c>
    </row>
    <row r="66" spans="1:12" x14ac:dyDescent="0.25">
      <c r="A66" s="121">
        <f>A65+1</f>
        <v>23</v>
      </c>
      <c r="B66" s="530" t="s">
        <v>1720</v>
      </c>
      <c r="C66" s="14"/>
      <c r="D66" s="14"/>
      <c r="E66" s="14"/>
      <c r="F66" s="14"/>
      <c r="G66" s="47" t="str">
        <f>"- Line "&amp;A64&amp;" * Line "&amp;A65&amp;""</f>
        <v>- Line 21 * Line 22</v>
      </c>
      <c r="H66" s="7">
        <f>-H64*H65</f>
        <v>-43100</v>
      </c>
    </row>
    <row r="67" spans="1:12" x14ac:dyDescent="0.25">
      <c r="A67" s="121">
        <f t="shared" ref="A67:A74" si="0">A66+1</f>
        <v>24</v>
      </c>
      <c r="B67" s="530"/>
      <c r="C67" s="14"/>
      <c r="D67" s="14"/>
      <c r="E67" s="14"/>
      <c r="F67" s="14"/>
      <c r="G67" s="47"/>
      <c r="H67" s="7"/>
    </row>
    <row r="68" spans="1:12" x14ac:dyDescent="0.25">
      <c r="A68" s="121">
        <f t="shared" si="0"/>
        <v>25</v>
      </c>
      <c r="B68" s="1238" t="s">
        <v>2463</v>
      </c>
      <c r="C68" s="14"/>
      <c r="D68" s="14"/>
      <c r="E68" s="14"/>
      <c r="F68" s="14"/>
      <c r="G68" s="47"/>
      <c r="H68" s="7"/>
    </row>
    <row r="69" spans="1:12" x14ac:dyDescent="0.25">
      <c r="A69" s="121">
        <f t="shared" si="0"/>
        <v>26</v>
      </c>
      <c r="B69" s="530"/>
      <c r="C69" s="14"/>
      <c r="D69" s="14"/>
      <c r="E69" s="14"/>
      <c r="F69" s="14"/>
      <c r="G69" s="29" t="s">
        <v>198</v>
      </c>
      <c r="H69" s="7"/>
    </row>
    <row r="70" spans="1:12" x14ac:dyDescent="0.25">
      <c r="A70" s="121">
        <f t="shared" si="0"/>
        <v>27</v>
      </c>
      <c r="B70" s="530" t="s">
        <v>2201</v>
      </c>
      <c r="C70" s="14"/>
      <c r="D70" s="14"/>
      <c r="E70" s="14"/>
      <c r="F70" s="14"/>
      <c r="G70" s="550" t="s">
        <v>33</v>
      </c>
      <c r="H70" s="117"/>
    </row>
    <row r="71" spans="1:12" x14ac:dyDescent="0.25">
      <c r="A71" s="121">
        <f t="shared" si="0"/>
        <v>28</v>
      </c>
      <c r="B71" s="530" t="s">
        <v>2464</v>
      </c>
      <c r="C71" s="14"/>
      <c r="D71" s="14"/>
      <c r="E71" s="14"/>
      <c r="F71" s="14"/>
      <c r="G71" s="550" t="s">
        <v>33</v>
      </c>
      <c r="H71" s="117"/>
    </row>
    <row r="72" spans="1:12" x14ac:dyDescent="0.25">
      <c r="A72" s="121">
        <f t="shared" si="0"/>
        <v>29</v>
      </c>
      <c r="B72" s="530" t="s">
        <v>2466</v>
      </c>
      <c r="C72" s="14"/>
      <c r="D72" s="14"/>
      <c r="E72" s="14"/>
      <c r="F72" s="14"/>
      <c r="G72" s="1160" t="str">
        <f>"Line "&amp;A70&amp;" + "&amp;A71&amp;""</f>
        <v>Line 27 + 28</v>
      </c>
      <c r="H72" s="1239">
        <f>SUM(H70:H71)</f>
        <v>0</v>
      </c>
    </row>
    <row r="73" spans="1:12" x14ac:dyDescent="0.25">
      <c r="A73" s="121">
        <f t="shared" si="0"/>
        <v>30</v>
      </c>
      <c r="B73" s="530" t="s">
        <v>104</v>
      </c>
      <c r="C73" s="14"/>
      <c r="D73" s="14"/>
      <c r="E73" s="14"/>
      <c r="F73" s="14"/>
      <c r="G73" s="530" t="str">
        <f>"27-Allocators, Line "&amp;'27-Allocators'!A15&amp;""</f>
        <v>27-Allocators, Line 9</v>
      </c>
      <c r="H73" s="50" t="e">
        <f>'27-Allocators'!G15</f>
        <v>#DIV/0!</v>
      </c>
    </row>
    <row r="74" spans="1:12" x14ac:dyDescent="0.25">
      <c r="A74" s="121">
        <f t="shared" si="0"/>
        <v>31</v>
      </c>
      <c r="B74" s="530" t="s">
        <v>2465</v>
      </c>
      <c r="C74" s="14"/>
      <c r="D74" s="14"/>
      <c r="E74" s="14"/>
      <c r="F74" s="14"/>
      <c r="G74" s="1160" t="str">
        <f>"Line "&amp;A72&amp;" * "&amp;A73&amp;""</f>
        <v>Line 29 * 30</v>
      </c>
      <c r="H74" s="65" t="e">
        <f>H72*H73</f>
        <v>#DIV/0!</v>
      </c>
    </row>
    <row r="76" spans="1:12" x14ac:dyDescent="0.25">
      <c r="A76" s="261"/>
      <c r="B76" s="1236" t="s">
        <v>2202</v>
      </c>
      <c r="C76" s="261"/>
      <c r="D76" s="261"/>
      <c r="E76" s="261"/>
      <c r="F76" s="261"/>
      <c r="G76" s="261"/>
      <c r="H76" s="261"/>
      <c r="I76" s="527" t="s">
        <v>1540</v>
      </c>
      <c r="J76" s="251"/>
      <c r="K76" s="251"/>
      <c r="L76" s="251"/>
    </row>
    <row r="77" spans="1:12" x14ac:dyDescent="0.25">
      <c r="A77" s="121">
        <f>A74+1</f>
        <v>32</v>
      </c>
      <c r="B77" s="521" t="s">
        <v>1739</v>
      </c>
      <c r="C77" s="261"/>
      <c r="D77" s="261"/>
      <c r="E77" s="261"/>
      <c r="F77" s="261"/>
      <c r="G77" s="530" t="str">
        <f>" - Line "&amp;A30&amp;", Col. 2"</f>
        <v xml:space="preserve"> - Line 7, Col. 2</v>
      </c>
      <c r="H77" s="255">
        <f>-I30</f>
        <v>2176300</v>
      </c>
      <c r="I77" s="251"/>
      <c r="J77" s="251"/>
      <c r="K77" s="251"/>
      <c r="L77" s="251"/>
    </row>
    <row r="78" spans="1:12" x14ac:dyDescent="0.25">
      <c r="A78" s="121">
        <f>A77+1</f>
        <v>33</v>
      </c>
      <c r="B78" s="521" t="s">
        <v>1536</v>
      </c>
      <c r="C78" s="261"/>
      <c r="D78" s="261"/>
      <c r="E78" s="261"/>
      <c r="F78" s="261"/>
      <c r="G78" s="530" t="str">
        <f>"Line "&amp;A59&amp;""</f>
        <v>Line 20</v>
      </c>
      <c r="H78" s="255">
        <f>H59</f>
        <v>-2503000</v>
      </c>
      <c r="I78" s="251"/>
      <c r="J78" s="251"/>
      <c r="K78" s="251"/>
      <c r="L78" s="251"/>
    </row>
    <row r="79" spans="1:12" x14ac:dyDescent="0.25">
      <c r="A79" s="121">
        <f>A78+1</f>
        <v>34</v>
      </c>
      <c r="B79" s="521" t="s">
        <v>1717</v>
      </c>
      <c r="C79" s="261"/>
      <c r="D79" s="261"/>
      <c r="E79" s="261"/>
      <c r="F79" s="261"/>
      <c r="G79" s="530" t="str">
        <f>"Line "&amp;A66&amp;""</f>
        <v>Line 23</v>
      </c>
      <c r="H79" s="255">
        <f>H66</f>
        <v>-43100</v>
      </c>
      <c r="I79" s="251"/>
      <c r="J79" s="251"/>
      <c r="K79" s="251"/>
      <c r="L79" s="251"/>
    </row>
    <row r="80" spans="1:12" x14ac:dyDescent="0.25">
      <c r="A80" s="121">
        <f>A79+1</f>
        <v>35</v>
      </c>
      <c r="B80" s="521" t="s">
        <v>1537</v>
      </c>
      <c r="C80" s="261"/>
      <c r="D80" s="261"/>
      <c r="E80" s="261"/>
      <c r="F80" s="261"/>
      <c r="G80" s="530" t="str">
        <f>"- Line "&amp;A33&amp;", Col. 2"</f>
        <v>- Line 10, Col. 2</v>
      </c>
      <c r="H80" s="255">
        <f>-I33</f>
        <v>-511200</v>
      </c>
      <c r="I80" s="251"/>
      <c r="J80" s="251"/>
      <c r="K80" s="251"/>
      <c r="L80" s="251"/>
    </row>
    <row r="81" spans="1:12" x14ac:dyDescent="0.25">
      <c r="A81" s="121">
        <f t="shared" ref="A81:A82" si="1">A80+1</f>
        <v>36</v>
      </c>
      <c r="B81" s="521" t="s">
        <v>2467</v>
      </c>
      <c r="C81" s="261"/>
      <c r="D81" s="261"/>
      <c r="E81" s="261"/>
      <c r="F81" s="261"/>
      <c r="G81" s="1160" t="str">
        <f>" - Line "&amp;A74&amp;""</f>
        <v xml:space="preserve"> - Line 31</v>
      </c>
      <c r="H81" s="525" t="e">
        <f>-H74</f>
        <v>#DIV/0!</v>
      </c>
      <c r="I81" s="251"/>
      <c r="J81" s="251"/>
      <c r="K81" s="251"/>
      <c r="L81" s="251"/>
    </row>
    <row r="82" spans="1:12" x14ac:dyDescent="0.25">
      <c r="A82" s="121">
        <f t="shared" si="1"/>
        <v>37</v>
      </c>
      <c r="B82" s="261"/>
      <c r="C82" s="261"/>
      <c r="D82" s="261"/>
      <c r="E82" s="261"/>
      <c r="F82" s="261"/>
      <c r="G82" s="1171" t="s">
        <v>1546</v>
      </c>
      <c r="H82" s="255" t="e">
        <f>SUM(H77:H81)</f>
        <v>#DIV/0!</v>
      </c>
      <c r="I82" s="251"/>
      <c r="J82" s="251"/>
      <c r="K82" s="251"/>
      <c r="L82" s="251"/>
    </row>
    <row r="83" spans="1:12" x14ac:dyDescent="0.25">
      <c r="A83" s="261"/>
      <c r="B83" s="261"/>
      <c r="C83" s="261"/>
      <c r="D83" s="261"/>
      <c r="E83" s="261"/>
      <c r="F83" s="261"/>
      <c r="G83" s="261"/>
      <c r="H83" s="261"/>
      <c r="I83" s="251"/>
      <c r="J83" s="251"/>
      <c r="K83" s="251"/>
      <c r="L83" s="251"/>
    </row>
    <row r="84" spans="1:12" x14ac:dyDescent="0.25">
      <c r="A84" s="261"/>
      <c r="B84" s="1240" t="s">
        <v>1547</v>
      </c>
      <c r="C84" s="261"/>
      <c r="D84" s="261"/>
      <c r="E84" s="261"/>
      <c r="F84" s="261"/>
      <c r="G84" s="261"/>
      <c r="H84" s="261"/>
      <c r="I84" s="251"/>
      <c r="J84" s="251"/>
      <c r="K84" s="251"/>
      <c r="L84" s="251"/>
    </row>
    <row r="85" spans="1:12" x14ac:dyDescent="0.25">
      <c r="A85" s="261"/>
      <c r="B85" s="14"/>
      <c r="C85" s="261"/>
      <c r="D85" s="261"/>
      <c r="E85" s="261"/>
      <c r="F85" s="261"/>
      <c r="G85" s="29" t="s">
        <v>198</v>
      </c>
      <c r="H85" s="135" t="s">
        <v>190</v>
      </c>
      <c r="I85" s="251"/>
      <c r="J85" s="251"/>
      <c r="K85" s="251"/>
      <c r="L85" s="251"/>
    </row>
    <row r="86" spans="1:12" x14ac:dyDescent="0.25">
      <c r="A86" s="121">
        <f>A82+1</f>
        <v>38</v>
      </c>
      <c r="B86" s="1158" t="s">
        <v>1543</v>
      </c>
      <c r="C86" s="261"/>
      <c r="D86" s="261"/>
      <c r="E86" s="261"/>
      <c r="F86" s="261"/>
      <c r="G86" s="530" t="str">
        <f>"Line "&amp;A44&amp;""</f>
        <v>Line 15</v>
      </c>
      <c r="H86" s="255" t="e">
        <f>H44</f>
        <v>#DIV/0!</v>
      </c>
      <c r="I86" s="251"/>
      <c r="J86" s="251"/>
      <c r="K86" s="251"/>
      <c r="L86" s="251"/>
    </row>
    <row r="87" spans="1:12" x14ac:dyDescent="0.25">
      <c r="A87" s="121">
        <f>A86+1</f>
        <v>39</v>
      </c>
      <c r="B87" s="261" t="s">
        <v>1548</v>
      </c>
      <c r="C87" s="261"/>
      <c r="D87" s="261"/>
      <c r="E87" s="261"/>
      <c r="F87" s="261"/>
      <c r="G87" s="530" t="str">
        <f>"Line "&amp;A82&amp;""</f>
        <v>Line 37</v>
      </c>
      <c r="H87" s="255" t="e">
        <f>H82</f>
        <v>#DIV/0!</v>
      </c>
      <c r="I87" s="251"/>
      <c r="J87" s="251"/>
      <c r="K87" s="251"/>
      <c r="L87" s="251"/>
    </row>
    <row r="88" spans="1:12" x14ac:dyDescent="0.25">
      <c r="A88" s="121">
        <f>A87+1</f>
        <v>40</v>
      </c>
      <c r="B88" s="15" t="s">
        <v>1638</v>
      </c>
      <c r="C88" s="261"/>
      <c r="D88" s="261"/>
      <c r="E88" s="261"/>
      <c r="F88" s="261"/>
      <c r="G88" s="530" t="str">
        <f>"- 1-Base TRR, L "&amp;'1-BaseTRR'!A139&amp;""</f>
        <v>- 1-Base TRR, L 79</v>
      </c>
      <c r="H88" s="255" t="e">
        <f>-'1-BaseTRR'!K139</f>
        <v>#DIV/0!</v>
      </c>
      <c r="I88" s="251"/>
      <c r="J88" s="251"/>
      <c r="K88" s="251"/>
      <c r="L88" s="251"/>
    </row>
    <row r="89" spans="1:12" x14ac:dyDescent="0.25">
      <c r="A89" s="121">
        <f t="shared" ref="A89:A92" si="2">A88+1</f>
        <v>41</v>
      </c>
      <c r="B89" s="15" t="s">
        <v>1639</v>
      </c>
      <c r="C89" s="261"/>
      <c r="D89" s="261"/>
      <c r="E89" s="261"/>
      <c r="F89" s="261"/>
      <c r="G89" s="530" t="str">
        <f>"- 2-IFPTRR, L "&amp;'2-IFPTRR'!A89&amp;""</f>
        <v>- 2-IFPTRR, L 80</v>
      </c>
      <c r="H89" s="525" t="e">
        <f>-'2-IFPTRR'!D89</f>
        <v>#DIV/0!</v>
      </c>
      <c r="I89" s="251"/>
      <c r="J89" s="251"/>
      <c r="K89" s="251"/>
      <c r="L89" s="251"/>
    </row>
    <row r="90" spans="1:12" x14ac:dyDescent="0.25">
      <c r="A90" s="121">
        <f t="shared" si="2"/>
        <v>42</v>
      </c>
      <c r="B90" s="15" t="s">
        <v>108</v>
      </c>
      <c r="C90" s="261"/>
      <c r="D90" s="261"/>
      <c r="E90" s="261"/>
      <c r="F90" s="261"/>
      <c r="G90" s="47" t="str">
        <f>"Sum Line "&amp;A86&amp;" to Line "&amp;A89&amp;""</f>
        <v>Sum Line 38 to Line 41</v>
      </c>
      <c r="H90" s="255" t="e">
        <f>SUM(H86:H89)</f>
        <v>#DIV/0!</v>
      </c>
      <c r="I90" s="251"/>
      <c r="J90" s="251"/>
      <c r="K90" s="251"/>
      <c r="L90" s="251"/>
    </row>
    <row r="91" spans="1:12" x14ac:dyDescent="0.25">
      <c r="A91" s="121">
        <f t="shared" si="2"/>
        <v>43</v>
      </c>
      <c r="B91" s="15" t="s">
        <v>1555</v>
      </c>
      <c r="C91" s="261"/>
      <c r="D91" s="261"/>
      <c r="E91" s="261"/>
      <c r="F91" s="261"/>
      <c r="G91" s="14"/>
      <c r="H91" s="525" t="e">
        <f>'28-FFU'!D22*SUM(H86+H87)</f>
        <v>#DIV/0!</v>
      </c>
      <c r="I91" s="270" t="s">
        <v>1309</v>
      </c>
      <c r="J91" s="251"/>
      <c r="K91" s="251"/>
      <c r="L91" s="251"/>
    </row>
    <row r="92" spans="1:12" x14ac:dyDescent="0.25">
      <c r="A92" s="121">
        <f t="shared" si="2"/>
        <v>44</v>
      </c>
      <c r="B92" s="14" t="s">
        <v>1549</v>
      </c>
      <c r="C92" s="261"/>
      <c r="D92" s="261"/>
      <c r="E92" s="261"/>
      <c r="F92" s="261"/>
      <c r="G92" s="47" t="str">
        <f>"Line "&amp;A90&amp;" + Line "&amp;A91&amp;""</f>
        <v>Line 42 + Line 43</v>
      </c>
      <c r="H92" s="255" t="e">
        <f>H90+H91</f>
        <v>#DIV/0!</v>
      </c>
      <c r="I92" s="251"/>
      <c r="J92" s="251"/>
      <c r="K92" s="251"/>
      <c r="L92" s="251"/>
    </row>
    <row r="93" spans="1:12" x14ac:dyDescent="0.25">
      <c r="A93" s="261"/>
      <c r="B93" s="14"/>
      <c r="C93" s="261"/>
      <c r="D93" s="261"/>
      <c r="E93" s="261"/>
      <c r="F93" s="261"/>
      <c r="G93" s="261"/>
      <c r="H93" s="261"/>
      <c r="I93" s="251"/>
      <c r="J93" s="251"/>
      <c r="K93" s="251"/>
      <c r="L93" s="251"/>
    </row>
    <row r="94" spans="1:12" x14ac:dyDescent="0.25">
      <c r="A94" s="261"/>
      <c r="B94" s="1178" t="s">
        <v>1550</v>
      </c>
      <c r="C94" s="261"/>
      <c r="D94" s="261"/>
      <c r="E94" s="261"/>
      <c r="F94" s="261"/>
      <c r="G94" s="261"/>
      <c r="H94" s="261"/>
      <c r="I94" s="251"/>
      <c r="J94" s="251"/>
      <c r="K94" s="251"/>
      <c r="L94" s="251"/>
    </row>
    <row r="95" spans="1:12" x14ac:dyDescent="0.25">
      <c r="A95" s="261"/>
      <c r="B95" s="261" t="s">
        <v>1551</v>
      </c>
      <c r="C95" s="261"/>
      <c r="D95" s="261"/>
      <c r="E95" s="261"/>
      <c r="F95" s="261"/>
      <c r="G95" s="261"/>
      <c r="H95" s="261"/>
      <c r="I95" s="251"/>
      <c r="J95" s="251"/>
      <c r="K95" s="251"/>
      <c r="L95" s="251"/>
    </row>
    <row r="96" spans="1:12" x14ac:dyDescent="0.25">
      <c r="A96" s="261"/>
      <c r="B96" s="261" t="s">
        <v>1552</v>
      </c>
      <c r="C96" s="261"/>
      <c r="D96" s="261"/>
      <c r="E96" s="261"/>
      <c r="F96" s="261"/>
      <c r="G96" s="261"/>
      <c r="H96" s="261"/>
      <c r="I96" s="251"/>
      <c r="J96" s="251"/>
      <c r="K96" s="251"/>
      <c r="L96" s="251"/>
    </row>
    <row r="97" spans="1:12" x14ac:dyDescent="0.25">
      <c r="A97" s="261"/>
      <c r="B97" s="261" t="str">
        <f>"2) Input Prior Year for this Informational Filing in Line "&amp;A42&amp;"."</f>
        <v>2) Input Prior Year for this Informational Filing in Line 13.</v>
      </c>
      <c r="C97" s="14"/>
      <c r="D97" s="14"/>
      <c r="E97" s="14"/>
      <c r="F97" s="14"/>
      <c r="G97" s="14"/>
      <c r="H97" s="14"/>
      <c r="I97" s="251"/>
      <c r="J97" s="251"/>
      <c r="K97" s="251"/>
      <c r="L97" s="251"/>
    </row>
    <row r="98" spans="1:12" x14ac:dyDescent="0.25">
      <c r="A98" s="261"/>
      <c r="B98" s="261" t="str">
        <f>"3) Calculation: (Line "&amp;A34&amp;", "&amp;H25&amp;") + ((Line "&amp;A34&amp;", "&amp;I25&amp;") * (Line "&amp;A42&amp;" - 2010))."</f>
        <v>3) Calculation: (Line 11, Col 1) + ((Line 11, Col 2) * (Line 13 - 2010)).</v>
      </c>
      <c r="C98" s="14"/>
      <c r="D98" s="14"/>
      <c r="E98" s="14"/>
      <c r="F98" s="14"/>
      <c r="G98" s="14"/>
      <c r="H98" s="14"/>
      <c r="I98" s="251"/>
      <c r="J98" s="251"/>
      <c r="K98" s="251"/>
      <c r="L98" s="251"/>
    </row>
    <row r="99" spans="1:12" x14ac:dyDescent="0.25">
      <c r="A99" s="261"/>
      <c r="B99" s="261" t="str">
        <f>"4) Franchise Fee Exclusion is equal to the Franchise Fee Factor on the 28-FFU Line "&amp;'28-FFU'!A22&amp;""</f>
        <v>4) Franchise Fee Exclusion is equal to the Franchise Fee Factor on the 28-FFU Line 5</v>
      </c>
      <c r="C99" s="261"/>
      <c r="D99" s="261"/>
      <c r="E99" s="261"/>
      <c r="F99" s="261"/>
      <c r="G99" s="261"/>
      <c r="H99" s="261"/>
      <c r="I99" s="251"/>
      <c r="J99" s="251"/>
      <c r="K99" s="251"/>
      <c r="L99" s="251"/>
    </row>
    <row r="100" spans="1:12" x14ac:dyDescent="0.25">
      <c r="A100" s="251"/>
      <c r="B100" s="251" t="str">
        <f>"times Line "&amp;A86&amp;" + "&amp;A87&amp;"."</f>
        <v>times Line 38 + 39.</v>
      </c>
      <c r="C100" s="251"/>
      <c r="D100" s="251"/>
      <c r="E100" s="251"/>
      <c r="F100" s="251"/>
      <c r="G100" s="251"/>
      <c r="H100" s="251"/>
      <c r="I100" s="251"/>
      <c r="J100" s="251"/>
      <c r="K100" s="251"/>
      <c r="L100" s="251"/>
    </row>
    <row r="101" spans="1:12" x14ac:dyDescent="0.25">
      <c r="A101" s="251"/>
      <c r="B101" s="251"/>
      <c r="C101" s="251"/>
      <c r="D101" s="251"/>
      <c r="E101" s="251"/>
      <c r="F101" s="251"/>
      <c r="G101" s="251"/>
      <c r="H101" s="251"/>
      <c r="I101" s="251"/>
      <c r="J101" s="251"/>
      <c r="K101" s="251"/>
      <c r="L101" s="251"/>
    </row>
    <row r="102" spans="1:12" x14ac:dyDescent="0.25">
      <c r="A102" s="251"/>
      <c r="B102" s="251"/>
      <c r="C102" s="251"/>
      <c r="D102" s="251"/>
      <c r="E102" s="251"/>
      <c r="F102" s="251"/>
      <c r="G102" s="251"/>
      <c r="H102" s="251"/>
      <c r="I102" s="251"/>
      <c r="J102" s="251"/>
      <c r="K102" s="251"/>
      <c r="L102" s="251"/>
    </row>
    <row r="103" spans="1:12" x14ac:dyDescent="0.25">
      <c r="A103" s="251"/>
      <c r="B103" s="251"/>
      <c r="C103" s="251"/>
      <c r="D103" s="251"/>
      <c r="E103" s="251"/>
      <c r="F103" s="251"/>
      <c r="G103" s="251"/>
      <c r="H103" s="251"/>
      <c r="I103" s="251"/>
      <c r="J103" s="251"/>
      <c r="K103" s="251"/>
      <c r="L103" s="251"/>
    </row>
    <row r="104" spans="1:12" x14ac:dyDescent="0.25">
      <c r="A104" s="251"/>
      <c r="B104" s="251"/>
      <c r="C104" s="251"/>
      <c r="D104" s="251"/>
      <c r="E104" s="251"/>
      <c r="F104" s="251"/>
      <c r="G104" s="251"/>
      <c r="H104" s="251"/>
      <c r="I104" s="251"/>
      <c r="J104" s="251"/>
      <c r="K104" s="251"/>
      <c r="L104" s="251"/>
    </row>
    <row r="105" spans="1:12" x14ac:dyDescent="0.25">
      <c r="A105" s="251"/>
      <c r="B105" s="251"/>
      <c r="C105" s="251"/>
      <c r="D105" s="251"/>
      <c r="E105" s="251"/>
      <c r="F105" s="251"/>
      <c r="G105" s="251"/>
      <c r="H105" s="251"/>
      <c r="I105" s="251"/>
      <c r="J105" s="251"/>
      <c r="K105" s="251"/>
      <c r="L105" s="251"/>
    </row>
    <row r="106" spans="1:12" x14ac:dyDescent="0.25">
      <c r="A106" s="251"/>
      <c r="B106" s="251"/>
      <c r="C106" s="251"/>
      <c r="D106" s="251"/>
      <c r="E106" s="251"/>
      <c r="F106" s="251"/>
      <c r="G106" s="251"/>
      <c r="H106" s="251"/>
      <c r="I106" s="251"/>
      <c r="J106" s="251"/>
      <c r="K106" s="251"/>
      <c r="L106" s="251"/>
    </row>
    <row r="107" spans="1:12" x14ac:dyDescent="0.25">
      <c r="A107" s="251"/>
      <c r="B107" s="251"/>
      <c r="C107" s="251"/>
      <c r="D107" s="251"/>
      <c r="E107" s="251"/>
      <c r="F107" s="251"/>
      <c r="G107" s="251"/>
      <c r="H107" s="251"/>
      <c r="I107" s="251"/>
      <c r="J107" s="251"/>
      <c r="K107" s="251"/>
      <c r="L107" s="251"/>
    </row>
    <row r="108" spans="1:12" x14ac:dyDescent="0.25">
      <c r="A108" s="251"/>
      <c r="B108" s="251"/>
      <c r="C108" s="251"/>
      <c r="D108" s="251"/>
      <c r="E108" s="251"/>
      <c r="F108" s="251"/>
      <c r="G108" s="251"/>
      <c r="H108" s="251"/>
      <c r="I108" s="251"/>
      <c r="J108" s="251"/>
      <c r="K108" s="251"/>
      <c r="L108" s="251"/>
    </row>
    <row r="109" spans="1:12" x14ac:dyDescent="0.25">
      <c r="A109" s="251"/>
      <c r="B109" s="251"/>
      <c r="C109" s="251"/>
      <c r="D109" s="251"/>
      <c r="E109" s="251"/>
      <c r="F109" s="251"/>
      <c r="G109" s="251"/>
      <c r="H109" s="251"/>
      <c r="I109" s="251"/>
      <c r="J109" s="251"/>
      <c r="K109" s="251"/>
      <c r="L109" s="251"/>
    </row>
    <row r="110" spans="1:12" x14ac:dyDescent="0.25">
      <c r="A110" s="251"/>
      <c r="B110" s="251"/>
      <c r="C110" s="251"/>
      <c r="D110" s="251"/>
      <c r="E110" s="251"/>
      <c r="F110" s="251"/>
      <c r="G110" s="251"/>
      <c r="H110" s="251"/>
      <c r="I110" s="251"/>
      <c r="J110" s="251"/>
      <c r="K110" s="251"/>
      <c r="L110" s="251"/>
    </row>
    <row r="111" spans="1:12" x14ac:dyDescent="0.25">
      <c r="A111" s="251"/>
      <c r="B111" s="251"/>
      <c r="C111" s="251"/>
      <c r="D111" s="251"/>
      <c r="E111" s="251"/>
      <c r="F111" s="251"/>
      <c r="G111" s="251"/>
      <c r="H111" s="251"/>
      <c r="I111" s="251"/>
      <c r="J111" s="251"/>
      <c r="K111" s="251"/>
      <c r="L111" s="251"/>
    </row>
    <row r="112" spans="1:12" x14ac:dyDescent="0.25">
      <c r="A112" s="251"/>
      <c r="B112" s="251"/>
      <c r="C112" s="251"/>
      <c r="D112" s="251"/>
      <c r="E112" s="251"/>
      <c r="F112" s="251"/>
      <c r="G112" s="251"/>
      <c r="H112" s="251"/>
      <c r="I112" s="251"/>
      <c r="J112" s="251"/>
      <c r="K112" s="251"/>
      <c r="L112" s="251"/>
    </row>
    <row r="113" spans="1:12" x14ac:dyDescent="0.25">
      <c r="A113" s="251"/>
      <c r="B113" s="251"/>
      <c r="C113" s="251"/>
      <c r="D113" s="251"/>
      <c r="E113" s="251"/>
      <c r="F113" s="251"/>
      <c r="G113" s="251"/>
      <c r="H113" s="251"/>
      <c r="I113" s="251"/>
      <c r="J113" s="251"/>
      <c r="K113" s="251"/>
      <c r="L113" s="251"/>
    </row>
    <row r="114" spans="1:12" x14ac:dyDescent="0.25">
      <c r="A114" s="251"/>
      <c r="B114" s="251"/>
      <c r="C114" s="251"/>
      <c r="D114" s="251"/>
      <c r="E114" s="251"/>
      <c r="F114" s="251"/>
      <c r="G114" s="251"/>
      <c r="H114" s="251"/>
      <c r="I114" s="251"/>
      <c r="J114" s="251"/>
      <c r="K114" s="251"/>
      <c r="L114" s="251"/>
    </row>
    <row r="115" spans="1:12" x14ac:dyDescent="0.25">
      <c r="A115" s="251"/>
      <c r="B115" s="251"/>
      <c r="C115" s="251"/>
      <c r="D115" s="251"/>
      <c r="E115" s="251"/>
      <c r="F115" s="251"/>
      <c r="G115" s="251"/>
      <c r="H115" s="251"/>
      <c r="I115" s="251"/>
      <c r="J115" s="251"/>
      <c r="K115" s="251"/>
      <c r="L115" s="251"/>
    </row>
    <row r="116" spans="1:12" x14ac:dyDescent="0.25">
      <c r="A116" s="251"/>
      <c r="B116" s="251"/>
      <c r="C116" s="251"/>
      <c r="D116" s="251"/>
      <c r="E116" s="251"/>
      <c r="F116" s="251"/>
      <c r="G116" s="251"/>
      <c r="H116" s="251"/>
      <c r="I116" s="251"/>
      <c r="J116" s="251"/>
      <c r="K116" s="251"/>
      <c r="L116" s="251"/>
    </row>
    <row r="117" spans="1:12" x14ac:dyDescent="0.25">
      <c r="A117" s="251"/>
      <c r="B117" s="251"/>
      <c r="C117" s="251"/>
      <c r="D117" s="251"/>
      <c r="E117" s="251"/>
      <c r="F117" s="251"/>
      <c r="G117" s="251"/>
      <c r="H117" s="251"/>
      <c r="I117" s="251"/>
      <c r="J117" s="251"/>
      <c r="K117" s="251"/>
      <c r="L117" s="251"/>
    </row>
    <row r="118" spans="1:12" x14ac:dyDescent="0.25">
      <c r="A118" s="251"/>
      <c r="B118" s="251"/>
      <c r="C118" s="251"/>
      <c r="D118" s="251"/>
      <c r="E118" s="251"/>
      <c r="F118" s="251"/>
      <c r="G118" s="251"/>
      <c r="H118" s="251"/>
      <c r="I118" s="251"/>
      <c r="J118" s="251"/>
      <c r="K118" s="251"/>
      <c r="L118" s="251"/>
    </row>
    <row r="119" spans="1:12" x14ac:dyDescent="0.25">
      <c r="A119" s="251"/>
      <c r="B119" s="251"/>
      <c r="C119" s="251"/>
      <c r="D119" s="251"/>
      <c r="E119" s="251"/>
      <c r="F119" s="251"/>
      <c r="G119" s="251"/>
      <c r="H119" s="251"/>
      <c r="I119" s="251"/>
      <c r="J119" s="251"/>
      <c r="K119" s="251"/>
      <c r="L119" s="251"/>
    </row>
    <row r="120" spans="1:12" x14ac:dyDescent="0.25">
      <c r="A120" s="251"/>
      <c r="B120" s="251"/>
      <c r="C120" s="251"/>
      <c r="D120" s="251"/>
      <c r="E120" s="251"/>
      <c r="F120" s="251"/>
      <c r="G120" s="251"/>
      <c r="H120" s="251"/>
      <c r="I120" s="251"/>
      <c r="J120" s="251"/>
      <c r="K120" s="251"/>
      <c r="L120" s="251"/>
    </row>
    <row r="121" spans="1:12" x14ac:dyDescent="0.25">
      <c r="A121" s="251"/>
      <c r="B121" s="251"/>
      <c r="C121" s="251"/>
      <c r="D121" s="251"/>
      <c r="E121" s="251"/>
      <c r="F121" s="251"/>
      <c r="G121" s="251"/>
      <c r="H121" s="251"/>
      <c r="I121" s="251"/>
      <c r="J121" s="251"/>
      <c r="K121" s="251"/>
      <c r="L121" s="251"/>
    </row>
    <row r="122" spans="1:12" x14ac:dyDescent="0.25">
      <c r="A122" s="251"/>
      <c r="B122" s="251"/>
      <c r="C122" s="251"/>
      <c r="D122" s="251"/>
      <c r="E122" s="251"/>
      <c r="F122" s="251"/>
      <c r="G122" s="251"/>
      <c r="H122" s="251"/>
      <c r="I122" s="251"/>
      <c r="J122" s="251"/>
      <c r="K122" s="251"/>
      <c r="L122" s="251"/>
    </row>
    <row r="123" spans="1:12" x14ac:dyDescent="0.25">
      <c r="A123" s="251"/>
      <c r="B123" s="251"/>
      <c r="C123" s="251"/>
      <c r="D123" s="251"/>
      <c r="E123" s="251"/>
      <c r="F123" s="251"/>
      <c r="G123" s="251"/>
      <c r="H123" s="251"/>
      <c r="I123" s="251"/>
      <c r="J123" s="251"/>
      <c r="K123" s="251"/>
      <c r="L123" s="251"/>
    </row>
    <row r="124" spans="1:12" x14ac:dyDescent="0.25">
      <c r="A124" s="251"/>
      <c r="B124" s="251"/>
      <c r="C124" s="251"/>
      <c r="D124" s="251"/>
      <c r="E124" s="251"/>
      <c r="F124" s="251"/>
      <c r="G124" s="251"/>
      <c r="H124" s="251"/>
      <c r="I124" s="251"/>
      <c r="J124" s="251"/>
      <c r="K124" s="251"/>
      <c r="L124" s="251"/>
    </row>
    <row r="125" spans="1:12" x14ac:dyDescent="0.25">
      <c r="A125" s="251"/>
      <c r="B125" s="251"/>
      <c r="C125" s="251"/>
      <c r="D125" s="251"/>
      <c r="E125" s="251"/>
      <c r="F125" s="251"/>
      <c r="G125" s="251"/>
      <c r="H125" s="251"/>
      <c r="I125" s="251"/>
      <c r="J125" s="251"/>
      <c r="K125" s="251"/>
      <c r="L125" s="251"/>
    </row>
    <row r="126" spans="1:12" x14ac:dyDescent="0.25">
      <c r="A126" s="251"/>
      <c r="B126" s="251"/>
      <c r="C126" s="251"/>
      <c r="D126" s="251"/>
      <c r="E126" s="251"/>
      <c r="F126" s="251"/>
      <c r="G126" s="251"/>
      <c r="H126" s="251"/>
      <c r="I126" s="251"/>
      <c r="J126" s="251"/>
      <c r="K126" s="251"/>
      <c r="L126" s="251"/>
    </row>
    <row r="127" spans="1:12" x14ac:dyDescent="0.25">
      <c r="A127" s="251"/>
      <c r="B127" s="251"/>
      <c r="C127" s="251"/>
      <c r="D127" s="251"/>
      <c r="E127" s="251"/>
      <c r="F127" s="251"/>
      <c r="G127" s="251"/>
      <c r="H127" s="251"/>
      <c r="I127" s="251"/>
      <c r="J127" s="251"/>
      <c r="K127" s="251"/>
      <c r="L127" s="251"/>
    </row>
    <row r="128" spans="1:12" x14ac:dyDescent="0.25">
      <c r="A128" s="251"/>
      <c r="B128" s="251"/>
      <c r="C128" s="251"/>
      <c r="D128" s="251"/>
      <c r="E128" s="251"/>
      <c r="F128" s="251"/>
      <c r="G128" s="251"/>
      <c r="H128" s="251"/>
      <c r="I128" s="251"/>
      <c r="J128" s="251"/>
      <c r="K128" s="251"/>
      <c r="L128" s="251"/>
    </row>
    <row r="129" spans="1:12" x14ac:dyDescent="0.25">
      <c r="A129" s="251"/>
      <c r="B129" s="251"/>
      <c r="C129" s="251"/>
      <c r="D129" s="251"/>
      <c r="E129" s="251"/>
      <c r="F129" s="251"/>
      <c r="G129" s="251"/>
      <c r="H129" s="251"/>
      <c r="I129" s="251"/>
      <c r="J129" s="251"/>
      <c r="K129" s="251"/>
      <c r="L129" s="251"/>
    </row>
    <row r="130" spans="1:12" x14ac:dyDescent="0.25">
      <c r="A130" s="251"/>
      <c r="B130" s="251"/>
      <c r="C130" s="251"/>
      <c r="D130" s="251"/>
      <c r="E130" s="251"/>
      <c r="F130" s="251"/>
      <c r="G130" s="251"/>
      <c r="H130" s="251"/>
      <c r="I130" s="251"/>
      <c r="J130" s="251"/>
      <c r="K130" s="251"/>
      <c r="L130" s="251"/>
    </row>
    <row r="131" spans="1:12" x14ac:dyDescent="0.25">
      <c r="A131" s="251"/>
      <c r="B131" s="251"/>
      <c r="C131" s="251"/>
      <c r="D131" s="251"/>
      <c r="E131" s="251"/>
      <c r="F131" s="251"/>
      <c r="G131" s="251"/>
      <c r="H131" s="251"/>
      <c r="I131" s="251"/>
      <c r="J131" s="251"/>
      <c r="K131" s="251"/>
      <c r="L131" s="251"/>
    </row>
    <row r="132" spans="1:12" x14ac:dyDescent="0.25">
      <c r="A132" s="251"/>
      <c r="B132" s="251"/>
      <c r="C132" s="251"/>
      <c r="D132" s="251"/>
      <c r="E132" s="251"/>
      <c r="F132" s="251"/>
      <c r="G132" s="251"/>
      <c r="H132" s="251"/>
      <c r="I132" s="251"/>
      <c r="J132" s="251"/>
      <c r="K132" s="251"/>
      <c r="L132" s="251"/>
    </row>
    <row r="133" spans="1:12" x14ac:dyDescent="0.25">
      <c r="A133" s="251"/>
      <c r="B133" s="251"/>
      <c r="C133" s="251"/>
      <c r="D133" s="251"/>
      <c r="E133" s="251"/>
      <c r="F133" s="251"/>
      <c r="G133" s="251"/>
      <c r="H133" s="251"/>
      <c r="I133" s="251"/>
      <c r="J133" s="251"/>
      <c r="K133" s="251"/>
      <c r="L133" s="251"/>
    </row>
    <row r="134" spans="1:12" x14ac:dyDescent="0.25">
      <c r="A134" s="251"/>
      <c r="B134" s="251"/>
      <c r="C134" s="251"/>
      <c r="D134" s="251"/>
      <c r="E134" s="251"/>
      <c r="F134" s="251"/>
      <c r="G134" s="251"/>
      <c r="H134" s="251"/>
      <c r="I134" s="251"/>
      <c r="J134" s="251"/>
      <c r="K134" s="251"/>
      <c r="L134" s="251"/>
    </row>
    <row r="135" spans="1:12" x14ac:dyDescent="0.25">
      <c r="A135" s="251"/>
      <c r="B135" s="251"/>
      <c r="C135" s="251"/>
      <c r="D135" s="251"/>
      <c r="E135" s="251"/>
      <c r="F135" s="251"/>
      <c r="G135" s="251"/>
      <c r="H135" s="251"/>
      <c r="I135" s="251"/>
      <c r="J135" s="251"/>
      <c r="K135" s="251"/>
      <c r="L135" s="251"/>
    </row>
    <row r="136" spans="1:12" x14ac:dyDescent="0.25">
      <c r="A136" s="251"/>
      <c r="B136" s="251"/>
      <c r="C136" s="251"/>
      <c r="D136" s="251"/>
      <c r="E136" s="251"/>
      <c r="F136" s="251"/>
      <c r="G136" s="251"/>
      <c r="H136" s="251"/>
      <c r="I136" s="251"/>
      <c r="J136" s="251"/>
      <c r="K136" s="251"/>
      <c r="L136" s="251"/>
    </row>
    <row r="137" spans="1:12" x14ac:dyDescent="0.25">
      <c r="A137" s="251"/>
      <c r="B137" s="251"/>
      <c r="C137" s="251"/>
      <c r="D137" s="251"/>
      <c r="E137" s="251"/>
      <c r="F137" s="251"/>
      <c r="G137" s="251"/>
      <c r="H137" s="251"/>
      <c r="I137" s="251"/>
      <c r="J137" s="251"/>
      <c r="K137" s="251"/>
      <c r="L137" s="251"/>
    </row>
    <row r="138" spans="1:12" x14ac:dyDescent="0.25">
      <c r="A138" s="251"/>
      <c r="B138" s="251"/>
      <c r="C138" s="251"/>
      <c r="D138" s="251"/>
      <c r="E138" s="251"/>
      <c r="F138" s="251"/>
      <c r="G138" s="251"/>
      <c r="H138" s="251"/>
      <c r="I138" s="251"/>
      <c r="J138" s="251"/>
      <c r="K138" s="251"/>
      <c r="L138" s="251"/>
    </row>
    <row r="139" spans="1:12" x14ac:dyDescent="0.25">
      <c r="A139" s="251"/>
      <c r="B139" s="251"/>
      <c r="C139" s="251"/>
      <c r="D139" s="251"/>
      <c r="E139" s="251"/>
      <c r="F139" s="251"/>
      <c r="G139" s="251"/>
      <c r="H139" s="251"/>
      <c r="I139" s="251"/>
      <c r="J139" s="251"/>
      <c r="K139" s="251"/>
      <c r="L139" s="251"/>
    </row>
    <row r="140" spans="1:12" x14ac:dyDescent="0.25">
      <c r="A140" s="251"/>
      <c r="B140" s="251"/>
      <c r="C140" s="251"/>
      <c r="D140" s="251"/>
      <c r="E140" s="251"/>
      <c r="F140" s="251"/>
      <c r="G140" s="251"/>
      <c r="H140" s="251"/>
      <c r="I140" s="251"/>
      <c r="J140" s="251"/>
      <c r="K140" s="251"/>
      <c r="L140" s="251"/>
    </row>
    <row r="141" spans="1:12" x14ac:dyDescent="0.25">
      <c r="A141" s="251"/>
      <c r="B141" s="251"/>
      <c r="C141" s="251"/>
      <c r="D141" s="251"/>
      <c r="E141" s="251"/>
      <c r="F141" s="251"/>
      <c r="G141" s="251"/>
      <c r="H141" s="251"/>
      <c r="I141" s="251"/>
      <c r="J141" s="251"/>
      <c r="K141" s="251"/>
      <c r="L141" s="251"/>
    </row>
    <row r="142" spans="1:12" x14ac:dyDescent="0.25">
      <c r="A142" s="251"/>
      <c r="B142" s="251"/>
      <c r="C142" s="251"/>
      <c r="D142" s="251"/>
      <c r="E142" s="251"/>
      <c r="F142" s="251"/>
      <c r="G142" s="251"/>
      <c r="H142" s="251"/>
      <c r="I142" s="251"/>
      <c r="J142" s="251"/>
      <c r="K142" s="251"/>
      <c r="L142" s="251"/>
    </row>
    <row r="143" spans="1:12" x14ac:dyDescent="0.25">
      <c r="A143" s="251"/>
      <c r="B143" s="251"/>
      <c r="C143" s="251"/>
      <c r="D143" s="251"/>
      <c r="E143" s="251"/>
      <c r="F143" s="251"/>
      <c r="G143" s="251"/>
      <c r="H143" s="251"/>
      <c r="I143" s="251"/>
      <c r="J143" s="251"/>
      <c r="K143" s="251"/>
      <c r="L143" s="251"/>
    </row>
    <row r="144" spans="1:12" x14ac:dyDescent="0.25">
      <c r="A144" s="251"/>
      <c r="B144" s="251"/>
      <c r="C144" s="251"/>
      <c r="D144" s="251"/>
      <c r="E144" s="251"/>
      <c r="F144" s="251"/>
      <c r="G144" s="251"/>
      <c r="H144" s="251"/>
      <c r="I144" s="251"/>
      <c r="J144" s="251"/>
      <c r="K144" s="251"/>
      <c r="L144" s="251"/>
    </row>
    <row r="145" spans="1:12" x14ac:dyDescent="0.25">
      <c r="A145" s="251"/>
      <c r="B145" s="251"/>
      <c r="C145" s="251"/>
      <c r="D145" s="251"/>
      <c r="E145" s="251"/>
      <c r="F145" s="251"/>
      <c r="G145" s="251"/>
      <c r="H145" s="251"/>
      <c r="I145" s="251"/>
      <c r="J145" s="251"/>
      <c r="K145" s="251"/>
      <c r="L145" s="251"/>
    </row>
    <row r="146" spans="1:12" x14ac:dyDescent="0.25">
      <c r="A146" s="251"/>
      <c r="B146" s="251"/>
      <c r="C146" s="251"/>
      <c r="D146" s="251"/>
      <c r="E146" s="251"/>
      <c r="F146" s="251"/>
      <c r="G146" s="251"/>
      <c r="H146" s="251"/>
      <c r="I146" s="251"/>
      <c r="J146" s="251"/>
      <c r="K146" s="251"/>
      <c r="L146" s="251"/>
    </row>
    <row r="147" spans="1:12" x14ac:dyDescent="0.25">
      <c r="A147" s="251"/>
      <c r="B147" s="251"/>
      <c r="C147" s="251"/>
      <c r="D147" s="251"/>
      <c r="E147" s="251"/>
      <c r="F147" s="251"/>
      <c r="G147" s="251"/>
      <c r="H147" s="251"/>
      <c r="I147" s="251"/>
      <c r="J147" s="251"/>
      <c r="K147" s="251"/>
      <c r="L147" s="251"/>
    </row>
    <row r="148" spans="1:12" x14ac:dyDescent="0.25">
      <c r="A148" s="251"/>
      <c r="B148" s="251"/>
      <c r="C148" s="251"/>
      <c r="D148" s="251"/>
      <c r="E148" s="251"/>
      <c r="F148" s="251"/>
      <c r="G148" s="251"/>
      <c r="H148" s="251"/>
      <c r="I148" s="251"/>
      <c r="J148" s="251"/>
      <c r="K148" s="251"/>
      <c r="L148" s="251"/>
    </row>
    <row r="149" spans="1:12" x14ac:dyDescent="0.25">
      <c r="A149" s="251"/>
      <c r="B149" s="251"/>
      <c r="C149" s="251"/>
      <c r="D149" s="251"/>
      <c r="E149" s="251"/>
      <c r="F149" s="251"/>
      <c r="G149" s="251"/>
      <c r="H149" s="251"/>
      <c r="I149" s="251"/>
      <c r="J149" s="251"/>
      <c r="K149" s="251"/>
      <c r="L149" s="251"/>
    </row>
    <row r="150" spans="1:12" x14ac:dyDescent="0.25">
      <c r="A150" s="251"/>
      <c r="B150" s="251"/>
      <c r="C150" s="251"/>
      <c r="D150" s="251"/>
      <c r="E150" s="251"/>
      <c r="F150" s="251"/>
      <c r="G150" s="251"/>
      <c r="H150" s="251"/>
      <c r="I150" s="251"/>
      <c r="J150" s="251"/>
      <c r="K150" s="251"/>
      <c r="L150" s="251"/>
    </row>
    <row r="151" spans="1:12" x14ac:dyDescent="0.25">
      <c r="A151" s="251"/>
      <c r="B151" s="251"/>
      <c r="C151" s="251"/>
      <c r="D151" s="251"/>
      <c r="E151" s="251"/>
      <c r="F151" s="251"/>
      <c r="G151" s="251"/>
      <c r="H151" s="251"/>
      <c r="I151" s="251"/>
      <c r="J151" s="251"/>
      <c r="K151" s="251"/>
      <c r="L151" s="251"/>
    </row>
    <row r="152" spans="1:12" x14ac:dyDescent="0.25">
      <c r="A152" s="251"/>
      <c r="B152" s="251"/>
      <c r="C152" s="251"/>
      <c r="D152" s="251"/>
      <c r="E152" s="251"/>
      <c r="F152" s="251"/>
      <c r="G152" s="251"/>
      <c r="H152" s="251"/>
      <c r="I152" s="251"/>
      <c r="J152" s="251"/>
      <c r="K152" s="251"/>
      <c r="L152" s="251"/>
    </row>
  </sheetData>
  <pageMargins left="0.7" right="0.7" top="0.75" bottom="0.75" header="0.3" footer="0.3"/>
  <pageSetup scale="80" orientation="portrait" cellComments="asDisplayed" r:id="rId1"/>
  <headerFooter>
    <oddHeader>&amp;CSchedule 25
Wholesale Differences to Base TRR
&amp;"Arial,Bold"Attachment 5</oddHeader>
    <oddFooter>&amp;R&amp;A</oddFooter>
  </headerFooter>
  <rowBreaks count="1" manualBreakCount="1">
    <brk id="67" max="9"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9"/>
  <sheetViews>
    <sheetView zoomScaleNormal="100" workbookViewId="0"/>
  </sheetViews>
  <sheetFormatPr defaultRowHeight="13.2" x14ac:dyDescent="0.25"/>
  <cols>
    <col min="1" max="1" width="4.6640625" customWidth="1"/>
    <col min="2" max="2" width="3.6640625" customWidth="1"/>
    <col min="3" max="3" width="18.6640625" customWidth="1"/>
    <col min="4" max="4" width="14.6640625" customWidth="1"/>
    <col min="5" max="5" width="45.6640625" customWidth="1"/>
    <col min="6" max="6" width="12.109375" bestFit="1" customWidth="1"/>
  </cols>
  <sheetData>
    <row r="1" spans="1:5" x14ac:dyDescent="0.25">
      <c r="A1" s="1" t="s">
        <v>451</v>
      </c>
    </row>
    <row r="3" spans="1:5" x14ac:dyDescent="0.25">
      <c r="B3" s="1" t="s">
        <v>43</v>
      </c>
      <c r="E3" s="105" t="s">
        <v>17</v>
      </c>
    </row>
    <row r="4" spans="1:5" x14ac:dyDescent="0.25">
      <c r="D4" s="2" t="s">
        <v>44</v>
      </c>
    </row>
    <row r="5" spans="1:5" x14ac:dyDescent="0.25">
      <c r="C5" s="2" t="s">
        <v>446</v>
      </c>
      <c r="D5" s="2" t="s">
        <v>448</v>
      </c>
    </row>
    <row r="6" spans="1:5" x14ac:dyDescent="0.25">
      <c r="A6" s="3" t="s">
        <v>360</v>
      </c>
      <c r="C6" s="3" t="s">
        <v>212</v>
      </c>
      <c r="D6" s="3" t="s">
        <v>452</v>
      </c>
      <c r="E6" s="3" t="s">
        <v>198</v>
      </c>
    </row>
    <row r="7" spans="1:5" x14ac:dyDescent="0.25">
      <c r="A7" s="2">
        <v>1</v>
      </c>
      <c r="C7" s="164"/>
      <c r="D7" s="714">
        <f>D71</f>
        <v>0</v>
      </c>
      <c r="E7" s="1137" t="s">
        <v>2062</v>
      </c>
    </row>
    <row r="8" spans="1:5" x14ac:dyDescent="0.25">
      <c r="A8" s="2">
        <f>A7+1</f>
        <v>2</v>
      </c>
      <c r="E8" s="550"/>
    </row>
    <row r="9" spans="1:5" x14ac:dyDescent="0.25">
      <c r="A9" s="2">
        <f t="shared" ref="A9:A58" si="0">A8+1</f>
        <v>3</v>
      </c>
      <c r="B9" s="1" t="s">
        <v>45</v>
      </c>
    </row>
    <row r="10" spans="1:5" x14ac:dyDescent="0.25">
      <c r="A10" s="2">
        <f t="shared" si="0"/>
        <v>4</v>
      </c>
      <c r="B10" s="1"/>
      <c r="D10" s="2"/>
    </row>
    <row r="11" spans="1:5" x14ac:dyDescent="0.25">
      <c r="A11" s="2">
        <f t="shared" si="0"/>
        <v>5</v>
      </c>
      <c r="D11" s="2" t="s">
        <v>310</v>
      </c>
    </row>
    <row r="12" spans="1:5" x14ac:dyDescent="0.25">
      <c r="A12" s="2">
        <f t="shared" si="0"/>
        <v>6</v>
      </c>
      <c r="C12" s="2" t="s">
        <v>446</v>
      </c>
      <c r="D12" s="2" t="s">
        <v>448</v>
      </c>
    </row>
    <row r="13" spans="1:5" x14ac:dyDescent="0.25">
      <c r="A13" s="2">
        <f t="shared" si="0"/>
        <v>7</v>
      </c>
      <c r="C13" s="3" t="s">
        <v>212</v>
      </c>
      <c r="D13" s="3" t="s">
        <v>449</v>
      </c>
      <c r="E13" s="3" t="s">
        <v>198</v>
      </c>
    </row>
    <row r="14" spans="1:5" x14ac:dyDescent="0.25">
      <c r="A14" s="2">
        <f t="shared" si="0"/>
        <v>8</v>
      </c>
      <c r="C14" s="164"/>
      <c r="D14" s="72">
        <f>D51</f>
        <v>0</v>
      </c>
      <c r="E14" s="13" t="str">
        <f>"1) See calculation below on Line "&amp;A51&amp;" based on inputs"</f>
        <v>1) See calculation below on Line 45 based on inputs</v>
      </c>
    </row>
    <row r="15" spans="1:5" x14ac:dyDescent="0.25">
      <c r="A15" s="2">
        <f t="shared" si="0"/>
        <v>9</v>
      </c>
      <c r="C15" s="56"/>
      <c r="D15" s="14"/>
      <c r="E15" s="13" t="s">
        <v>320</v>
      </c>
    </row>
    <row r="16" spans="1:5" x14ac:dyDescent="0.25">
      <c r="A16" s="2">
        <f t="shared" si="0"/>
        <v>10</v>
      </c>
      <c r="C16" s="56"/>
      <c r="D16" s="14"/>
      <c r="E16" s="16" t="s">
        <v>450</v>
      </c>
    </row>
    <row r="17" spans="1:5" x14ac:dyDescent="0.25">
      <c r="A17" s="2">
        <f t="shared" si="0"/>
        <v>11</v>
      </c>
      <c r="C17" s="63"/>
      <c r="E17" s="16"/>
    </row>
    <row r="18" spans="1:5" x14ac:dyDescent="0.25">
      <c r="A18" s="2">
        <f t="shared" si="0"/>
        <v>12</v>
      </c>
      <c r="C18" s="1" t="s">
        <v>408</v>
      </c>
      <c r="E18" s="16"/>
    </row>
    <row r="19" spans="1:5" x14ac:dyDescent="0.25">
      <c r="A19" s="2">
        <f t="shared" si="0"/>
        <v>13</v>
      </c>
      <c r="E19" s="16"/>
    </row>
    <row r="20" spans="1:5" x14ac:dyDescent="0.25">
      <c r="A20" s="2">
        <f t="shared" si="0"/>
        <v>14</v>
      </c>
      <c r="C20" s="2"/>
      <c r="D20" s="2" t="s">
        <v>35</v>
      </c>
    </row>
    <row r="21" spans="1:5" x14ac:dyDescent="0.25">
      <c r="A21" s="2">
        <f t="shared" si="0"/>
        <v>15</v>
      </c>
      <c r="C21" s="3" t="s">
        <v>41</v>
      </c>
      <c r="D21" s="3" t="s">
        <v>453</v>
      </c>
      <c r="E21" s="3" t="s">
        <v>198</v>
      </c>
    </row>
    <row r="22" spans="1:5" x14ac:dyDescent="0.25">
      <c r="A22" s="2">
        <f t="shared" si="0"/>
        <v>16</v>
      </c>
      <c r="C22" t="s">
        <v>37</v>
      </c>
      <c r="D22" s="51"/>
      <c r="E22" s="73" t="s">
        <v>445</v>
      </c>
    </row>
    <row r="23" spans="1:5" x14ac:dyDescent="0.25">
      <c r="A23" s="2">
        <f t="shared" si="0"/>
        <v>17</v>
      </c>
      <c r="C23" t="s">
        <v>38</v>
      </c>
      <c r="D23" s="51"/>
      <c r="E23" s="162"/>
    </row>
    <row r="24" spans="1:5" x14ac:dyDescent="0.25">
      <c r="A24" s="2">
        <f t="shared" si="0"/>
        <v>18</v>
      </c>
      <c r="C24" t="s">
        <v>39</v>
      </c>
      <c r="D24" s="51"/>
      <c r="E24" s="70"/>
    </row>
    <row r="25" spans="1:5" x14ac:dyDescent="0.25">
      <c r="A25" s="2">
        <f t="shared" si="0"/>
        <v>19</v>
      </c>
      <c r="C25" t="s">
        <v>40</v>
      </c>
      <c r="D25" s="51"/>
      <c r="E25" s="71"/>
    </row>
    <row r="26" spans="1:5" x14ac:dyDescent="0.25">
      <c r="A26" s="2">
        <f t="shared" si="0"/>
        <v>20</v>
      </c>
      <c r="D26" s="72"/>
      <c r="E26" s="71"/>
    </row>
    <row r="27" spans="1:5" x14ac:dyDescent="0.25">
      <c r="A27" s="2">
        <f t="shared" si="0"/>
        <v>21</v>
      </c>
      <c r="D27" s="2" t="s">
        <v>42</v>
      </c>
    </row>
    <row r="28" spans="1:5" x14ac:dyDescent="0.25">
      <c r="A28" s="2">
        <f t="shared" si="0"/>
        <v>22</v>
      </c>
      <c r="C28" s="3" t="s">
        <v>41</v>
      </c>
      <c r="D28" s="3" t="s">
        <v>447</v>
      </c>
    </row>
    <row r="29" spans="1:5" x14ac:dyDescent="0.25">
      <c r="A29" s="2">
        <f t="shared" si="0"/>
        <v>23</v>
      </c>
      <c r="C29" t="s">
        <v>37</v>
      </c>
      <c r="D29" s="51"/>
      <c r="E29" s="162" t="s">
        <v>553</v>
      </c>
    </row>
    <row r="30" spans="1:5" x14ac:dyDescent="0.25">
      <c r="A30" s="2">
        <f t="shared" si="0"/>
        <v>24</v>
      </c>
      <c r="C30" t="s">
        <v>38</v>
      </c>
      <c r="D30" s="51"/>
      <c r="E30" s="1241" t="s">
        <v>2026</v>
      </c>
    </row>
    <row r="31" spans="1:5" x14ac:dyDescent="0.25">
      <c r="A31" s="2">
        <f t="shared" si="0"/>
        <v>25</v>
      </c>
      <c r="C31" t="s">
        <v>39</v>
      </c>
      <c r="D31" s="51"/>
    </row>
    <row r="32" spans="1:5" x14ac:dyDescent="0.25">
      <c r="A32" s="2">
        <f t="shared" si="0"/>
        <v>26</v>
      </c>
      <c r="C32" t="s">
        <v>40</v>
      </c>
      <c r="D32" s="459"/>
    </row>
    <row r="33" spans="1:5" x14ac:dyDescent="0.25">
      <c r="A33" s="2">
        <f t="shared" si="0"/>
        <v>27</v>
      </c>
    </row>
    <row r="34" spans="1:5" x14ac:dyDescent="0.25">
      <c r="A34" s="545">
        <f t="shared" si="0"/>
        <v>28</v>
      </c>
      <c r="D34" s="2" t="s">
        <v>1368</v>
      </c>
    </row>
    <row r="35" spans="1:5" x14ac:dyDescent="0.25">
      <c r="A35" s="545">
        <f t="shared" si="0"/>
        <v>29</v>
      </c>
      <c r="D35" s="545" t="s">
        <v>1645</v>
      </c>
    </row>
    <row r="36" spans="1:5" x14ac:dyDescent="0.25">
      <c r="A36" s="545">
        <f t="shared" si="0"/>
        <v>30</v>
      </c>
      <c r="D36" s="461" t="s">
        <v>1646</v>
      </c>
    </row>
    <row r="37" spans="1:5" x14ac:dyDescent="0.25">
      <c r="A37" s="545">
        <f t="shared" si="0"/>
        <v>31</v>
      </c>
      <c r="D37" s="545" t="s">
        <v>37</v>
      </c>
    </row>
    <row r="38" spans="1:5" x14ac:dyDescent="0.25">
      <c r="A38" s="545">
        <f t="shared" si="0"/>
        <v>32</v>
      </c>
      <c r="C38" s="3" t="s">
        <v>41</v>
      </c>
      <c r="D38" s="3" t="s">
        <v>1647</v>
      </c>
    </row>
    <row r="39" spans="1:5" x14ac:dyDescent="0.25">
      <c r="A39" s="545">
        <f t="shared" si="0"/>
        <v>33</v>
      </c>
      <c r="C39" t="s">
        <v>37</v>
      </c>
      <c r="D39" s="51"/>
      <c r="E39" s="516" t="s">
        <v>1501</v>
      </c>
    </row>
    <row r="40" spans="1:5" x14ac:dyDescent="0.25">
      <c r="A40" s="545">
        <f t="shared" si="0"/>
        <v>34</v>
      </c>
      <c r="C40" t="s">
        <v>38</v>
      </c>
      <c r="D40" s="51"/>
      <c r="E40" s="14" t="s">
        <v>1502</v>
      </c>
    </row>
    <row r="41" spans="1:5" x14ac:dyDescent="0.25">
      <c r="A41" s="545">
        <f t="shared" si="0"/>
        <v>35</v>
      </c>
      <c r="C41" t="s">
        <v>39</v>
      </c>
      <c r="D41" s="51"/>
    </row>
    <row r="42" spans="1:5" x14ac:dyDescent="0.25">
      <c r="A42" s="545">
        <f t="shared" si="0"/>
        <v>36</v>
      </c>
      <c r="C42" t="s">
        <v>40</v>
      </c>
      <c r="D42" s="459"/>
    </row>
    <row r="43" spans="1:5" x14ac:dyDescent="0.25">
      <c r="A43" s="545">
        <f t="shared" si="0"/>
        <v>37</v>
      </c>
      <c r="D43" s="460"/>
    </row>
    <row r="44" spans="1:5" x14ac:dyDescent="0.25">
      <c r="A44" s="545">
        <f t="shared" si="0"/>
        <v>38</v>
      </c>
      <c r="D44" s="2" t="s">
        <v>1366</v>
      </c>
    </row>
    <row r="45" spans="1:5" x14ac:dyDescent="0.25">
      <c r="A45" s="545">
        <f t="shared" si="0"/>
        <v>39</v>
      </c>
      <c r="C45" s="3" t="s">
        <v>41</v>
      </c>
      <c r="D45" s="3" t="s">
        <v>1367</v>
      </c>
    </row>
    <row r="46" spans="1:5" x14ac:dyDescent="0.25">
      <c r="A46" s="545">
        <f t="shared" si="0"/>
        <v>40</v>
      </c>
      <c r="C46" t="s">
        <v>37</v>
      </c>
      <c r="D46" s="72">
        <f>D22*D29*D39</f>
        <v>0</v>
      </c>
      <c r="E46" s="13" t="str">
        <f>"Line "&amp;A22&amp;" * Line "&amp;A29&amp;" * Line "&amp;A39&amp;""</f>
        <v>Line 16 * Line 23 * Line 33</v>
      </c>
    </row>
    <row r="47" spans="1:5" x14ac:dyDescent="0.25">
      <c r="A47" s="545">
        <f t="shared" si="0"/>
        <v>41</v>
      </c>
      <c r="C47" t="s">
        <v>38</v>
      </c>
      <c r="D47" s="72">
        <f>D23*D30*D40</f>
        <v>0</v>
      </c>
      <c r="E47" s="13" t="str">
        <f>"Line "&amp;A23&amp;" * Line "&amp;A30&amp;" * Line "&amp;A40&amp;""</f>
        <v>Line 17 * Line 24 * Line 34</v>
      </c>
    </row>
    <row r="48" spans="1:5" x14ac:dyDescent="0.25">
      <c r="A48" s="545">
        <f t="shared" si="0"/>
        <v>42</v>
      </c>
      <c r="C48" t="s">
        <v>39</v>
      </c>
      <c r="D48" s="72">
        <f>D24*D31*D41</f>
        <v>0</v>
      </c>
      <c r="E48" s="13" t="str">
        <f>"Line "&amp;A24&amp;" * Line "&amp;A31&amp;" * Line "&amp;A41&amp;""</f>
        <v>Line 18 * Line 25 * Line 35</v>
      </c>
    </row>
    <row r="49" spans="1:9" x14ac:dyDescent="0.25">
      <c r="A49" s="545">
        <f t="shared" si="0"/>
        <v>43</v>
      </c>
      <c r="C49" t="s">
        <v>40</v>
      </c>
      <c r="D49" s="72">
        <f>D25*D32*D42</f>
        <v>0</v>
      </c>
      <c r="E49" s="13" t="str">
        <f>"Line "&amp;A25&amp;" * Line "&amp;A32&amp;" * Line "&amp;A42&amp;""</f>
        <v>Line 19 * Line 26 * Line 36</v>
      </c>
    </row>
    <row r="50" spans="1:9" x14ac:dyDescent="0.25">
      <c r="A50" s="545">
        <f t="shared" si="0"/>
        <v>44</v>
      </c>
      <c r="C50" s="74" t="s">
        <v>310</v>
      </c>
    </row>
    <row r="51" spans="1:9" x14ac:dyDescent="0.25">
      <c r="A51" s="545">
        <f t="shared" si="0"/>
        <v>45</v>
      </c>
      <c r="C51" s="74" t="s">
        <v>309</v>
      </c>
      <c r="D51" s="460">
        <f>SUM(D46:D49)</f>
        <v>0</v>
      </c>
      <c r="E51" s="13" t="str">
        <f>"Sum of Lines "&amp;A46&amp;" to "&amp;A49&amp;""</f>
        <v>Sum of Lines 40 to 43</v>
      </c>
    </row>
    <row r="52" spans="1:9" x14ac:dyDescent="0.25">
      <c r="A52" s="666">
        <f t="shared" si="0"/>
        <v>46</v>
      </c>
      <c r="E52" s="13"/>
    </row>
    <row r="53" spans="1:9" ht="12.75" customHeight="1" x14ac:dyDescent="0.25">
      <c r="A53" s="666">
        <f t="shared" si="0"/>
        <v>47</v>
      </c>
      <c r="B53" s="1" t="s">
        <v>1886</v>
      </c>
      <c r="E53" s="16"/>
    </row>
    <row r="54" spans="1:9" ht="12.75" customHeight="1" x14ac:dyDescent="0.25">
      <c r="A54" s="666">
        <f t="shared" si="0"/>
        <v>48</v>
      </c>
      <c r="E54" s="125"/>
      <c r="F54" s="3" t="s">
        <v>194</v>
      </c>
    </row>
    <row r="55" spans="1:9" ht="12.75" customHeight="1" x14ac:dyDescent="0.25">
      <c r="A55" s="121">
        <f t="shared" si="0"/>
        <v>49</v>
      </c>
      <c r="B55" s="14"/>
      <c r="C55" s="14" t="str">
        <f>"Total Electric Payroll Tax Expense (From 1-BaseTRR, Line "&amp;'1-BaseTRR'!A52&amp;")"</f>
        <v>Total Electric Payroll Tax Expense (From 1-BaseTRR, Line 30)</v>
      </c>
      <c r="D55" s="14"/>
      <c r="E55" s="14"/>
      <c r="F55" s="7">
        <f>'1-BaseTRR'!K52</f>
        <v>0</v>
      </c>
      <c r="G55" s="12"/>
    </row>
    <row r="56" spans="1:9" ht="12.75" customHeight="1" x14ac:dyDescent="0.25">
      <c r="A56" s="121">
        <f t="shared" si="0"/>
        <v>50</v>
      </c>
      <c r="B56" s="14"/>
      <c r="C56" s="553" t="s">
        <v>2166</v>
      </c>
      <c r="D56" s="14"/>
      <c r="E56" s="14"/>
      <c r="F56" s="719"/>
      <c r="G56" s="12"/>
    </row>
    <row r="57" spans="1:9" ht="12.75" customHeight="1" x14ac:dyDescent="0.25">
      <c r="A57" s="121">
        <f t="shared" si="0"/>
        <v>51</v>
      </c>
      <c r="B57" s="14"/>
      <c r="C57" s="553" t="str">
        <f>"Capitalized Overhead portion of Electric Payroll Tax Expense (Line "&amp;A55&amp;" * Line "&amp;A56&amp;")"</f>
        <v>Capitalized Overhead portion of Electric Payroll Tax Expense (Line 49 * Line 50)</v>
      </c>
      <c r="D57" s="14"/>
      <c r="E57" s="14"/>
      <c r="F57" s="525">
        <f>F55*F56</f>
        <v>0</v>
      </c>
      <c r="G57" s="553"/>
      <c r="H57" s="14"/>
      <c r="I57" s="553"/>
    </row>
    <row r="58" spans="1:9" x14ac:dyDescent="0.25">
      <c r="A58" s="121">
        <f t="shared" si="0"/>
        <v>52</v>
      </c>
      <c r="B58" s="14"/>
      <c r="C58" s="553" t="str">
        <f>"Non-Capitalized Overhead portion of Electric Payroll Tax Expense (Line "&amp;A55&amp;" - Line "&amp;A57&amp;")"</f>
        <v>Non-Capitalized Overhead portion of Electric Payroll Tax Expense (Line 49 - Line 51)</v>
      </c>
      <c r="D58" s="14"/>
      <c r="E58" s="14"/>
      <c r="F58" s="7">
        <f>F55-F57</f>
        <v>0</v>
      </c>
      <c r="G58" s="12"/>
      <c r="H58" s="14"/>
    </row>
    <row r="60" spans="1:9" x14ac:dyDescent="0.25">
      <c r="B60" s="53" t="s">
        <v>256</v>
      </c>
    </row>
    <row r="61" spans="1:9" x14ac:dyDescent="0.25">
      <c r="B61" s="540" t="s">
        <v>1632</v>
      </c>
    </row>
    <row r="62" spans="1:9" x14ac:dyDescent="0.25">
      <c r="B62" s="540" t="s">
        <v>1629</v>
      </c>
    </row>
    <row r="63" spans="1:9" x14ac:dyDescent="0.25">
      <c r="B63" s="12" t="s">
        <v>1631</v>
      </c>
    </row>
    <row r="64" spans="1:9" x14ac:dyDescent="0.25">
      <c r="B64" s="541" t="s">
        <v>1630</v>
      </c>
    </row>
    <row r="65" spans="2:6" x14ac:dyDescent="0.25">
      <c r="B65" s="541"/>
      <c r="C65" s="553" t="s">
        <v>2053</v>
      </c>
      <c r="D65" s="14"/>
    </row>
    <row r="66" spans="2:6" x14ac:dyDescent="0.25">
      <c r="B66" s="541"/>
      <c r="C66" s="553"/>
      <c r="D66" s="14"/>
    </row>
    <row r="67" spans="2:6" x14ac:dyDescent="0.25">
      <c r="B67" s="541"/>
      <c r="C67" s="1165" t="s">
        <v>2061</v>
      </c>
      <c r="D67" s="1165" t="s">
        <v>2060</v>
      </c>
    </row>
    <row r="68" spans="2:6" x14ac:dyDescent="0.25">
      <c r="B68" s="135"/>
      <c r="C68" s="406" t="s">
        <v>2054</v>
      </c>
      <c r="D68" s="406" t="s">
        <v>2055</v>
      </c>
      <c r="E68" s="46" t="s">
        <v>2056</v>
      </c>
      <c r="F68" s="14"/>
    </row>
    <row r="69" spans="2:6" x14ac:dyDescent="0.25">
      <c r="B69" s="806" t="s">
        <v>1936</v>
      </c>
      <c r="C69" s="713"/>
      <c r="D69" s="105"/>
      <c r="E69" s="553" t="s">
        <v>2057</v>
      </c>
      <c r="F69" s="14"/>
    </row>
    <row r="70" spans="2:6" x14ac:dyDescent="0.25">
      <c r="B70" s="806" t="s">
        <v>1937</v>
      </c>
      <c r="C70" s="561"/>
      <c r="D70" s="105"/>
      <c r="E70" s="553" t="s">
        <v>2058</v>
      </c>
      <c r="F70" s="14"/>
    </row>
    <row r="71" spans="2:6" x14ac:dyDescent="0.25">
      <c r="B71" s="806" t="s">
        <v>1938</v>
      </c>
      <c r="C71" s="1151" t="s">
        <v>2059</v>
      </c>
      <c r="D71" s="85">
        <f>((C69*D69)+(C70*D70))/365</f>
        <v>0</v>
      </c>
      <c r="E71" s="717" t="s">
        <v>2063</v>
      </c>
      <c r="F71" s="14"/>
    </row>
    <row r="72" spans="2:6" x14ac:dyDescent="0.25">
      <c r="B72" s="1242" t="s">
        <v>2031</v>
      </c>
      <c r="C72" s="14"/>
      <c r="D72" s="105"/>
      <c r="E72" s="105"/>
      <c r="F72" s="105"/>
    </row>
    <row r="73" spans="2:6" x14ac:dyDescent="0.25">
      <c r="B73" s="1242" t="s">
        <v>2032</v>
      </c>
      <c r="C73" s="14"/>
      <c r="D73" s="14"/>
      <c r="E73" s="14"/>
      <c r="F73" s="14"/>
    </row>
    <row r="74" spans="2:6" x14ac:dyDescent="0.25">
      <c r="B74" s="823" t="s">
        <v>2030</v>
      </c>
      <c r="C74" s="14"/>
      <c r="D74" s="105"/>
      <c r="E74" s="105"/>
      <c r="F74" s="105"/>
    </row>
    <row r="75" spans="2:6" x14ac:dyDescent="0.25">
      <c r="B75" s="823" t="s">
        <v>2027</v>
      </c>
      <c r="C75" s="14"/>
      <c r="D75" s="561"/>
      <c r="E75" s="105"/>
      <c r="F75" s="105"/>
    </row>
    <row r="76" spans="2:6" x14ac:dyDescent="0.25">
      <c r="B76" s="823" t="s">
        <v>2028</v>
      </c>
      <c r="C76" s="14"/>
      <c r="D76" s="561"/>
      <c r="E76" s="105"/>
      <c r="F76" s="105"/>
    </row>
    <row r="77" spans="2:6" x14ac:dyDescent="0.25">
      <c r="B77" s="823" t="s">
        <v>2029</v>
      </c>
      <c r="C77" s="14"/>
      <c r="D77" s="561"/>
      <c r="E77" s="105"/>
      <c r="F77" s="105"/>
    </row>
    <row r="78" spans="2:6" x14ac:dyDescent="0.25">
      <c r="B78" s="553" t="s">
        <v>2167</v>
      </c>
      <c r="C78" s="14"/>
      <c r="D78" s="14"/>
      <c r="E78" s="561"/>
    </row>
    <row r="79" spans="2:6" x14ac:dyDescent="0.25">
      <c r="B79" s="550" t="s">
        <v>2168</v>
      </c>
      <c r="C79" s="14"/>
      <c r="D79" s="14"/>
      <c r="E79" s="623"/>
    </row>
  </sheetData>
  <phoneticPr fontId="12" type="noConversion"/>
  <pageMargins left="0.75" right="0.75" top="1" bottom="1" header="0.5" footer="0.5"/>
  <pageSetup scale="75" orientation="portrait" cellComments="asDisplayed" r:id="rId1"/>
  <headerFooter alignWithMargins="0">
    <oddHeader>&amp;CSchedule 26
Tax Rates
&amp;"Arial,Bold"Attachment 5</oddHeader>
    <oddFooter>&amp;R&amp;A</oddFooter>
  </headerFooter>
  <rowBreaks count="1" manualBreakCount="1">
    <brk id="59" max="16383"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8"/>
  <sheetViews>
    <sheetView zoomScale="90" zoomScaleNormal="90" workbookViewId="0">
      <selection activeCell="E5" sqref="E5"/>
    </sheetView>
  </sheetViews>
  <sheetFormatPr defaultRowHeight="13.2" x14ac:dyDescent="0.25"/>
  <cols>
    <col min="1" max="2" width="4.6640625" customWidth="1"/>
    <col min="3" max="3" width="40.6640625" customWidth="1"/>
    <col min="4" max="4" width="20.6640625" customWidth="1"/>
    <col min="5" max="5" width="28.6640625" customWidth="1"/>
    <col min="6" max="6" width="2.6640625" customWidth="1"/>
    <col min="7" max="7" width="16.6640625" customWidth="1"/>
  </cols>
  <sheetData>
    <row r="1" spans="1:9" x14ac:dyDescent="0.25">
      <c r="A1" s="1" t="s">
        <v>221</v>
      </c>
      <c r="B1" s="1"/>
    </row>
    <row r="2" spans="1:9" x14ac:dyDescent="0.25">
      <c r="A2" s="1"/>
      <c r="B2" s="1"/>
      <c r="E2" s="105" t="s">
        <v>17</v>
      </c>
    </row>
    <row r="3" spans="1:9" x14ac:dyDescent="0.25">
      <c r="G3" s="109"/>
    </row>
    <row r="4" spans="1:9" x14ac:dyDescent="0.25">
      <c r="A4" s="2"/>
      <c r="B4" s="1" t="s">
        <v>1255</v>
      </c>
      <c r="G4" s="109"/>
    </row>
    <row r="5" spans="1:9" x14ac:dyDescent="0.25">
      <c r="A5" s="2"/>
      <c r="C5" s="1"/>
      <c r="D5" s="2"/>
      <c r="E5" s="2" t="s">
        <v>188</v>
      </c>
      <c r="G5" s="4" t="s">
        <v>73</v>
      </c>
    </row>
    <row r="6" spans="1:9" x14ac:dyDescent="0.25">
      <c r="A6" s="53" t="s">
        <v>360</v>
      </c>
      <c r="C6" s="1"/>
      <c r="D6" s="3" t="s">
        <v>187</v>
      </c>
      <c r="E6" s="3" t="s">
        <v>189</v>
      </c>
      <c r="G6" s="3" t="s">
        <v>190</v>
      </c>
    </row>
    <row r="7" spans="1:9" x14ac:dyDescent="0.25">
      <c r="A7" s="2">
        <v>1</v>
      </c>
      <c r="C7" s="69" t="s">
        <v>363</v>
      </c>
      <c r="D7" s="14"/>
      <c r="E7" s="15" t="str">
        <f>"19-OandM Line "&amp;'19-OandM'!A170&amp;", Col. 7"</f>
        <v>19-OandM Line 137, Col. 7</v>
      </c>
      <c r="G7" s="7" t="e">
        <f>'19-OandM'!H170</f>
        <v>#DIV/0!</v>
      </c>
      <c r="I7" s="12"/>
    </row>
    <row r="8" spans="1:9" x14ac:dyDescent="0.25">
      <c r="A8" s="2">
        <f>A7+1</f>
        <v>2</v>
      </c>
      <c r="C8" s="69" t="s">
        <v>263</v>
      </c>
      <c r="D8" s="14"/>
      <c r="E8" s="15" t="s">
        <v>313</v>
      </c>
      <c r="G8" s="6"/>
    </row>
    <row r="9" spans="1:9" x14ac:dyDescent="0.25">
      <c r="A9" s="2">
        <f t="shared" ref="A9:A62" si="0">A8+1</f>
        <v>3</v>
      </c>
      <c r="C9" s="5" t="s">
        <v>264</v>
      </c>
      <c r="D9" s="14"/>
      <c r="E9" s="15" t="s">
        <v>314</v>
      </c>
      <c r="G9" s="6"/>
    </row>
    <row r="10" spans="1:9" x14ac:dyDescent="0.25">
      <c r="A10" s="2">
        <f t="shared" si="0"/>
        <v>4</v>
      </c>
      <c r="C10" s="69" t="s">
        <v>1261</v>
      </c>
      <c r="D10" s="14"/>
      <c r="E10" s="15" t="str">
        <f>"Line "&amp;A8&amp;" - Line "&amp;A9&amp;""</f>
        <v>Line 2 - Line 3</v>
      </c>
      <c r="G10" s="7">
        <f>G8-G9</f>
        <v>0</v>
      </c>
    </row>
    <row r="11" spans="1:9" x14ac:dyDescent="0.25">
      <c r="A11" s="2">
        <f t="shared" si="0"/>
        <v>5</v>
      </c>
      <c r="C11" s="1243" t="s">
        <v>2529</v>
      </c>
      <c r="D11" s="14"/>
      <c r="E11" s="15" t="str">
        <f>"20-AandG, Note 2"</f>
        <v>20-AandG, Note 2</v>
      </c>
      <c r="G11" s="65">
        <f>'20-AandG'!E64</f>
        <v>0</v>
      </c>
      <c r="I11" s="12"/>
    </row>
    <row r="12" spans="1:9" x14ac:dyDescent="0.25">
      <c r="A12" s="2">
        <f t="shared" si="0"/>
        <v>6</v>
      </c>
      <c r="C12" s="1180" t="s">
        <v>2525</v>
      </c>
      <c r="D12" s="14"/>
      <c r="E12" s="15" t="str">
        <f>"20-AandG, Note 2"</f>
        <v>20-AandG, Note 2</v>
      </c>
      <c r="G12" s="111">
        <f>'20-AandG'!E61</f>
        <v>0</v>
      </c>
    </row>
    <row r="13" spans="1:9" x14ac:dyDescent="0.25">
      <c r="A13" s="2">
        <f t="shared" si="0"/>
        <v>7</v>
      </c>
      <c r="C13" s="1243" t="s">
        <v>2526</v>
      </c>
      <c r="D13" s="14"/>
      <c r="E13" s="15" t="str">
        <f>"Line "&amp;A11&amp;" - Line "&amp;A12&amp;""</f>
        <v>Line 5 - Line 6</v>
      </c>
      <c r="G13" s="7">
        <f>G11-G12</f>
        <v>0</v>
      </c>
    </row>
    <row r="14" spans="1:9" x14ac:dyDescent="0.25">
      <c r="A14" s="2">
        <f t="shared" si="0"/>
        <v>8</v>
      </c>
      <c r="C14" s="1243" t="s">
        <v>2527</v>
      </c>
      <c r="D14" s="14"/>
      <c r="E14" s="15" t="str">
        <f>"Line "&amp;A10&amp;" + Line "&amp;A13&amp;""</f>
        <v>Line 4 + Line 7</v>
      </c>
      <c r="G14" s="7">
        <f>G10+G13</f>
        <v>0</v>
      </c>
    </row>
    <row r="15" spans="1:9" x14ac:dyDescent="0.25">
      <c r="A15" s="2">
        <f t="shared" si="0"/>
        <v>9</v>
      </c>
      <c r="C15" s="14" t="s">
        <v>219</v>
      </c>
      <c r="D15" s="14"/>
      <c r="E15" s="15" t="str">
        <f>"Line "&amp;A7&amp;" / Line "&amp;A14&amp;""</f>
        <v>Line 1 / Line 8</v>
      </c>
      <c r="G15" s="8" t="e">
        <f>G7/G14</f>
        <v>#DIV/0!</v>
      </c>
    </row>
    <row r="16" spans="1:9" x14ac:dyDescent="0.25">
      <c r="A16" s="2">
        <f t="shared" si="0"/>
        <v>10</v>
      </c>
      <c r="C16" s="14"/>
      <c r="D16" s="14"/>
      <c r="E16" s="14"/>
    </row>
    <row r="17" spans="1:11" x14ac:dyDescent="0.25">
      <c r="A17" s="2">
        <f t="shared" si="0"/>
        <v>11</v>
      </c>
      <c r="B17" s="1" t="s">
        <v>1256</v>
      </c>
      <c r="C17" s="14"/>
      <c r="D17" s="14"/>
      <c r="E17" s="14"/>
      <c r="G17" s="109"/>
    </row>
    <row r="18" spans="1:11" x14ac:dyDescent="0.25">
      <c r="A18" s="2">
        <f t="shared" si="0"/>
        <v>12</v>
      </c>
      <c r="C18" s="14"/>
      <c r="D18" s="121"/>
      <c r="E18" s="121" t="s">
        <v>188</v>
      </c>
      <c r="G18" s="4" t="s">
        <v>73</v>
      </c>
    </row>
    <row r="19" spans="1:11" x14ac:dyDescent="0.25">
      <c r="A19" s="2">
        <f t="shared" si="0"/>
        <v>13</v>
      </c>
      <c r="C19" s="14"/>
      <c r="D19" s="135" t="s">
        <v>187</v>
      </c>
      <c r="E19" s="135" t="s">
        <v>189</v>
      </c>
      <c r="G19" s="3" t="s">
        <v>190</v>
      </c>
    </row>
    <row r="20" spans="1:11" x14ac:dyDescent="0.25">
      <c r="A20" s="2">
        <f t="shared" si="0"/>
        <v>14</v>
      </c>
      <c r="C20" s="14" t="s">
        <v>364</v>
      </c>
      <c r="D20" s="14"/>
      <c r="E20" s="15" t="str">
        <f>"7-PlantStudy, Line "&amp;'7-PlantStudy'!A28&amp;""</f>
        <v>7-PlantStudy, Line 21</v>
      </c>
      <c r="G20" s="65">
        <f>'7-PlantStudy'!E28</f>
        <v>0</v>
      </c>
    </row>
    <row r="21" spans="1:11" x14ac:dyDescent="0.25">
      <c r="A21" s="2">
        <f t="shared" si="0"/>
        <v>15</v>
      </c>
      <c r="C21" s="14" t="s">
        <v>365</v>
      </c>
      <c r="D21" s="14"/>
      <c r="E21" s="15" t="str">
        <f>"7-PlantStudy, Line "&amp;'7-PlantStudy'!A42&amp;""</f>
        <v>7-PlantStudy, Line 30</v>
      </c>
      <c r="G21" s="65">
        <f>'7-PlantStudy'!E42</f>
        <v>0</v>
      </c>
    </row>
    <row r="22" spans="1:11" x14ac:dyDescent="0.25">
      <c r="A22" s="2">
        <f t="shared" si="0"/>
        <v>16</v>
      </c>
      <c r="C22" s="14" t="s">
        <v>68</v>
      </c>
      <c r="D22" s="14"/>
      <c r="E22" s="15" t="str">
        <f>"6-PlantInService, Line "&amp;'6-PlantInService'!A53&amp;", C2"</f>
        <v>6-PlantInService, Line 21, C2</v>
      </c>
      <c r="G22" s="65">
        <f>'6-PlantInService'!G53</f>
        <v>0</v>
      </c>
      <c r="H22" s="109"/>
    </row>
    <row r="23" spans="1:11" x14ac:dyDescent="0.25">
      <c r="A23" s="2">
        <f t="shared" si="0"/>
        <v>17</v>
      </c>
      <c r="C23" s="14" t="s">
        <v>69</v>
      </c>
      <c r="D23" s="14"/>
      <c r="E23" s="14" t="str">
        <f>"Line "&amp;A22&amp;" * Line "&amp;A15&amp;""</f>
        <v>Line 16 * Line 9</v>
      </c>
      <c r="G23" s="65" t="e">
        <f>G22*G15</f>
        <v>#DIV/0!</v>
      </c>
    </row>
    <row r="24" spans="1:11" x14ac:dyDescent="0.25">
      <c r="A24" s="2">
        <f t="shared" si="0"/>
        <v>18</v>
      </c>
      <c r="C24" s="14" t="s">
        <v>67</v>
      </c>
      <c r="D24" s="14"/>
      <c r="E24" s="15" t="str">
        <f>"6-PlantInService, Line "&amp;'6-PlantInService'!A53&amp;", C1"</f>
        <v>6-PlantInService, Line 21, C1</v>
      </c>
      <c r="G24" s="65">
        <f>'6-PlantInService'!F53</f>
        <v>0</v>
      </c>
    </row>
    <row r="25" spans="1:11" x14ac:dyDescent="0.25">
      <c r="A25" s="2">
        <f t="shared" si="0"/>
        <v>19</v>
      </c>
      <c r="C25" s="14" t="s">
        <v>183</v>
      </c>
      <c r="D25" s="14"/>
      <c r="E25" s="14" t="str">
        <f>"Line "&amp;A24&amp;" * Line "&amp;A15&amp;""</f>
        <v>Line 18 * Line 9</v>
      </c>
      <c r="G25" s="65" t="e">
        <f>G24*G15</f>
        <v>#DIV/0!</v>
      </c>
    </row>
    <row r="26" spans="1:11" x14ac:dyDescent="0.25">
      <c r="A26" s="2">
        <f t="shared" si="0"/>
        <v>20</v>
      </c>
      <c r="C26" s="15" t="s">
        <v>1259</v>
      </c>
      <c r="D26" s="14"/>
      <c r="E26" s="14" t="s">
        <v>34</v>
      </c>
      <c r="G26" s="6"/>
    </row>
    <row r="27" spans="1:11" x14ac:dyDescent="0.25">
      <c r="A27" s="2">
        <f t="shared" si="0"/>
        <v>21</v>
      </c>
      <c r="C27" s="14"/>
      <c r="D27" s="14"/>
      <c r="E27" s="14"/>
      <c r="G27" s="109"/>
    </row>
    <row r="28" spans="1:11" x14ac:dyDescent="0.25">
      <c r="A28" s="2">
        <f t="shared" si="0"/>
        <v>22</v>
      </c>
      <c r="C28" s="14" t="s">
        <v>66</v>
      </c>
      <c r="D28" s="14"/>
      <c r="E28" s="15" t="str">
        <f>"(L"&amp;A20&amp;" + L"&amp;A21&amp;" + L"&amp;A23&amp;" + L"&amp;A25&amp;") / L"&amp;A26&amp;""</f>
        <v>(L14 + L15 + L17 + L19) / L20</v>
      </c>
      <c r="G28" s="8" t="e">
        <f>(G20+G21+G23+G25)/G26</f>
        <v>#DIV/0!</v>
      </c>
    </row>
    <row r="29" spans="1:11" x14ac:dyDescent="0.25">
      <c r="A29" s="689">
        <f t="shared" si="0"/>
        <v>23</v>
      </c>
      <c r="C29" s="14"/>
      <c r="D29" s="14"/>
      <c r="E29" s="15"/>
      <c r="G29" s="8"/>
    </row>
    <row r="30" spans="1:11" x14ac:dyDescent="0.25">
      <c r="A30" s="121">
        <f t="shared" si="0"/>
        <v>24</v>
      </c>
      <c r="B30" s="45" t="s">
        <v>2236</v>
      </c>
      <c r="C30" s="14"/>
      <c r="D30" s="14"/>
      <c r="E30" s="14"/>
      <c r="F30" s="14"/>
      <c r="G30" s="14"/>
      <c r="H30" s="14"/>
      <c r="I30" s="14"/>
      <c r="J30" s="14"/>
      <c r="K30" s="14"/>
    </row>
    <row r="31" spans="1:11" x14ac:dyDescent="0.25">
      <c r="A31" s="121">
        <f t="shared" si="0"/>
        <v>25</v>
      </c>
      <c r="B31" s="553"/>
      <c r="C31" s="14"/>
      <c r="D31" s="14"/>
      <c r="E31" s="14"/>
      <c r="F31" s="14"/>
      <c r="G31" s="14"/>
      <c r="H31" s="14"/>
      <c r="I31" s="14"/>
      <c r="J31" s="14"/>
      <c r="K31" s="14"/>
    </row>
    <row r="32" spans="1:11" x14ac:dyDescent="0.25">
      <c r="A32" s="121">
        <f t="shared" si="0"/>
        <v>26</v>
      </c>
      <c r="B32" s="14" t="s">
        <v>2095</v>
      </c>
      <c r="C32" s="14"/>
      <c r="D32" s="135" t="s">
        <v>2099</v>
      </c>
      <c r="E32" s="135" t="s">
        <v>187</v>
      </c>
      <c r="F32" s="14"/>
      <c r="G32" s="661" t="s">
        <v>2100</v>
      </c>
      <c r="H32" s="14"/>
      <c r="I32" s="14"/>
      <c r="J32" s="14"/>
      <c r="K32" s="14"/>
    </row>
    <row r="33" spans="1:11" x14ac:dyDescent="0.25">
      <c r="A33" s="121">
        <f t="shared" si="0"/>
        <v>27</v>
      </c>
      <c r="B33" s="14"/>
      <c r="C33" s="553" t="s">
        <v>2096</v>
      </c>
      <c r="D33" s="108"/>
      <c r="E33" s="135"/>
      <c r="F33" s="14"/>
      <c r="G33" s="1185" t="s">
        <v>1432</v>
      </c>
      <c r="H33" s="14"/>
      <c r="I33" s="14"/>
      <c r="J33" s="843"/>
      <c r="K33" s="14"/>
    </row>
    <row r="34" spans="1:11" x14ac:dyDescent="0.25">
      <c r="A34" s="121">
        <f t="shared" si="0"/>
        <v>28</v>
      </c>
      <c r="B34" s="14"/>
      <c r="C34" s="14" t="s">
        <v>2097</v>
      </c>
      <c r="D34" s="108"/>
      <c r="E34" s="135"/>
      <c r="F34" s="14"/>
      <c r="G34" s="1185" t="s">
        <v>1433</v>
      </c>
      <c r="H34" s="14"/>
      <c r="I34" s="14"/>
      <c r="J34" s="14"/>
      <c r="K34" s="14"/>
    </row>
    <row r="35" spans="1:11" x14ac:dyDescent="0.25">
      <c r="A35" s="121">
        <f t="shared" si="0"/>
        <v>29</v>
      </c>
      <c r="B35" s="14"/>
      <c r="C35" s="14" t="s">
        <v>2098</v>
      </c>
      <c r="D35" s="123">
        <f>SUM(D33:D34)</f>
        <v>0</v>
      </c>
      <c r="E35" s="15" t="str">
        <f>" = L"&amp;A33&amp;" + L"&amp;A34&amp;""</f>
        <v xml:space="preserve"> = L27 + L28</v>
      </c>
      <c r="F35" s="14"/>
      <c r="G35" s="1185" t="s">
        <v>1434</v>
      </c>
      <c r="H35" s="14"/>
      <c r="I35" s="14"/>
      <c r="J35" s="14"/>
      <c r="K35" s="14"/>
    </row>
    <row r="36" spans="1:11" x14ac:dyDescent="0.25">
      <c r="A36" s="121">
        <f t="shared" si="0"/>
        <v>30</v>
      </c>
      <c r="B36" s="14"/>
      <c r="C36" s="553" t="s">
        <v>2105</v>
      </c>
      <c r="D36" s="1245" t="e">
        <f>D33/D35</f>
        <v>#DIV/0!</v>
      </c>
      <c r="E36" s="15" t="str">
        <f>" = L"&amp;A33&amp;" / L"&amp;A35&amp;""</f>
        <v xml:space="preserve"> = L27 / L29</v>
      </c>
      <c r="F36" s="14"/>
      <c r="G36" s="1148"/>
      <c r="H36" s="14"/>
      <c r="I36" s="14"/>
      <c r="J36" s="14"/>
      <c r="K36" s="14"/>
    </row>
    <row r="37" spans="1:11" x14ac:dyDescent="0.25">
      <c r="A37" s="121">
        <f t="shared" si="0"/>
        <v>31</v>
      </c>
      <c r="B37" s="14"/>
      <c r="C37" s="14"/>
      <c r="D37" s="14"/>
      <c r="E37" s="14"/>
      <c r="F37" s="14"/>
      <c r="G37" s="1148"/>
      <c r="H37" s="14"/>
      <c r="I37" s="14"/>
      <c r="J37" s="14"/>
      <c r="K37" s="14"/>
    </row>
    <row r="38" spans="1:11" x14ac:dyDescent="0.25">
      <c r="A38" s="121">
        <f t="shared" si="0"/>
        <v>32</v>
      </c>
      <c r="B38" s="553" t="s">
        <v>2101</v>
      </c>
      <c r="C38" s="14"/>
      <c r="D38" s="135" t="s">
        <v>2099</v>
      </c>
      <c r="E38" s="135" t="s">
        <v>187</v>
      </c>
      <c r="F38" s="14"/>
      <c r="G38" s="661" t="s">
        <v>2100</v>
      </c>
      <c r="H38" s="14"/>
      <c r="I38" s="14"/>
      <c r="J38" s="14"/>
      <c r="K38" s="14"/>
    </row>
    <row r="39" spans="1:11" x14ac:dyDescent="0.25">
      <c r="A39" s="121">
        <f t="shared" si="0"/>
        <v>33</v>
      </c>
      <c r="B39" s="14"/>
      <c r="C39" s="553" t="s">
        <v>2102</v>
      </c>
      <c r="D39" s="108"/>
      <c r="E39" s="135"/>
      <c r="F39" s="14"/>
      <c r="G39" s="1185" t="s">
        <v>1438</v>
      </c>
      <c r="H39" s="14"/>
      <c r="I39" s="14"/>
      <c r="J39" s="14"/>
      <c r="K39" s="14"/>
    </row>
    <row r="40" spans="1:11" x14ac:dyDescent="0.25">
      <c r="A40" s="121">
        <f t="shared" si="0"/>
        <v>34</v>
      </c>
      <c r="B40" s="14"/>
      <c r="C40" s="553" t="s">
        <v>2103</v>
      </c>
      <c r="D40" s="108"/>
      <c r="E40" s="135"/>
      <c r="F40" s="14"/>
      <c r="G40" s="14"/>
      <c r="H40" s="14"/>
      <c r="I40" s="14"/>
      <c r="J40" s="14"/>
      <c r="K40" s="14"/>
    </row>
    <row r="41" spans="1:11" x14ac:dyDescent="0.25">
      <c r="A41" s="121">
        <f t="shared" si="0"/>
        <v>35</v>
      </c>
      <c r="B41" s="14"/>
      <c r="C41" s="553" t="s">
        <v>2104</v>
      </c>
      <c r="D41" s="123">
        <f>SUM(D39:D40)</f>
        <v>0</v>
      </c>
      <c r="E41" s="15" t="str">
        <f>" = L"&amp;A39&amp;" + L"&amp;A40&amp;""</f>
        <v xml:space="preserve"> = L33 + L34</v>
      </c>
      <c r="F41" s="14"/>
      <c r="G41" s="14"/>
      <c r="H41" s="14"/>
      <c r="I41" s="14"/>
      <c r="J41" s="14"/>
      <c r="K41" s="14"/>
    </row>
    <row r="42" spans="1:11" x14ac:dyDescent="0.25">
      <c r="A42" s="121">
        <f t="shared" si="0"/>
        <v>36</v>
      </c>
      <c r="B42" s="14"/>
      <c r="C42" s="553" t="s">
        <v>2106</v>
      </c>
      <c r="D42" s="1245" t="e">
        <f>D39/D41</f>
        <v>#DIV/0!</v>
      </c>
      <c r="E42" s="15" t="str">
        <f>" = L"&amp;A39&amp;" / L"&amp;A41&amp;""</f>
        <v xml:space="preserve"> = L33 / L35</v>
      </c>
      <c r="F42" s="14"/>
      <c r="G42" s="14"/>
      <c r="H42" s="14"/>
      <c r="I42" s="14"/>
      <c r="J42" s="14"/>
      <c r="K42" s="14"/>
    </row>
    <row r="43" spans="1:11" x14ac:dyDescent="0.25">
      <c r="A43" s="121">
        <f t="shared" si="0"/>
        <v>37</v>
      </c>
      <c r="B43" s="14"/>
      <c r="C43" s="14"/>
      <c r="D43" s="14"/>
      <c r="E43" s="14"/>
      <c r="F43" s="14"/>
      <c r="G43" s="14"/>
      <c r="H43" s="14"/>
      <c r="I43" s="14"/>
      <c r="J43" s="14"/>
      <c r="K43" s="14"/>
    </row>
    <row r="44" spans="1:11" x14ac:dyDescent="0.25">
      <c r="A44" s="121">
        <f t="shared" si="0"/>
        <v>38</v>
      </c>
      <c r="B44" s="553" t="s">
        <v>2107</v>
      </c>
      <c r="C44" s="14"/>
      <c r="D44" s="135" t="s">
        <v>2099</v>
      </c>
      <c r="E44" s="135" t="s">
        <v>187</v>
      </c>
      <c r="F44" s="14"/>
      <c r="G44" s="661" t="s">
        <v>2100</v>
      </c>
      <c r="H44" s="14"/>
      <c r="I44" s="14"/>
      <c r="J44" s="14"/>
      <c r="K44" s="14"/>
    </row>
    <row r="45" spans="1:11" x14ac:dyDescent="0.25">
      <c r="A45" s="121">
        <f t="shared" si="0"/>
        <v>39</v>
      </c>
      <c r="B45" s="14"/>
      <c r="C45" s="553" t="s">
        <v>2108</v>
      </c>
      <c r="D45" s="108"/>
      <c r="E45" s="135"/>
      <c r="F45" s="14"/>
      <c r="G45" s="1185" t="s">
        <v>1439</v>
      </c>
      <c r="H45" s="14"/>
      <c r="I45" s="14"/>
      <c r="J45" s="14"/>
      <c r="K45" s="14"/>
    </row>
    <row r="46" spans="1:11" x14ac:dyDescent="0.25">
      <c r="A46" s="121">
        <f t="shared" si="0"/>
        <v>40</v>
      </c>
      <c r="B46" s="14"/>
      <c r="C46" s="553" t="s">
        <v>2113</v>
      </c>
      <c r="D46" s="108"/>
      <c r="E46" s="135"/>
      <c r="F46" s="14"/>
      <c r="G46" s="14"/>
      <c r="H46" s="14"/>
      <c r="I46" s="14"/>
      <c r="J46" s="14"/>
      <c r="K46" s="14"/>
    </row>
    <row r="47" spans="1:11" x14ac:dyDescent="0.25">
      <c r="A47" s="121">
        <f t="shared" si="0"/>
        <v>41</v>
      </c>
      <c r="B47" s="14"/>
      <c r="C47" s="553" t="s">
        <v>2109</v>
      </c>
      <c r="D47" s="123">
        <f>SUM(D45:D46)</f>
        <v>0</v>
      </c>
      <c r="E47" s="15" t="str">
        <f>" = L"&amp;A45&amp;" + L"&amp;A46&amp;""</f>
        <v xml:space="preserve"> = L39 + L40</v>
      </c>
      <c r="F47" s="14"/>
      <c r="G47" s="14"/>
      <c r="H47" s="14"/>
      <c r="I47" s="14"/>
      <c r="J47" s="14"/>
      <c r="K47" s="14"/>
    </row>
    <row r="48" spans="1:11" x14ac:dyDescent="0.25">
      <c r="A48" s="121">
        <f t="shared" si="0"/>
        <v>42</v>
      </c>
      <c r="B48" s="14"/>
      <c r="C48" s="553" t="s">
        <v>2110</v>
      </c>
      <c r="D48" s="1245" t="e">
        <f>D45/D47</f>
        <v>#DIV/0!</v>
      </c>
      <c r="E48" s="15" t="str">
        <f>" = L"&amp;A45&amp;" / L"&amp;A47&amp;""</f>
        <v xml:space="preserve"> = L39 / L41</v>
      </c>
      <c r="F48" s="14"/>
      <c r="G48" s="14"/>
      <c r="H48" s="14"/>
      <c r="I48" s="14"/>
      <c r="J48" s="14"/>
      <c r="K48" s="14"/>
    </row>
    <row r="49" spans="1:11" x14ac:dyDescent="0.25">
      <c r="A49" s="121">
        <f t="shared" si="0"/>
        <v>43</v>
      </c>
      <c r="B49" s="14"/>
      <c r="C49" s="14"/>
      <c r="D49" s="14"/>
      <c r="E49" s="14"/>
      <c r="F49" s="14"/>
      <c r="G49" s="14"/>
      <c r="H49" s="14"/>
      <c r="I49" s="14"/>
      <c r="J49" s="14"/>
      <c r="K49" s="14"/>
    </row>
    <row r="50" spans="1:11" x14ac:dyDescent="0.25">
      <c r="A50" s="121">
        <f t="shared" si="0"/>
        <v>44</v>
      </c>
      <c r="B50" s="553" t="s">
        <v>2116</v>
      </c>
      <c r="C50" s="14"/>
      <c r="D50" s="135" t="s">
        <v>2099</v>
      </c>
      <c r="E50" s="135" t="s">
        <v>187</v>
      </c>
      <c r="F50" s="14"/>
      <c r="G50" s="661" t="s">
        <v>2100</v>
      </c>
      <c r="H50" s="14"/>
      <c r="I50" s="14"/>
      <c r="J50" s="14"/>
      <c r="K50" s="14"/>
    </row>
    <row r="51" spans="1:11" x14ac:dyDescent="0.25">
      <c r="A51" s="121">
        <f t="shared" si="0"/>
        <v>45</v>
      </c>
      <c r="B51" s="14"/>
      <c r="C51" s="553" t="s">
        <v>2111</v>
      </c>
      <c r="D51" s="108"/>
      <c r="E51" s="135"/>
      <c r="F51" s="14"/>
      <c r="G51" s="1185" t="s">
        <v>1441</v>
      </c>
      <c r="H51" s="14"/>
      <c r="I51" s="14"/>
      <c r="J51" s="14"/>
      <c r="K51" s="14"/>
    </row>
    <row r="52" spans="1:11" x14ac:dyDescent="0.25">
      <c r="A52" s="121">
        <f t="shared" si="0"/>
        <v>46</v>
      </c>
      <c r="B52" s="14"/>
      <c r="C52" s="553" t="s">
        <v>2112</v>
      </c>
      <c r="D52" s="108"/>
      <c r="E52" s="135"/>
      <c r="F52" s="14"/>
      <c r="G52" s="1185" t="s">
        <v>1465</v>
      </c>
      <c r="H52" s="14"/>
      <c r="I52" s="14"/>
      <c r="J52" s="14"/>
      <c r="K52" s="14"/>
    </row>
    <row r="53" spans="1:11" x14ac:dyDescent="0.25">
      <c r="A53" s="121">
        <f t="shared" si="0"/>
        <v>47</v>
      </c>
      <c r="B53" s="14"/>
      <c r="C53" s="553" t="s">
        <v>2114</v>
      </c>
      <c r="D53" s="123">
        <f>SUM(D51:D52)</f>
        <v>0</v>
      </c>
      <c r="E53" s="15" t="str">
        <f>" = L"&amp;A51&amp;" + L"&amp;A52&amp;""</f>
        <v xml:space="preserve"> = L45 + L46</v>
      </c>
      <c r="F53" s="14"/>
      <c r="G53" s="1185" t="s">
        <v>1466</v>
      </c>
      <c r="H53" s="14"/>
      <c r="I53" s="14"/>
      <c r="J53" s="14"/>
      <c r="K53" s="14"/>
    </row>
    <row r="54" spans="1:11" x14ac:dyDescent="0.25">
      <c r="A54" s="121">
        <f t="shared" si="0"/>
        <v>48</v>
      </c>
      <c r="B54" s="14"/>
      <c r="C54" s="553" t="s">
        <v>2115</v>
      </c>
      <c r="D54" s="1245" t="e">
        <f>D51/D53</f>
        <v>#DIV/0!</v>
      </c>
      <c r="E54" s="15" t="str">
        <f>" = L"&amp;A51&amp;" / L"&amp;A53&amp;""</f>
        <v xml:space="preserve"> = L45 / L47</v>
      </c>
      <c r="F54" s="14"/>
      <c r="G54" s="1185" t="s">
        <v>1467</v>
      </c>
      <c r="H54" s="14"/>
      <c r="I54" s="14"/>
      <c r="J54" s="14"/>
      <c r="K54" s="14"/>
    </row>
    <row r="55" spans="1:11" x14ac:dyDescent="0.25">
      <c r="A55" s="121">
        <f t="shared" si="0"/>
        <v>49</v>
      </c>
      <c r="B55" s="135"/>
      <c r="C55" s="135"/>
      <c r="D55" s="14"/>
      <c r="E55" s="135"/>
      <c r="F55" s="14"/>
      <c r="G55" s="135"/>
      <c r="H55" s="14"/>
      <c r="I55" s="14"/>
      <c r="J55" s="14"/>
      <c r="K55" s="14"/>
    </row>
    <row r="56" spans="1:11" x14ac:dyDescent="0.25">
      <c r="A56" s="121">
        <f t="shared" si="0"/>
        <v>50</v>
      </c>
      <c r="B56" s="553" t="s">
        <v>2117</v>
      </c>
      <c r="C56" s="14"/>
      <c r="D56" s="135" t="s">
        <v>2099</v>
      </c>
      <c r="E56" s="135" t="s">
        <v>187</v>
      </c>
      <c r="F56" s="14"/>
      <c r="G56" s="661" t="s">
        <v>2100</v>
      </c>
      <c r="H56" s="14"/>
      <c r="I56" s="14"/>
      <c r="J56" s="14"/>
      <c r="K56" s="14"/>
    </row>
    <row r="57" spans="1:11" x14ac:dyDescent="0.25">
      <c r="A57" s="121">
        <f t="shared" si="0"/>
        <v>51</v>
      </c>
      <c r="B57" s="1147"/>
      <c r="C57" s="553" t="s">
        <v>2118</v>
      </c>
      <c r="D57" s="108"/>
      <c r="E57" s="135"/>
      <c r="F57" s="14"/>
      <c r="G57" s="1185" t="s">
        <v>1442</v>
      </c>
      <c r="H57" s="14"/>
      <c r="I57" s="14"/>
      <c r="J57" s="14"/>
      <c r="K57" s="14"/>
    </row>
    <row r="58" spans="1:11" x14ac:dyDescent="0.25">
      <c r="A58" s="121">
        <f t="shared" si="0"/>
        <v>52</v>
      </c>
      <c r="B58" s="1147"/>
      <c r="C58" s="553" t="s">
        <v>2119</v>
      </c>
      <c r="D58" s="108"/>
      <c r="E58" s="135"/>
      <c r="F58" s="14"/>
      <c r="G58" s="1185" t="s">
        <v>1469</v>
      </c>
      <c r="H58" s="14"/>
      <c r="I58" s="14"/>
      <c r="J58" s="14"/>
      <c r="K58" s="14"/>
    </row>
    <row r="59" spans="1:11" x14ac:dyDescent="0.25">
      <c r="A59" s="121">
        <f t="shared" si="0"/>
        <v>53</v>
      </c>
      <c r="B59" s="1147"/>
      <c r="C59" s="553" t="s">
        <v>2120</v>
      </c>
      <c r="D59" s="123">
        <f>SUM(D57:D58)</f>
        <v>0</v>
      </c>
      <c r="E59" s="15" t="str">
        <f>" = L"&amp;A57&amp;" + L"&amp;A58&amp;""</f>
        <v xml:space="preserve"> = L51 + L52</v>
      </c>
      <c r="F59" s="14"/>
      <c r="G59" s="14"/>
      <c r="H59" s="14"/>
      <c r="I59" s="14"/>
      <c r="J59" s="14"/>
      <c r="K59" s="14"/>
    </row>
    <row r="60" spans="1:11" x14ac:dyDescent="0.25">
      <c r="A60" s="121">
        <f t="shared" si="0"/>
        <v>54</v>
      </c>
      <c r="B60" s="1147"/>
      <c r="C60" s="553" t="s">
        <v>2121</v>
      </c>
      <c r="D60" s="1245" t="e">
        <f>D57/D59</f>
        <v>#DIV/0!</v>
      </c>
      <c r="E60" s="15" t="str">
        <f>" = L"&amp;A57&amp;" / L"&amp;A59&amp;""</f>
        <v xml:space="preserve"> = L51 / L53</v>
      </c>
      <c r="F60" s="14"/>
      <c r="G60" s="14"/>
      <c r="H60" s="14"/>
      <c r="I60" s="14"/>
      <c r="J60" s="14"/>
      <c r="K60" s="14"/>
    </row>
    <row r="61" spans="1:11" x14ac:dyDescent="0.25">
      <c r="A61" s="121">
        <f t="shared" si="0"/>
        <v>55</v>
      </c>
      <c r="B61" s="1147"/>
      <c r="C61" s="124"/>
      <c r="D61" s="14"/>
      <c r="E61" s="135"/>
      <c r="F61" s="14"/>
      <c r="G61" s="65"/>
      <c r="H61" s="14"/>
      <c r="I61" s="14"/>
      <c r="J61" s="14"/>
      <c r="K61" s="14"/>
    </row>
    <row r="62" spans="1:11" x14ac:dyDescent="0.25">
      <c r="A62" s="121">
        <f t="shared" si="0"/>
        <v>56</v>
      </c>
      <c r="B62" s="553" t="s">
        <v>2284</v>
      </c>
      <c r="C62" s="14"/>
      <c r="D62" s="135" t="s">
        <v>2099</v>
      </c>
      <c r="E62" s="135" t="s">
        <v>187</v>
      </c>
      <c r="F62" s="14"/>
      <c r="G62" s="661" t="s">
        <v>2100</v>
      </c>
      <c r="H62" s="14"/>
      <c r="I62" s="14"/>
      <c r="J62" s="14"/>
      <c r="K62" s="14"/>
    </row>
    <row r="63" spans="1:11" x14ac:dyDescent="0.25">
      <c r="A63" s="121">
        <f t="shared" ref="A63:A124" si="1">A62+1</f>
        <v>57</v>
      </c>
      <c r="B63" s="1147"/>
      <c r="C63" s="553" t="s">
        <v>2122</v>
      </c>
      <c r="D63" s="108"/>
      <c r="E63" s="135"/>
      <c r="F63" s="14"/>
      <c r="G63" s="1185" t="s">
        <v>1452</v>
      </c>
      <c r="H63" s="14"/>
      <c r="I63" s="14"/>
      <c r="J63" s="14"/>
      <c r="K63" s="14"/>
    </row>
    <row r="64" spans="1:11" x14ac:dyDescent="0.25">
      <c r="A64" s="121">
        <f t="shared" si="1"/>
        <v>58</v>
      </c>
      <c r="B64" s="1147"/>
      <c r="C64" s="553" t="s">
        <v>2123</v>
      </c>
      <c r="D64" s="108"/>
      <c r="E64" s="135"/>
      <c r="F64" s="14"/>
      <c r="G64" s="1185"/>
      <c r="H64" s="14"/>
      <c r="I64" s="14"/>
      <c r="J64" s="14"/>
      <c r="K64" s="14"/>
    </row>
    <row r="65" spans="1:11" x14ac:dyDescent="0.25">
      <c r="A65" s="121">
        <f t="shared" si="1"/>
        <v>59</v>
      </c>
      <c r="B65" s="1147"/>
      <c r="C65" s="553" t="s">
        <v>2124</v>
      </c>
      <c r="D65" s="123">
        <f>SUM(D63:D64)</f>
        <v>0</v>
      </c>
      <c r="E65" s="15" t="str">
        <f>" = L"&amp;A63&amp;" + L"&amp;A64&amp;""</f>
        <v xml:space="preserve"> = L57 + L58</v>
      </c>
      <c r="F65" s="14"/>
      <c r="G65" s="14"/>
      <c r="H65" s="14"/>
      <c r="I65" s="14"/>
      <c r="J65" s="14"/>
      <c r="K65" s="14"/>
    </row>
    <row r="66" spans="1:11" x14ac:dyDescent="0.25">
      <c r="A66" s="121">
        <f t="shared" si="1"/>
        <v>60</v>
      </c>
      <c r="B66" s="1147"/>
      <c r="C66" s="553" t="s">
        <v>2125</v>
      </c>
      <c r="D66" s="1245" t="e">
        <f>D63/D65</f>
        <v>#DIV/0!</v>
      </c>
      <c r="E66" s="15" t="str">
        <f>" = L"&amp;A63&amp;" / L"&amp;A65&amp;""</f>
        <v xml:space="preserve"> = L57 / L59</v>
      </c>
      <c r="F66" s="14"/>
      <c r="G66" s="14"/>
      <c r="H66" s="14"/>
      <c r="I66" s="14"/>
      <c r="J66" s="14"/>
      <c r="K66" s="14"/>
    </row>
    <row r="67" spans="1:11" x14ac:dyDescent="0.25">
      <c r="A67" s="121">
        <f t="shared" si="1"/>
        <v>61</v>
      </c>
      <c r="B67" s="1244"/>
      <c r="C67" s="135"/>
      <c r="D67" s="14"/>
      <c r="E67" s="1245"/>
      <c r="F67" s="14"/>
      <c r="G67" s="14"/>
      <c r="H67" s="14"/>
      <c r="I67" s="14"/>
      <c r="J67" s="14"/>
      <c r="K67" s="14"/>
    </row>
    <row r="68" spans="1:11" x14ac:dyDescent="0.25">
      <c r="A68" s="121">
        <f t="shared" si="1"/>
        <v>62</v>
      </c>
      <c r="B68" s="553" t="s">
        <v>2285</v>
      </c>
      <c r="C68" s="14"/>
      <c r="D68" s="135" t="s">
        <v>2099</v>
      </c>
      <c r="E68" s="135" t="s">
        <v>187</v>
      </c>
      <c r="F68" s="14"/>
      <c r="G68" s="661" t="s">
        <v>2100</v>
      </c>
      <c r="H68" s="14"/>
      <c r="I68" s="14"/>
      <c r="J68" s="14"/>
      <c r="K68" s="14"/>
    </row>
    <row r="69" spans="1:11" x14ac:dyDescent="0.25">
      <c r="A69" s="121">
        <f t="shared" si="1"/>
        <v>63</v>
      </c>
      <c r="B69" s="1147"/>
      <c r="C69" s="553" t="s">
        <v>2126</v>
      </c>
      <c r="D69" s="108"/>
      <c r="E69" s="135"/>
      <c r="F69" s="14"/>
      <c r="G69" s="1185" t="s">
        <v>1453</v>
      </c>
      <c r="H69" s="14"/>
      <c r="I69" s="14"/>
      <c r="J69" s="14"/>
      <c r="K69" s="14"/>
    </row>
    <row r="70" spans="1:11" x14ac:dyDescent="0.25">
      <c r="A70" s="121">
        <f t="shared" si="1"/>
        <v>64</v>
      </c>
      <c r="B70" s="1147"/>
      <c r="C70" s="553" t="s">
        <v>2127</v>
      </c>
      <c r="D70" s="108"/>
      <c r="E70" s="135"/>
      <c r="F70" s="14"/>
      <c r="G70" s="1185"/>
      <c r="H70" s="14"/>
      <c r="I70" s="14"/>
      <c r="J70" s="14"/>
      <c r="K70" s="14"/>
    </row>
    <row r="71" spans="1:11" x14ac:dyDescent="0.25">
      <c r="A71" s="121">
        <f t="shared" si="1"/>
        <v>65</v>
      </c>
      <c r="B71" s="1147"/>
      <c r="C71" s="553" t="s">
        <v>2128</v>
      </c>
      <c r="D71" s="123">
        <f>SUM(D69:D70)</f>
        <v>0</v>
      </c>
      <c r="E71" s="15" t="str">
        <f>" = L"&amp;A69&amp;" + L"&amp;A70&amp;""</f>
        <v xml:space="preserve"> = L63 + L64</v>
      </c>
      <c r="F71" s="14"/>
      <c r="G71" s="14"/>
      <c r="H71" s="14"/>
      <c r="I71" s="14"/>
      <c r="J71" s="14"/>
      <c r="K71" s="14"/>
    </row>
    <row r="72" spans="1:11" x14ac:dyDescent="0.25">
      <c r="A72" s="121">
        <f t="shared" si="1"/>
        <v>66</v>
      </c>
      <c r="B72" s="1147"/>
      <c r="C72" s="553" t="s">
        <v>2129</v>
      </c>
      <c r="D72" s="1245" t="e">
        <f>D69/D71</f>
        <v>#DIV/0!</v>
      </c>
      <c r="E72" s="15" t="str">
        <f>" = L"&amp;A69&amp;" / L"&amp;A71&amp;""</f>
        <v xml:space="preserve"> = L63 / L65</v>
      </c>
      <c r="F72" s="14"/>
      <c r="G72" s="14"/>
      <c r="H72" s="14"/>
      <c r="I72" s="14"/>
      <c r="J72" s="14"/>
      <c r="K72" s="14"/>
    </row>
    <row r="73" spans="1:11" x14ac:dyDescent="0.25">
      <c r="A73" s="121">
        <f t="shared" si="1"/>
        <v>67</v>
      </c>
      <c r="B73" s="45"/>
      <c r="C73" s="14"/>
      <c r="D73" s="14"/>
      <c r="E73" s="14"/>
      <c r="F73" s="14"/>
      <c r="G73" s="14"/>
      <c r="H73" s="14"/>
      <c r="I73" s="14"/>
      <c r="J73" s="14"/>
      <c r="K73" s="14"/>
    </row>
    <row r="74" spans="1:11" x14ac:dyDescent="0.25">
      <c r="A74" s="121">
        <f t="shared" si="1"/>
        <v>68</v>
      </c>
      <c r="B74" s="553" t="s">
        <v>2286</v>
      </c>
      <c r="C74" s="14"/>
      <c r="D74" s="135" t="s">
        <v>2099</v>
      </c>
      <c r="E74" s="135" t="s">
        <v>187</v>
      </c>
      <c r="F74" s="14"/>
      <c r="G74" s="661" t="s">
        <v>2100</v>
      </c>
      <c r="H74" s="14"/>
      <c r="I74" s="14"/>
      <c r="J74" s="14"/>
      <c r="K74" s="14"/>
    </row>
    <row r="75" spans="1:11" x14ac:dyDescent="0.25">
      <c r="A75" s="121">
        <f t="shared" si="1"/>
        <v>69</v>
      </c>
      <c r="B75" s="1147"/>
      <c r="C75" s="553" t="s">
        <v>2130</v>
      </c>
      <c r="D75" s="108"/>
      <c r="E75" s="135"/>
      <c r="F75" s="14"/>
      <c r="G75" s="1185" t="s">
        <v>1460</v>
      </c>
      <c r="H75" s="14"/>
      <c r="I75" s="14"/>
      <c r="J75" s="14"/>
      <c r="K75" s="14"/>
    </row>
    <row r="76" spans="1:11" x14ac:dyDescent="0.25">
      <c r="A76" s="121">
        <f t="shared" si="1"/>
        <v>70</v>
      </c>
      <c r="B76" s="1147"/>
      <c r="C76" s="553" t="s">
        <v>2131</v>
      </c>
      <c r="D76" s="108"/>
      <c r="E76" s="135"/>
      <c r="F76" s="14"/>
      <c r="G76" s="1185"/>
      <c r="H76" s="14"/>
      <c r="I76" s="14"/>
      <c r="J76" s="14"/>
      <c r="K76" s="14"/>
    </row>
    <row r="77" spans="1:11" x14ac:dyDescent="0.25">
      <c r="A77" s="121">
        <f t="shared" si="1"/>
        <v>71</v>
      </c>
      <c r="B77" s="1147"/>
      <c r="C77" s="553" t="s">
        <v>2132</v>
      </c>
      <c r="D77" s="123">
        <f>SUM(D75:D76)</f>
        <v>0</v>
      </c>
      <c r="E77" s="15" t="str">
        <f>" = L"&amp;A75&amp;" + L"&amp;A76&amp;""</f>
        <v xml:space="preserve"> = L69 + L70</v>
      </c>
      <c r="F77" s="14"/>
      <c r="G77" s="14"/>
      <c r="H77" s="14"/>
      <c r="I77" s="14"/>
      <c r="J77" s="14"/>
      <c r="K77" s="14"/>
    </row>
    <row r="78" spans="1:11" x14ac:dyDescent="0.25">
      <c r="A78" s="121">
        <f t="shared" si="1"/>
        <v>72</v>
      </c>
      <c r="B78" s="1147"/>
      <c r="C78" s="553" t="s">
        <v>2133</v>
      </c>
      <c r="D78" s="1245" t="e">
        <f>D75/D77</f>
        <v>#DIV/0!</v>
      </c>
      <c r="E78" s="15" t="str">
        <f>" = L"&amp;A75&amp;" / L"&amp;A77&amp;""</f>
        <v xml:space="preserve"> = L69 / L71</v>
      </c>
      <c r="F78" s="14"/>
      <c r="G78" s="14"/>
      <c r="H78" s="14"/>
      <c r="I78" s="14"/>
      <c r="J78" s="14"/>
      <c r="K78" s="14"/>
    </row>
    <row r="79" spans="1:11" x14ac:dyDescent="0.25">
      <c r="A79" s="121">
        <f t="shared" si="1"/>
        <v>73</v>
      </c>
      <c r="B79" s="14"/>
      <c r="C79" s="14"/>
      <c r="D79" s="14"/>
      <c r="E79" s="14"/>
      <c r="F79" s="14"/>
      <c r="G79" s="14"/>
      <c r="H79" s="14"/>
      <c r="I79" s="14"/>
      <c r="J79" s="14"/>
      <c r="K79" s="14"/>
    </row>
    <row r="80" spans="1:11" x14ac:dyDescent="0.25">
      <c r="A80" s="121">
        <f t="shared" si="1"/>
        <v>74</v>
      </c>
      <c r="B80" s="553" t="s">
        <v>2287</v>
      </c>
      <c r="C80" s="14"/>
      <c r="D80" s="135" t="s">
        <v>2099</v>
      </c>
      <c r="E80" s="135" t="s">
        <v>187</v>
      </c>
      <c r="F80" s="14"/>
      <c r="G80" s="661" t="s">
        <v>2100</v>
      </c>
      <c r="H80" s="14"/>
      <c r="I80" s="14"/>
      <c r="J80" s="14"/>
      <c r="K80" s="14"/>
    </row>
    <row r="81" spans="1:11" x14ac:dyDescent="0.25">
      <c r="A81" s="121">
        <f t="shared" si="1"/>
        <v>75</v>
      </c>
      <c r="B81" s="1147"/>
      <c r="C81" s="553" t="s">
        <v>2134</v>
      </c>
      <c r="D81" s="108"/>
      <c r="E81" s="135"/>
      <c r="F81" s="14"/>
      <c r="G81" s="1185" t="s">
        <v>1461</v>
      </c>
      <c r="H81" s="14"/>
      <c r="I81" s="14"/>
      <c r="J81" s="14"/>
      <c r="K81" s="14"/>
    </row>
    <row r="82" spans="1:11" x14ac:dyDescent="0.25">
      <c r="A82" s="121">
        <f t="shared" si="1"/>
        <v>76</v>
      </c>
      <c r="B82" s="1147"/>
      <c r="C82" s="553" t="s">
        <v>2135</v>
      </c>
      <c r="D82" s="108"/>
      <c r="E82" s="135"/>
      <c r="F82" s="14"/>
      <c r="G82" s="1185"/>
      <c r="H82" s="14"/>
      <c r="I82" s="14"/>
      <c r="J82" s="14"/>
      <c r="K82" s="14"/>
    </row>
    <row r="83" spans="1:11" x14ac:dyDescent="0.25">
      <c r="A83" s="121">
        <f t="shared" si="1"/>
        <v>77</v>
      </c>
      <c r="B83" s="1147"/>
      <c r="C83" s="553" t="s">
        <v>2136</v>
      </c>
      <c r="D83" s="123">
        <f>SUM(D81:D82)</f>
        <v>0</v>
      </c>
      <c r="E83" s="15" t="str">
        <f>" = L"&amp;A81&amp;" + L"&amp;A82&amp;""</f>
        <v xml:space="preserve"> = L75 + L76</v>
      </c>
      <c r="F83" s="14"/>
      <c r="G83" s="14"/>
      <c r="H83" s="14"/>
      <c r="I83" s="14"/>
      <c r="J83" s="14"/>
      <c r="K83" s="14"/>
    </row>
    <row r="84" spans="1:11" x14ac:dyDescent="0.25">
      <c r="A84" s="121">
        <f t="shared" si="1"/>
        <v>78</v>
      </c>
      <c r="B84" s="1147"/>
      <c r="C84" s="553" t="s">
        <v>2137</v>
      </c>
      <c r="D84" s="1245" t="e">
        <f>D81/D83</f>
        <v>#DIV/0!</v>
      </c>
      <c r="E84" s="15" t="str">
        <f>" = L"&amp;A81&amp;" / L"&amp;A83&amp;""</f>
        <v xml:space="preserve"> = L75 / L77</v>
      </c>
      <c r="F84" s="14"/>
      <c r="G84" s="14"/>
      <c r="H84" s="14"/>
      <c r="I84" s="14"/>
      <c r="J84" s="14"/>
      <c r="K84" s="14"/>
    </row>
    <row r="85" spans="1:11" x14ac:dyDescent="0.25">
      <c r="A85" s="121">
        <f t="shared" si="1"/>
        <v>79</v>
      </c>
      <c r="B85" s="14"/>
      <c r="C85" s="86"/>
      <c r="D85" s="14"/>
      <c r="E85" s="14"/>
      <c r="F85" s="14"/>
      <c r="G85" s="14"/>
      <c r="H85" s="14"/>
      <c r="I85" s="14"/>
      <c r="J85" s="14"/>
      <c r="K85" s="14"/>
    </row>
    <row r="86" spans="1:11" x14ac:dyDescent="0.25">
      <c r="A86" s="121">
        <f t="shared" si="1"/>
        <v>80</v>
      </c>
      <c r="B86" s="553" t="s">
        <v>2288</v>
      </c>
      <c r="C86" s="14"/>
      <c r="D86" s="135" t="s">
        <v>2099</v>
      </c>
      <c r="E86" s="135" t="s">
        <v>187</v>
      </c>
      <c r="F86" s="14"/>
      <c r="G86" s="661" t="s">
        <v>2100</v>
      </c>
      <c r="H86" s="14"/>
      <c r="I86" s="14"/>
      <c r="J86" s="14"/>
      <c r="K86" s="14"/>
    </row>
    <row r="87" spans="1:11" x14ac:dyDescent="0.25">
      <c r="A87" s="121">
        <f t="shared" si="1"/>
        <v>81</v>
      </c>
      <c r="B87" s="1147"/>
      <c r="C87" s="553" t="s">
        <v>2138</v>
      </c>
      <c r="D87" s="108"/>
      <c r="E87" s="135"/>
      <c r="F87" s="14"/>
      <c r="G87" s="1185" t="s">
        <v>1462</v>
      </c>
      <c r="H87" s="14"/>
      <c r="I87" s="14"/>
      <c r="J87" s="14"/>
      <c r="K87" s="14"/>
    </row>
    <row r="88" spans="1:11" x14ac:dyDescent="0.25">
      <c r="A88" s="121">
        <f t="shared" si="1"/>
        <v>82</v>
      </c>
      <c r="B88" s="1147"/>
      <c r="C88" s="553" t="s">
        <v>2139</v>
      </c>
      <c r="D88" s="108"/>
      <c r="E88" s="135"/>
      <c r="F88" s="14"/>
      <c r="G88" s="1185"/>
      <c r="H88" s="14"/>
      <c r="I88" s="14"/>
      <c r="J88" s="14"/>
      <c r="K88" s="14"/>
    </row>
    <row r="89" spans="1:11" x14ac:dyDescent="0.25">
      <c r="A89" s="121">
        <f t="shared" si="1"/>
        <v>83</v>
      </c>
      <c r="B89" s="1147"/>
      <c r="C89" s="553" t="s">
        <v>2140</v>
      </c>
      <c r="D89" s="123">
        <f>SUM(D87:D88)</f>
        <v>0</v>
      </c>
      <c r="E89" s="15" t="str">
        <f>" = L"&amp;A87&amp;" + L"&amp;A88&amp;""</f>
        <v xml:space="preserve"> = L81 + L82</v>
      </c>
      <c r="F89" s="14"/>
      <c r="G89" s="14"/>
      <c r="H89" s="14"/>
      <c r="I89" s="14"/>
      <c r="J89" s="14"/>
      <c r="K89" s="14"/>
    </row>
    <row r="90" spans="1:11" x14ac:dyDescent="0.25">
      <c r="A90" s="121">
        <f t="shared" si="1"/>
        <v>84</v>
      </c>
      <c r="B90" s="1147"/>
      <c r="C90" s="553" t="s">
        <v>2141</v>
      </c>
      <c r="D90" s="1245" t="e">
        <f>D87/D89</f>
        <v>#DIV/0!</v>
      </c>
      <c r="E90" s="15" t="str">
        <f>" = L"&amp;A87&amp;" / L"&amp;A89&amp;""</f>
        <v xml:space="preserve"> = L81 / L83</v>
      </c>
      <c r="F90" s="14"/>
      <c r="G90" s="14"/>
      <c r="H90" s="14"/>
      <c r="I90" s="14"/>
      <c r="J90" s="14"/>
      <c r="K90" s="14"/>
    </row>
    <row r="91" spans="1:11" x14ac:dyDescent="0.25">
      <c r="A91" s="121">
        <f t="shared" si="1"/>
        <v>85</v>
      </c>
      <c r="B91" s="14"/>
      <c r="C91" s="14"/>
      <c r="D91" s="14"/>
      <c r="E91" s="14"/>
      <c r="F91" s="14"/>
      <c r="G91" s="14"/>
      <c r="H91" s="14"/>
      <c r="I91" s="14"/>
      <c r="J91" s="14"/>
      <c r="K91" s="14"/>
    </row>
    <row r="92" spans="1:11" x14ac:dyDescent="0.25">
      <c r="A92" s="121">
        <f t="shared" si="1"/>
        <v>86</v>
      </c>
      <c r="B92" s="553" t="s">
        <v>2289</v>
      </c>
      <c r="C92" s="14"/>
      <c r="D92" s="135" t="s">
        <v>2099</v>
      </c>
      <c r="E92" s="135" t="s">
        <v>187</v>
      </c>
      <c r="F92" s="14"/>
      <c r="G92" s="661" t="s">
        <v>2100</v>
      </c>
      <c r="H92" s="14"/>
      <c r="I92" s="14"/>
      <c r="J92" s="14"/>
      <c r="K92" s="14"/>
    </row>
    <row r="93" spans="1:11" x14ac:dyDescent="0.25">
      <c r="A93" s="121">
        <f t="shared" si="1"/>
        <v>87</v>
      </c>
      <c r="B93" s="1147"/>
      <c r="C93" s="553" t="s">
        <v>2142</v>
      </c>
      <c r="D93" s="108"/>
      <c r="E93" s="135"/>
      <c r="F93" s="14"/>
      <c r="G93" s="14" t="s">
        <v>1860</v>
      </c>
      <c r="H93" s="14"/>
      <c r="I93" s="14"/>
      <c r="J93" s="14"/>
      <c r="K93" s="14"/>
    </row>
    <row r="94" spans="1:11" x14ac:dyDescent="0.25">
      <c r="A94" s="121">
        <f t="shared" si="1"/>
        <v>88</v>
      </c>
      <c r="B94" s="1147"/>
      <c r="C94" s="553" t="s">
        <v>2143</v>
      </c>
      <c r="D94" s="108"/>
      <c r="E94" s="135"/>
      <c r="F94" s="14"/>
      <c r="G94" s="1185"/>
      <c r="H94" s="14"/>
      <c r="I94" s="14"/>
      <c r="J94" s="14"/>
      <c r="K94" s="14"/>
    </row>
    <row r="95" spans="1:11" x14ac:dyDescent="0.25">
      <c r="A95" s="121">
        <f t="shared" si="1"/>
        <v>89</v>
      </c>
      <c r="B95" s="1147"/>
      <c r="C95" s="553" t="s">
        <v>2144</v>
      </c>
      <c r="D95" s="123">
        <f>SUM(D93:D94)</f>
        <v>0</v>
      </c>
      <c r="E95" s="15" t="str">
        <f>" = L"&amp;A93&amp;" + L"&amp;A94&amp;""</f>
        <v xml:space="preserve"> = L87 + L88</v>
      </c>
      <c r="F95" s="14"/>
      <c r="G95" s="14"/>
      <c r="H95" s="14"/>
      <c r="I95" s="14"/>
      <c r="J95" s="14"/>
      <c r="K95" s="14"/>
    </row>
    <row r="96" spans="1:11" x14ac:dyDescent="0.25">
      <c r="A96" s="121">
        <f t="shared" si="1"/>
        <v>90</v>
      </c>
      <c r="B96" s="1147"/>
      <c r="C96" s="553" t="s">
        <v>2145</v>
      </c>
      <c r="D96" s="1245" t="e">
        <f>D93/D95</f>
        <v>#DIV/0!</v>
      </c>
      <c r="E96" s="15" t="str">
        <f>" = L"&amp;A93&amp;" / L"&amp;A95&amp;""</f>
        <v xml:space="preserve"> = L87 / L89</v>
      </c>
      <c r="F96" s="14"/>
      <c r="G96" s="14"/>
      <c r="H96" s="14"/>
      <c r="I96" s="14"/>
      <c r="J96" s="14"/>
      <c r="K96" s="14"/>
    </row>
    <row r="97" spans="1:11" x14ac:dyDescent="0.25">
      <c r="A97" s="121">
        <f t="shared" si="1"/>
        <v>91</v>
      </c>
      <c r="B97" s="14"/>
      <c r="C97" s="14"/>
      <c r="D97" s="14"/>
      <c r="E97" s="14"/>
      <c r="F97" s="14"/>
      <c r="G97" s="14"/>
      <c r="H97" s="14"/>
      <c r="I97" s="14"/>
      <c r="J97" s="14"/>
      <c r="K97" s="14"/>
    </row>
    <row r="98" spans="1:11" x14ac:dyDescent="0.25">
      <c r="A98" s="121">
        <f t="shared" si="1"/>
        <v>92</v>
      </c>
      <c r="B98" s="553" t="s">
        <v>2290</v>
      </c>
      <c r="C98" s="14"/>
      <c r="D98" s="135" t="s">
        <v>2099</v>
      </c>
      <c r="E98" s="135" t="s">
        <v>187</v>
      </c>
      <c r="F98" s="14"/>
      <c r="G98" s="661" t="s">
        <v>2100</v>
      </c>
      <c r="H98" s="14"/>
      <c r="I98" s="14"/>
      <c r="J98" s="14"/>
      <c r="K98" s="14"/>
    </row>
    <row r="99" spans="1:11" x14ac:dyDescent="0.25">
      <c r="A99" s="121">
        <f t="shared" si="1"/>
        <v>93</v>
      </c>
      <c r="B99" s="1147"/>
      <c r="C99" s="553" t="s">
        <v>2146</v>
      </c>
      <c r="D99" s="108"/>
      <c r="E99" s="135"/>
      <c r="F99" s="14"/>
      <c r="G99" s="1185" t="s">
        <v>1663</v>
      </c>
      <c r="H99" s="14"/>
      <c r="I99" s="14"/>
      <c r="J99" s="14"/>
      <c r="K99" s="14"/>
    </row>
    <row r="100" spans="1:11" x14ac:dyDescent="0.25">
      <c r="A100" s="121">
        <f t="shared" si="1"/>
        <v>94</v>
      </c>
      <c r="B100" s="1147"/>
      <c r="C100" s="553" t="s">
        <v>2147</v>
      </c>
      <c r="D100" s="108"/>
      <c r="E100" s="135"/>
      <c r="F100" s="14"/>
      <c r="G100" s="1185"/>
      <c r="H100" s="14"/>
      <c r="I100" s="14"/>
      <c r="J100" s="14"/>
      <c r="K100" s="14"/>
    </row>
    <row r="101" spans="1:11" x14ac:dyDescent="0.25">
      <c r="A101" s="121">
        <f t="shared" si="1"/>
        <v>95</v>
      </c>
      <c r="B101" s="1147"/>
      <c r="C101" s="553" t="s">
        <v>2148</v>
      </c>
      <c r="D101" s="123">
        <f>SUM(D99:D100)</f>
        <v>0</v>
      </c>
      <c r="E101" s="15" t="str">
        <f>" = L"&amp;A99&amp;" + L"&amp;A100&amp;""</f>
        <v xml:space="preserve"> = L93 + L94</v>
      </c>
      <c r="F101" s="14"/>
      <c r="G101" s="14"/>
      <c r="H101" s="14"/>
      <c r="I101" s="14"/>
      <c r="J101" s="14"/>
      <c r="K101" s="14"/>
    </row>
    <row r="102" spans="1:11" x14ac:dyDescent="0.25">
      <c r="A102" s="121">
        <f t="shared" si="1"/>
        <v>96</v>
      </c>
      <c r="B102" s="1147"/>
      <c r="C102" s="553" t="s">
        <v>2149</v>
      </c>
      <c r="D102" s="1245" t="e">
        <f>D99/D101</f>
        <v>#DIV/0!</v>
      </c>
      <c r="E102" s="15" t="str">
        <f>" = L"&amp;A99&amp;" / L"&amp;A101&amp;""</f>
        <v xml:space="preserve"> = L93 / L95</v>
      </c>
      <c r="F102" s="14"/>
      <c r="G102" s="14"/>
      <c r="H102" s="14"/>
      <c r="I102" s="14"/>
      <c r="J102" s="14"/>
      <c r="K102" s="14"/>
    </row>
    <row r="103" spans="1:11" x14ac:dyDescent="0.25">
      <c r="A103" s="121">
        <f t="shared" si="1"/>
        <v>97</v>
      </c>
      <c r="B103" s="14"/>
      <c r="C103" s="14"/>
      <c r="D103" s="14"/>
      <c r="E103" s="14"/>
      <c r="F103" s="14"/>
      <c r="G103" s="14"/>
      <c r="H103" s="14"/>
      <c r="I103" s="14"/>
      <c r="J103" s="14"/>
      <c r="K103" s="14"/>
    </row>
    <row r="104" spans="1:11" x14ac:dyDescent="0.25">
      <c r="A104" s="121">
        <f t="shared" si="1"/>
        <v>98</v>
      </c>
      <c r="B104" s="553" t="s">
        <v>2291</v>
      </c>
      <c r="C104" s="14"/>
      <c r="D104" s="135" t="s">
        <v>2099</v>
      </c>
      <c r="E104" s="135" t="s">
        <v>187</v>
      </c>
      <c r="F104" s="14"/>
      <c r="G104" s="661" t="s">
        <v>2100</v>
      </c>
      <c r="H104" s="14"/>
      <c r="I104" s="14"/>
      <c r="J104" s="14"/>
      <c r="K104" s="14"/>
    </row>
    <row r="105" spans="1:11" x14ac:dyDescent="0.25">
      <c r="A105" s="121">
        <f t="shared" si="1"/>
        <v>99</v>
      </c>
      <c r="B105" s="1147"/>
      <c r="C105" s="553" t="s">
        <v>2150</v>
      </c>
      <c r="D105" s="108"/>
      <c r="E105" s="135"/>
      <c r="F105" s="14"/>
      <c r="G105" s="1185" t="s">
        <v>1471</v>
      </c>
      <c r="H105" s="14"/>
      <c r="I105" s="14"/>
      <c r="J105" s="14"/>
      <c r="K105" s="14"/>
    </row>
    <row r="106" spans="1:11" x14ac:dyDescent="0.25">
      <c r="A106" s="121">
        <f t="shared" si="1"/>
        <v>100</v>
      </c>
      <c r="B106" s="1147"/>
      <c r="C106" s="553" t="s">
        <v>2151</v>
      </c>
      <c r="D106" s="108"/>
      <c r="E106" s="135"/>
      <c r="F106" s="14"/>
      <c r="G106" s="1185"/>
      <c r="H106" s="14"/>
      <c r="I106" s="14"/>
      <c r="J106" s="14"/>
      <c r="K106" s="14"/>
    </row>
    <row r="107" spans="1:11" x14ac:dyDescent="0.25">
      <c r="A107" s="121">
        <f t="shared" si="1"/>
        <v>101</v>
      </c>
      <c r="B107" s="1147"/>
      <c r="C107" s="553" t="s">
        <v>2152</v>
      </c>
      <c r="D107" s="123">
        <f>SUM(D105:D106)</f>
        <v>0</v>
      </c>
      <c r="E107" s="15" t="str">
        <f>" = L"&amp;A105&amp;" + L"&amp;A106&amp;""</f>
        <v xml:space="preserve"> = L99 + L100</v>
      </c>
      <c r="F107" s="14"/>
      <c r="G107" s="14"/>
      <c r="H107" s="14"/>
      <c r="I107" s="14"/>
      <c r="J107" s="14"/>
      <c r="K107" s="14"/>
    </row>
    <row r="108" spans="1:11" x14ac:dyDescent="0.25">
      <c r="A108" s="121">
        <f t="shared" si="1"/>
        <v>102</v>
      </c>
      <c r="B108" s="1147"/>
      <c r="C108" s="553" t="s">
        <v>2153</v>
      </c>
      <c r="D108" s="1245" t="e">
        <f>D105/D107</f>
        <v>#DIV/0!</v>
      </c>
      <c r="E108" s="15" t="str">
        <f>" = L"&amp;A105&amp;" / L"&amp;A107&amp;""</f>
        <v xml:space="preserve"> = L99 / L101</v>
      </c>
      <c r="F108" s="14"/>
      <c r="G108" s="14"/>
      <c r="H108" s="14"/>
      <c r="I108" s="14"/>
      <c r="J108" s="14"/>
      <c r="K108" s="14"/>
    </row>
    <row r="109" spans="1:11" x14ac:dyDescent="0.25">
      <c r="A109" s="121">
        <f t="shared" si="1"/>
        <v>103</v>
      </c>
      <c r="B109" s="14"/>
      <c r="C109" s="14"/>
      <c r="D109" s="14"/>
      <c r="E109" s="14"/>
      <c r="F109" s="14"/>
      <c r="G109" s="14"/>
      <c r="H109" s="14"/>
      <c r="I109" s="14"/>
      <c r="J109" s="14"/>
      <c r="K109" s="14"/>
    </row>
    <row r="110" spans="1:11" x14ac:dyDescent="0.25">
      <c r="A110" s="121">
        <f t="shared" si="1"/>
        <v>104</v>
      </c>
      <c r="B110" s="553" t="s">
        <v>2292</v>
      </c>
      <c r="C110" s="14"/>
      <c r="D110" s="135" t="s">
        <v>2099</v>
      </c>
      <c r="E110" s="135" t="s">
        <v>187</v>
      </c>
      <c r="F110" s="14"/>
      <c r="G110" s="661" t="s">
        <v>2100</v>
      </c>
      <c r="H110" s="14"/>
      <c r="I110" s="14"/>
      <c r="J110" s="14"/>
      <c r="K110" s="14"/>
    </row>
    <row r="111" spans="1:11" x14ac:dyDescent="0.25">
      <c r="A111" s="121">
        <f t="shared" si="1"/>
        <v>105</v>
      </c>
      <c r="B111" s="1147"/>
      <c r="C111" s="553" t="s">
        <v>2154</v>
      </c>
      <c r="D111" s="108"/>
      <c r="E111" s="135"/>
      <c r="F111" s="14"/>
      <c r="G111" s="1185" t="s">
        <v>1478</v>
      </c>
      <c r="H111" s="14"/>
      <c r="I111" s="14"/>
      <c r="J111" s="14"/>
      <c r="K111" s="14"/>
    </row>
    <row r="112" spans="1:11" x14ac:dyDescent="0.25">
      <c r="A112" s="121">
        <f t="shared" si="1"/>
        <v>106</v>
      </c>
      <c r="B112" s="1147"/>
      <c r="C112" s="553" t="s">
        <v>2155</v>
      </c>
      <c r="D112" s="108"/>
      <c r="E112" s="135"/>
      <c r="F112" s="14"/>
      <c r="G112" s="1185"/>
      <c r="H112" s="14"/>
      <c r="I112" s="14"/>
      <c r="J112" s="14"/>
      <c r="K112" s="14"/>
    </row>
    <row r="113" spans="1:11" x14ac:dyDescent="0.25">
      <c r="A113" s="121">
        <f t="shared" si="1"/>
        <v>107</v>
      </c>
      <c r="B113" s="1147"/>
      <c r="C113" s="553" t="s">
        <v>2156</v>
      </c>
      <c r="D113" s="123">
        <f>SUM(D111:D112)</f>
        <v>0</v>
      </c>
      <c r="E113" s="15" t="str">
        <f>" = L"&amp;A111&amp;" + L"&amp;A112&amp;""</f>
        <v xml:space="preserve"> = L105 + L106</v>
      </c>
      <c r="F113" s="14"/>
      <c r="G113" s="14"/>
      <c r="H113" s="14"/>
      <c r="I113" s="14"/>
      <c r="J113" s="14"/>
      <c r="K113" s="14"/>
    </row>
    <row r="114" spans="1:11" x14ac:dyDescent="0.25">
      <c r="A114" s="121">
        <f t="shared" si="1"/>
        <v>108</v>
      </c>
      <c r="B114" s="1147"/>
      <c r="C114" s="553" t="s">
        <v>2157</v>
      </c>
      <c r="D114" s="1245" t="e">
        <f>D111/D113</f>
        <v>#DIV/0!</v>
      </c>
      <c r="E114" s="15" t="str">
        <f>" = L"&amp;A111&amp;" / L"&amp;A113&amp;""</f>
        <v xml:space="preserve"> = L105 / L107</v>
      </c>
      <c r="F114" s="14"/>
      <c r="G114" s="14"/>
      <c r="H114" s="14"/>
      <c r="I114" s="14"/>
      <c r="J114" s="14"/>
      <c r="K114" s="14"/>
    </row>
    <row r="115" spans="1:11" x14ac:dyDescent="0.25">
      <c r="A115" s="121">
        <f t="shared" si="1"/>
        <v>109</v>
      </c>
      <c r="B115" s="14"/>
      <c r="C115" s="14"/>
      <c r="D115" s="14"/>
      <c r="E115" s="14"/>
      <c r="F115" s="14"/>
      <c r="G115" s="14"/>
      <c r="H115" s="14"/>
      <c r="I115" s="14"/>
      <c r="J115" s="14"/>
      <c r="K115" s="14"/>
    </row>
    <row r="116" spans="1:11" x14ac:dyDescent="0.25">
      <c r="A116" s="121">
        <f t="shared" si="1"/>
        <v>110</v>
      </c>
      <c r="B116" s="553" t="s">
        <v>2293</v>
      </c>
      <c r="C116" s="14"/>
      <c r="D116" s="135" t="s">
        <v>2099</v>
      </c>
      <c r="E116" s="135" t="s">
        <v>187</v>
      </c>
      <c r="F116" s="14"/>
      <c r="G116" s="661" t="s">
        <v>2100</v>
      </c>
      <c r="H116" s="14"/>
      <c r="I116" s="14"/>
      <c r="J116" s="14"/>
      <c r="K116" s="14"/>
    </row>
    <row r="117" spans="1:11" x14ac:dyDescent="0.25">
      <c r="A117" s="121">
        <f t="shared" si="1"/>
        <v>111</v>
      </c>
      <c r="B117" s="1147"/>
      <c r="C117" s="553" t="s">
        <v>2160</v>
      </c>
      <c r="D117" s="108"/>
      <c r="E117" s="135"/>
      <c r="F117" s="14"/>
      <c r="G117" s="1185" t="s">
        <v>1479</v>
      </c>
      <c r="H117" s="14"/>
      <c r="I117" s="14"/>
      <c r="J117" s="14"/>
      <c r="K117" s="14"/>
    </row>
    <row r="118" spans="1:11" x14ac:dyDescent="0.25">
      <c r="A118" s="121">
        <f t="shared" si="1"/>
        <v>112</v>
      </c>
      <c r="B118" s="1147"/>
      <c r="C118" s="553" t="s">
        <v>2158</v>
      </c>
      <c r="D118" s="108"/>
      <c r="E118" s="135"/>
      <c r="F118" s="14"/>
      <c r="G118" s="1185"/>
      <c r="H118" s="14"/>
      <c r="I118" s="14"/>
      <c r="J118" s="14"/>
      <c r="K118" s="14"/>
    </row>
    <row r="119" spans="1:11" x14ac:dyDescent="0.25">
      <c r="A119" s="121">
        <f t="shared" si="1"/>
        <v>113</v>
      </c>
      <c r="B119" s="1147"/>
      <c r="C119" s="553" t="s">
        <v>2159</v>
      </c>
      <c r="D119" s="123">
        <f>SUM(D117:D118)</f>
        <v>0</v>
      </c>
      <c r="E119" s="15" t="str">
        <f>" = L"&amp;A117&amp;" + L"&amp;A118&amp;""</f>
        <v xml:space="preserve"> = L111 + L112</v>
      </c>
      <c r="F119" s="14"/>
      <c r="G119" s="14"/>
      <c r="H119" s="14"/>
      <c r="I119" s="14"/>
      <c r="J119" s="14"/>
      <c r="K119" s="14"/>
    </row>
    <row r="120" spans="1:11" x14ac:dyDescent="0.25">
      <c r="A120" s="121">
        <f t="shared" si="1"/>
        <v>114</v>
      </c>
      <c r="B120" s="1147"/>
      <c r="C120" s="553" t="s">
        <v>2161</v>
      </c>
      <c r="D120" s="1245" t="e">
        <f>D117/D119</f>
        <v>#DIV/0!</v>
      </c>
      <c r="E120" s="15" t="str">
        <f>" = L"&amp;A117&amp;" / L"&amp;A119&amp;""</f>
        <v xml:space="preserve"> = L111 / L113</v>
      </c>
      <c r="F120" s="14"/>
      <c r="G120" s="14"/>
      <c r="H120" s="14"/>
      <c r="I120" s="14"/>
      <c r="J120" s="14"/>
      <c r="K120" s="14"/>
    </row>
    <row r="121" spans="1:11" x14ac:dyDescent="0.25">
      <c r="A121" s="121">
        <f t="shared" si="1"/>
        <v>115</v>
      </c>
      <c r="B121" s="14"/>
      <c r="C121" s="14"/>
      <c r="D121" s="14"/>
      <c r="E121" s="14"/>
      <c r="F121" s="14"/>
      <c r="G121" s="14"/>
      <c r="H121" s="14"/>
      <c r="I121" s="14"/>
      <c r="J121" s="14"/>
      <c r="K121" s="14"/>
    </row>
    <row r="122" spans="1:11" x14ac:dyDescent="0.25">
      <c r="A122" s="121">
        <f t="shared" si="1"/>
        <v>116</v>
      </c>
      <c r="B122" s="553" t="s">
        <v>2294</v>
      </c>
      <c r="C122" s="14"/>
      <c r="D122" s="135" t="s">
        <v>2099</v>
      </c>
      <c r="E122" s="135" t="s">
        <v>187</v>
      </c>
      <c r="F122" s="14"/>
      <c r="G122" s="661" t="s">
        <v>2100</v>
      </c>
      <c r="H122" s="14"/>
      <c r="I122" s="14"/>
      <c r="J122" s="14"/>
      <c r="K122" s="14"/>
    </row>
    <row r="123" spans="1:11" x14ac:dyDescent="0.25">
      <c r="A123" s="121">
        <f t="shared" si="1"/>
        <v>117</v>
      </c>
      <c r="B123" s="1147"/>
      <c r="C123" s="553" t="s">
        <v>2162</v>
      </c>
      <c r="D123" s="108"/>
      <c r="E123" s="135"/>
      <c r="F123" s="14"/>
      <c r="G123" s="1185" t="s">
        <v>1480</v>
      </c>
      <c r="H123" s="14"/>
      <c r="I123" s="14"/>
      <c r="J123" s="14"/>
      <c r="K123" s="14"/>
    </row>
    <row r="124" spans="1:11" x14ac:dyDescent="0.25">
      <c r="A124" s="121">
        <f t="shared" si="1"/>
        <v>118</v>
      </c>
      <c r="B124" s="1147"/>
      <c r="C124" s="553" t="s">
        <v>2165</v>
      </c>
      <c r="D124" s="108"/>
      <c r="E124" s="135"/>
      <c r="F124" s="14"/>
      <c r="G124" s="1185"/>
      <c r="H124" s="14"/>
      <c r="I124" s="14"/>
      <c r="J124" s="14"/>
      <c r="K124" s="14"/>
    </row>
    <row r="125" spans="1:11" x14ac:dyDescent="0.25">
      <c r="A125" s="121">
        <f t="shared" ref="A125:A126" si="2">A124+1</f>
        <v>119</v>
      </c>
      <c r="B125" s="1147"/>
      <c r="C125" s="553" t="s">
        <v>2163</v>
      </c>
      <c r="D125" s="123">
        <f>SUM(D123:D124)</f>
        <v>0</v>
      </c>
      <c r="E125" s="15" t="str">
        <f>" = L"&amp;A123&amp;" + L"&amp;A124&amp;""</f>
        <v xml:space="preserve"> = L117 + L118</v>
      </c>
      <c r="F125" s="14"/>
      <c r="G125" s="14"/>
      <c r="H125" s="14"/>
      <c r="I125" s="14"/>
      <c r="J125" s="14"/>
      <c r="K125" s="14"/>
    </row>
    <row r="126" spans="1:11" x14ac:dyDescent="0.25">
      <c r="A126" s="121">
        <f t="shared" si="2"/>
        <v>120</v>
      </c>
      <c r="B126" s="1147"/>
      <c r="C126" s="553" t="s">
        <v>2164</v>
      </c>
      <c r="D126" s="1245" t="e">
        <f>D123/D125</f>
        <v>#DIV/0!</v>
      </c>
      <c r="E126" s="15" t="str">
        <f>" = L"&amp;A123&amp;" / L"&amp;A125&amp;""</f>
        <v xml:space="preserve"> = L117 / L119</v>
      </c>
      <c r="F126" s="14"/>
      <c r="G126" s="14"/>
      <c r="H126" s="14"/>
      <c r="I126" s="14"/>
      <c r="J126" s="14"/>
      <c r="K126" s="14"/>
    </row>
    <row r="127" spans="1:11" x14ac:dyDescent="0.25">
      <c r="A127" s="689"/>
      <c r="E127" s="14"/>
      <c r="F127" s="14"/>
      <c r="G127" s="14"/>
      <c r="H127" s="14"/>
      <c r="I127" s="14"/>
      <c r="J127" s="14"/>
      <c r="K127" s="14"/>
    </row>
    <row r="128" spans="1:11" x14ac:dyDescent="0.25">
      <c r="A128" s="689"/>
      <c r="E128" s="14"/>
      <c r="F128" s="14"/>
      <c r="G128" s="14"/>
      <c r="H128" s="14"/>
      <c r="I128" s="14"/>
      <c r="J128" s="14"/>
      <c r="K128" s="14"/>
    </row>
    <row r="129" spans="1:11" x14ac:dyDescent="0.25">
      <c r="A129" s="689"/>
      <c r="E129" s="14"/>
      <c r="F129" s="14"/>
      <c r="G129" s="14"/>
      <c r="H129" s="14"/>
      <c r="I129" s="14"/>
      <c r="J129" s="14"/>
      <c r="K129" s="14"/>
    </row>
    <row r="130" spans="1:11" x14ac:dyDescent="0.25">
      <c r="A130" s="689"/>
    </row>
    <row r="131" spans="1:11" x14ac:dyDescent="0.25">
      <c r="A131" s="689"/>
    </row>
    <row r="132" spans="1:11" x14ac:dyDescent="0.25">
      <c r="A132" s="689"/>
    </row>
    <row r="133" spans="1:11" x14ac:dyDescent="0.25">
      <c r="A133" s="689"/>
    </row>
    <row r="134" spans="1:11" x14ac:dyDescent="0.25">
      <c r="A134" s="689"/>
    </row>
    <row r="135" spans="1:11" x14ac:dyDescent="0.25">
      <c r="A135" s="689"/>
    </row>
    <row r="136" spans="1:11" x14ac:dyDescent="0.25">
      <c r="A136" s="689"/>
    </row>
    <row r="137" spans="1:11" x14ac:dyDescent="0.25">
      <c r="A137" s="689"/>
    </row>
    <row r="138" spans="1:11" x14ac:dyDescent="0.25">
      <c r="A138" s="689"/>
    </row>
  </sheetData>
  <phoneticPr fontId="12" type="noConversion"/>
  <pageMargins left="0.75" right="0.75" top="1" bottom="1" header="0.5" footer="0.5"/>
  <pageSetup scale="70" orientation="landscape" cellComments="asDisplayed" r:id="rId1"/>
  <headerFooter alignWithMargins="0">
    <oddHeader>&amp;CSchedule 27
Allocation Factors
&amp;"Arial,Bold"Attachment 5</oddHeader>
    <oddFooter>&amp;R&amp;A</oddFooter>
  </headerFooter>
  <rowBreaks count="2" manualBreakCount="2">
    <brk id="49" max="16383" man="1"/>
    <brk id="103" max="10"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zoomScale="85" zoomScaleNormal="85" workbookViewId="0"/>
  </sheetViews>
  <sheetFormatPr defaultRowHeight="13.2" x14ac:dyDescent="0.25"/>
  <cols>
    <col min="1" max="1" width="4.6640625" customWidth="1"/>
    <col min="2" max="2" width="3.6640625" customWidth="1"/>
    <col min="3" max="6" width="10.6640625" customWidth="1"/>
    <col min="7" max="7" width="9.44140625" bestFit="1" customWidth="1"/>
    <col min="8" max="8" width="4.6640625" customWidth="1"/>
    <col min="9" max="9" width="35.6640625" customWidth="1"/>
  </cols>
  <sheetData>
    <row r="1" spans="1:9" x14ac:dyDescent="0.25">
      <c r="A1" s="1" t="s">
        <v>1888</v>
      </c>
    </row>
    <row r="3" spans="1:9" x14ac:dyDescent="0.25">
      <c r="B3" s="1" t="s">
        <v>555</v>
      </c>
      <c r="I3" s="105" t="s">
        <v>17</v>
      </c>
    </row>
    <row r="4" spans="1:9" x14ac:dyDescent="0.25">
      <c r="B4" s="1"/>
      <c r="I4" s="14"/>
    </row>
    <row r="5" spans="1:9" x14ac:dyDescent="0.25">
      <c r="E5" s="121" t="s">
        <v>2266</v>
      </c>
    </row>
    <row r="6" spans="1:9" x14ac:dyDescent="0.25">
      <c r="A6" s="53" t="s">
        <v>360</v>
      </c>
      <c r="C6" s="3" t="s">
        <v>258</v>
      </c>
      <c r="D6" s="3" t="s">
        <v>259</v>
      </c>
      <c r="E6" s="1246" t="s">
        <v>73</v>
      </c>
      <c r="G6" s="3" t="s">
        <v>260</v>
      </c>
      <c r="I6" s="53" t="s">
        <v>224</v>
      </c>
    </row>
    <row r="7" spans="1:9" x14ac:dyDescent="0.25">
      <c r="A7" s="2">
        <v>1</v>
      </c>
      <c r="C7" s="164"/>
      <c r="D7" s="105"/>
      <c r="E7" s="105"/>
      <c r="G7" s="96"/>
      <c r="I7" s="910"/>
    </row>
    <row r="8" spans="1:9" x14ac:dyDescent="0.25">
      <c r="A8" s="2">
        <v>2</v>
      </c>
      <c r="C8" s="105"/>
      <c r="D8" s="105"/>
      <c r="E8" s="105"/>
      <c r="G8" s="105"/>
      <c r="I8" s="126"/>
    </row>
    <row r="10" spans="1:9" x14ac:dyDescent="0.25">
      <c r="B10" s="1" t="s">
        <v>1889</v>
      </c>
    </row>
    <row r="11" spans="1:9" x14ac:dyDescent="0.25">
      <c r="B11" s="1"/>
    </row>
    <row r="12" spans="1:9" x14ac:dyDescent="0.25">
      <c r="E12" s="121" t="s">
        <v>2266</v>
      </c>
    </row>
    <row r="13" spans="1:9" x14ac:dyDescent="0.25">
      <c r="C13" s="3" t="s">
        <v>258</v>
      </c>
      <c r="D13" s="3" t="s">
        <v>259</v>
      </c>
      <c r="E13" s="1246" t="s">
        <v>73</v>
      </c>
      <c r="G13" s="3" t="s">
        <v>261</v>
      </c>
      <c r="I13" s="53" t="s">
        <v>224</v>
      </c>
    </row>
    <row r="14" spans="1:9" x14ac:dyDescent="0.25">
      <c r="A14" s="2">
        <v>3</v>
      </c>
      <c r="C14" s="164"/>
      <c r="D14" s="105"/>
      <c r="E14" s="105"/>
      <c r="G14" s="96"/>
      <c r="I14" s="126"/>
    </row>
    <row r="15" spans="1:9" x14ac:dyDescent="0.25">
      <c r="A15" s="2">
        <v>4</v>
      </c>
      <c r="C15" s="164"/>
      <c r="D15" s="105"/>
      <c r="E15" s="105"/>
      <c r="G15" s="96"/>
      <c r="I15" s="126"/>
    </row>
    <row r="18" spans="1:9" x14ac:dyDescent="0.25">
      <c r="B18" s="1" t="s">
        <v>554</v>
      </c>
    </row>
    <row r="19" spans="1:9" x14ac:dyDescent="0.25">
      <c r="B19" s="1"/>
    </row>
    <row r="20" spans="1:9" x14ac:dyDescent="0.25">
      <c r="C20" s="2" t="s">
        <v>446</v>
      </c>
      <c r="D20" s="2"/>
      <c r="E20" s="2"/>
    </row>
    <row r="21" spans="1:9" x14ac:dyDescent="0.25">
      <c r="C21" s="3" t="s">
        <v>212</v>
      </c>
      <c r="D21" s="3" t="s">
        <v>260</v>
      </c>
      <c r="E21" s="3" t="s">
        <v>261</v>
      </c>
      <c r="I21" s="53" t="s">
        <v>187</v>
      </c>
    </row>
    <row r="22" spans="1:9" x14ac:dyDescent="0.25">
      <c r="A22" s="2">
        <v>5</v>
      </c>
      <c r="C22" s="165"/>
      <c r="D22" s="1247">
        <f>E41</f>
        <v>0</v>
      </c>
      <c r="E22" s="1247">
        <f>E42</f>
        <v>0</v>
      </c>
      <c r="F22" s="14"/>
      <c r="G22" s="14"/>
      <c r="H22" s="14"/>
      <c r="I22" s="553" t="s">
        <v>2013</v>
      </c>
    </row>
    <row r="24" spans="1:9" x14ac:dyDescent="0.25">
      <c r="B24" s="1" t="s">
        <v>256</v>
      </c>
    </row>
    <row r="25" spans="1:9" x14ac:dyDescent="0.25">
      <c r="B25" s="12" t="s">
        <v>610</v>
      </c>
    </row>
    <row r="26" spans="1:9" x14ac:dyDescent="0.25">
      <c r="B26" s="12" t="s">
        <v>609</v>
      </c>
    </row>
    <row r="28" spans="1:9" x14ac:dyDescent="0.25">
      <c r="B28" s="1" t="s">
        <v>420</v>
      </c>
    </row>
    <row r="29" spans="1:9" x14ac:dyDescent="0.25">
      <c r="B29" s="553" t="s">
        <v>2015</v>
      </c>
      <c r="C29" s="14"/>
      <c r="D29" s="14"/>
      <c r="E29" s="14"/>
      <c r="F29" s="14"/>
      <c r="G29" s="14"/>
      <c r="H29" s="14"/>
      <c r="I29" s="14"/>
    </row>
    <row r="30" spans="1:9" x14ac:dyDescent="0.25">
      <c r="B30" s="553" t="s">
        <v>2025</v>
      </c>
      <c r="C30" s="14"/>
      <c r="D30" s="14"/>
      <c r="E30" s="14"/>
      <c r="F30" s="14"/>
      <c r="G30" s="14"/>
      <c r="H30" s="14"/>
      <c r="I30" s="14"/>
    </row>
    <row r="31" spans="1:9" x14ac:dyDescent="0.25">
      <c r="B31" s="553" t="s">
        <v>2271</v>
      </c>
      <c r="C31" s="14"/>
      <c r="D31" s="14"/>
      <c r="E31" s="14"/>
      <c r="F31" s="14"/>
      <c r="G31" s="14"/>
      <c r="H31" s="14"/>
      <c r="I31" s="14"/>
    </row>
    <row r="32" spans="1:9" x14ac:dyDescent="0.25">
      <c r="B32" s="553" t="s">
        <v>2270</v>
      </c>
      <c r="C32" s="14"/>
      <c r="D32" s="14"/>
      <c r="E32" s="14"/>
      <c r="F32" s="14"/>
      <c r="G32" s="14"/>
      <c r="H32" s="14"/>
      <c r="I32" s="14"/>
    </row>
    <row r="33" spans="2:9" x14ac:dyDescent="0.25">
      <c r="B33" s="553" t="s">
        <v>2010</v>
      </c>
      <c r="C33" s="14"/>
      <c r="D33" s="14"/>
      <c r="E33" s="14"/>
      <c r="F33" s="14"/>
      <c r="G33" s="14"/>
      <c r="H33" s="14"/>
      <c r="I33" s="14"/>
    </row>
    <row r="34" spans="2:9" x14ac:dyDescent="0.25">
      <c r="B34" s="553" t="s">
        <v>2011</v>
      </c>
      <c r="C34" s="14"/>
      <c r="D34" s="14"/>
      <c r="E34" s="14"/>
      <c r="F34" s="14"/>
      <c r="G34" s="14"/>
      <c r="H34" s="14"/>
      <c r="I34" s="14"/>
    </row>
    <row r="35" spans="2:9" x14ac:dyDescent="0.25">
      <c r="B35" s="553" t="s">
        <v>2530</v>
      </c>
      <c r="C35" s="14"/>
      <c r="D35" s="14"/>
      <c r="E35" s="14"/>
      <c r="F35" s="14"/>
      <c r="G35" s="14"/>
      <c r="H35" s="14"/>
      <c r="I35" s="14"/>
    </row>
    <row r="36" spans="2:9" x14ac:dyDescent="0.25">
      <c r="B36" s="553" t="s">
        <v>2014</v>
      </c>
      <c r="C36" s="14"/>
      <c r="D36" s="14"/>
      <c r="E36" s="14"/>
      <c r="F36" s="14"/>
      <c r="G36" s="14"/>
      <c r="H36" s="14"/>
      <c r="I36" s="14"/>
    </row>
    <row r="37" spans="2:9" x14ac:dyDescent="0.25">
      <c r="B37" s="553" t="s">
        <v>2012</v>
      </c>
      <c r="C37" s="14"/>
      <c r="D37" s="14"/>
      <c r="E37" s="14"/>
      <c r="F37" s="14"/>
      <c r="G37" s="14"/>
      <c r="H37" s="14"/>
      <c r="I37" s="14"/>
    </row>
    <row r="38" spans="2:9" x14ac:dyDescent="0.25">
      <c r="B38" s="553" t="s">
        <v>2269</v>
      </c>
      <c r="C38" s="14"/>
      <c r="D38" s="14"/>
      <c r="E38" s="14"/>
      <c r="F38" s="14"/>
      <c r="G38" s="14"/>
      <c r="H38" s="14"/>
      <c r="I38" s="14"/>
    </row>
    <row r="39" spans="2:9" x14ac:dyDescent="0.25">
      <c r="B39" s="14"/>
      <c r="C39" s="14"/>
      <c r="D39" s="14"/>
      <c r="E39" s="14"/>
      <c r="F39" s="14"/>
      <c r="G39" s="14"/>
      <c r="H39" s="14"/>
      <c r="I39" s="14"/>
    </row>
    <row r="40" spans="2:9" x14ac:dyDescent="0.25">
      <c r="B40" s="14"/>
      <c r="C40" s="14"/>
      <c r="D40" s="14"/>
      <c r="E40" s="135" t="s">
        <v>1627</v>
      </c>
      <c r="F40" s="14"/>
      <c r="G40" s="1139" t="s">
        <v>171</v>
      </c>
      <c r="H40" s="14"/>
      <c r="I40" s="14"/>
    </row>
    <row r="41" spans="2:9" x14ac:dyDescent="0.25">
      <c r="B41" s="14"/>
      <c r="C41" s="14"/>
      <c r="D41" s="1151" t="s">
        <v>2267</v>
      </c>
      <c r="E41" s="1247">
        <f>((G7*E7) + (G8*E8))/365</f>
        <v>0</v>
      </c>
      <c r="F41" s="14"/>
      <c r="G41" s="717" t="s">
        <v>2272</v>
      </c>
      <c r="H41" s="14"/>
      <c r="I41" s="14"/>
    </row>
    <row r="42" spans="2:9" x14ac:dyDescent="0.25">
      <c r="B42" s="14"/>
      <c r="C42" s="14"/>
      <c r="D42" s="1151" t="s">
        <v>2268</v>
      </c>
      <c r="E42" s="1247">
        <f>((G14*E14) + (G15*E15))/365</f>
        <v>0</v>
      </c>
      <c r="F42" s="14"/>
      <c r="G42" s="717" t="s">
        <v>2273</v>
      </c>
      <c r="H42" s="14"/>
      <c r="I42" s="14"/>
    </row>
  </sheetData>
  <phoneticPr fontId="12" type="noConversion"/>
  <pageMargins left="0.75" right="0.75" top="1" bottom="1" header="0.5" footer="0.5"/>
  <pageSetup scale="82" orientation="portrait" cellComments="asDisplayed" r:id="rId1"/>
  <headerFooter alignWithMargins="0">
    <oddHeader>&amp;CSchedule 28
FF and U
&amp;"Arial,Bold"Attachment 5</oddHeader>
    <oddFooter>&amp;R&amp;A</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zoomScale="85" zoomScaleNormal="85" workbookViewId="0"/>
  </sheetViews>
  <sheetFormatPr defaultRowHeight="13.2" x14ac:dyDescent="0.25"/>
  <cols>
    <col min="1" max="1" width="4.6640625" customWidth="1"/>
    <col min="2" max="2" width="17.109375" customWidth="1"/>
    <col min="3" max="3" width="25.6640625" customWidth="1"/>
    <col min="4" max="6" width="13.6640625" customWidth="1"/>
    <col min="7" max="7" width="3.6640625" customWidth="1"/>
    <col min="8" max="8" width="14.6640625" customWidth="1"/>
    <col min="9" max="10" width="13.6640625" customWidth="1"/>
  </cols>
  <sheetData>
    <row r="1" spans="1:10" x14ac:dyDescent="0.25">
      <c r="A1" s="1" t="s">
        <v>1571</v>
      </c>
    </row>
    <row r="2" spans="1:10" x14ac:dyDescent="0.25">
      <c r="G2" s="44" t="s">
        <v>17</v>
      </c>
      <c r="H2" s="44"/>
      <c r="I2" s="105"/>
    </row>
    <row r="3" spans="1:10" x14ac:dyDescent="0.25">
      <c r="A3" s="3" t="s">
        <v>360</v>
      </c>
      <c r="B3" s="3" t="s">
        <v>93</v>
      </c>
      <c r="F3" s="53" t="s">
        <v>187</v>
      </c>
      <c r="G3" s="53" t="s">
        <v>198</v>
      </c>
      <c r="J3" s="53"/>
    </row>
    <row r="4" spans="1:10" x14ac:dyDescent="0.25">
      <c r="A4" s="2">
        <v>1</v>
      </c>
      <c r="B4" s="48" t="e">
        <f>'1-BaseTRR'!K157</f>
        <v>#DIV/0!</v>
      </c>
      <c r="C4" s="54" t="s">
        <v>144</v>
      </c>
      <c r="G4" s="15" t="str">
        <f>"1-BaseTRR, Line "&amp;'1-BaseTRR'!A157&amp;""</f>
        <v>1-BaseTRR, Line 89</v>
      </c>
      <c r="H4" s="14"/>
    </row>
    <row r="5" spans="1:10" x14ac:dyDescent="0.25">
      <c r="A5" s="2">
        <f t="shared" ref="A5:A10" si="0">A4+1</f>
        <v>2</v>
      </c>
      <c r="B5" s="6"/>
      <c r="C5" s="54" t="s">
        <v>145</v>
      </c>
      <c r="F5" s="12" t="s">
        <v>395</v>
      </c>
      <c r="G5" s="561"/>
      <c r="H5" s="105"/>
      <c r="I5" s="561"/>
    </row>
    <row r="6" spans="1:10" x14ac:dyDescent="0.25">
      <c r="A6" s="2">
        <f t="shared" si="0"/>
        <v>3</v>
      </c>
      <c r="B6" s="6"/>
      <c r="C6" s="54" t="s">
        <v>146</v>
      </c>
      <c r="G6" s="561"/>
      <c r="H6" s="105"/>
      <c r="I6" s="561"/>
    </row>
    <row r="7" spans="1:10" x14ac:dyDescent="0.25">
      <c r="A7" s="2">
        <f t="shared" si="0"/>
        <v>4</v>
      </c>
      <c r="B7" s="6"/>
      <c r="C7" s="54" t="s">
        <v>147</v>
      </c>
      <c r="G7" s="561"/>
      <c r="H7" s="105"/>
      <c r="I7" s="561"/>
    </row>
    <row r="8" spans="1:10" x14ac:dyDescent="0.25">
      <c r="A8" s="2">
        <f t="shared" si="0"/>
        <v>5</v>
      </c>
      <c r="B8" s="48" t="e">
        <f>-'33-RetailRates'!E61</f>
        <v>#DIV/0!</v>
      </c>
      <c r="C8" s="54" t="s">
        <v>148</v>
      </c>
      <c r="F8" t="s">
        <v>396</v>
      </c>
      <c r="G8" t="s">
        <v>92</v>
      </c>
    </row>
    <row r="9" spans="1:10" x14ac:dyDescent="0.25">
      <c r="A9" s="2">
        <f t="shared" si="0"/>
        <v>6</v>
      </c>
      <c r="B9" s="8" t="e">
        <f>'31-HVLV'!C45</f>
        <v>#DIV/0!</v>
      </c>
      <c r="C9" s="54" t="s">
        <v>91</v>
      </c>
      <c r="G9" s="15" t="str">
        <f>"31-HVLV, Line "&amp;'31-HVLV'!A45&amp;""</f>
        <v>31-HVLV, Line 37</v>
      </c>
      <c r="H9" s="14"/>
    </row>
    <row r="10" spans="1:10" x14ac:dyDescent="0.25">
      <c r="A10" s="2">
        <f t="shared" si="0"/>
        <v>7</v>
      </c>
      <c r="B10" s="8" t="e">
        <f>'31-HVLV'!D45</f>
        <v>#DIV/0!</v>
      </c>
      <c r="C10" s="54" t="s">
        <v>90</v>
      </c>
      <c r="G10" s="15" t="str">
        <f>"31-HVLV, Line "&amp;'31-HVLV'!A45&amp;""</f>
        <v>31-HVLV, Line 37</v>
      </c>
      <c r="H10" s="14"/>
    </row>
    <row r="11" spans="1:10" x14ac:dyDescent="0.25">
      <c r="C11" s="37"/>
      <c r="D11" s="97"/>
      <c r="E11" s="97"/>
      <c r="F11" s="97"/>
      <c r="G11" s="97"/>
      <c r="H11" s="97"/>
      <c r="J11" s="97"/>
    </row>
    <row r="12" spans="1:10" x14ac:dyDescent="0.25">
      <c r="B12" s="1" t="s">
        <v>1715</v>
      </c>
      <c r="C12" s="37"/>
      <c r="D12" s="97"/>
      <c r="E12" s="97"/>
      <c r="F12" s="97"/>
      <c r="G12" s="97"/>
      <c r="H12" s="97"/>
    </row>
    <row r="13" spans="1:10" x14ac:dyDescent="0.25">
      <c r="B13" s="1"/>
      <c r="C13" s="37"/>
      <c r="D13" s="97"/>
      <c r="E13" s="97"/>
      <c r="F13" s="97"/>
      <c r="G13" s="97"/>
      <c r="H13" s="97"/>
    </row>
    <row r="14" spans="1:10" x14ac:dyDescent="0.25">
      <c r="B14" s="1"/>
      <c r="C14" s="37"/>
      <c r="D14" s="92" t="s">
        <v>394</v>
      </c>
      <c r="E14" s="92" t="s">
        <v>378</v>
      </c>
      <c r="F14" s="92" t="s">
        <v>379</v>
      </c>
      <c r="G14" s="97"/>
      <c r="H14" s="97"/>
    </row>
    <row r="15" spans="1:10" x14ac:dyDescent="0.25">
      <c r="B15" s="1"/>
      <c r="C15" s="37"/>
      <c r="F15" s="97"/>
      <c r="G15" s="97"/>
      <c r="H15" s="97"/>
    </row>
    <row r="16" spans="1:10" x14ac:dyDescent="0.25">
      <c r="E16" s="2" t="s">
        <v>518</v>
      </c>
      <c r="F16" s="2" t="s">
        <v>519</v>
      </c>
    </row>
    <row r="17" spans="1:8" x14ac:dyDescent="0.25">
      <c r="C17" s="37"/>
      <c r="D17" s="3" t="s">
        <v>149</v>
      </c>
      <c r="E17" s="3" t="s">
        <v>517</v>
      </c>
      <c r="F17" s="3" t="s">
        <v>517</v>
      </c>
      <c r="G17" s="3"/>
      <c r="H17" s="3" t="s">
        <v>198</v>
      </c>
    </row>
    <row r="18" spans="1:8" x14ac:dyDescent="0.25">
      <c r="A18" s="2">
        <f>A10+1</f>
        <v>8</v>
      </c>
      <c r="B18" s="98"/>
      <c r="C18" s="74" t="s">
        <v>166</v>
      </c>
      <c r="D18" s="7" t="e">
        <f>B4</f>
        <v>#DIV/0!</v>
      </c>
      <c r="E18" s="7" t="e">
        <f>D18*B9</f>
        <v>#DIV/0!</v>
      </c>
      <c r="F18" s="7" t="e">
        <f>D18*B10</f>
        <v>#DIV/0!</v>
      </c>
      <c r="G18" s="7"/>
      <c r="H18" s="551" t="s">
        <v>311</v>
      </c>
    </row>
    <row r="19" spans="1:8" x14ac:dyDescent="0.25">
      <c r="A19" s="577">
        <f>A18+1</f>
        <v>9</v>
      </c>
      <c r="B19" s="98"/>
      <c r="C19" s="74" t="s">
        <v>1713</v>
      </c>
      <c r="D19" s="7" t="e">
        <f>'24-CWIPTRR'!E145</f>
        <v>#DIV/0!</v>
      </c>
      <c r="E19" s="7" t="e">
        <f>'24-CWIPTRR'!E145</f>
        <v>#DIV/0!</v>
      </c>
      <c r="F19" s="7">
        <v>0</v>
      </c>
      <c r="G19" s="7"/>
      <c r="H19" s="551" t="s">
        <v>1048</v>
      </c>
    </row>
    <row r="20" spans="1:8" x14ac:dyDescent="0.25">
      <c r="A20" s="577">
        <f>A19+1</f>
        <v>10</v>
      </c>
      <c r="B20" s="98"/>
      <c r="C20" s="74" t="s">
        <v>1714</v>
      </c>
      <c r="D20" s="7" t="e">
        <f>D18-D19</f>
        <v>#DIV/0!</v>
      </c>
      <c r="E20" s="7" t="e">
        <f t="shared" ref="E20:F20" si="1">E18-E19</f>
        <v>#DIV/0!</v>
      </c>
      <c r="F20" s="7" t="e">
        <f t="shared" si="1"/>
        <v>#DIV/0!</v>
      </c>
      <c r="G20" s="7"/>
      <c r="H20" s="551" t="s">
        <v>1049</v>
      </c>
    </row>
    <row r="21" spans="1:8" x14ac:dyDescent="0.25">
      <c r="B21" s="98"/>
      <c r="C21" s="98"/>
      <c r="D21" s="7"/>
      <c r="E21" s="7"/>
      <c r="F21" s="7"/>
      <c r="G21" s="7"/>
    </row>
    <row r="22" spans="1:8" x14ac:dyDescent="0.25">
      <c r="A22" s="2">
        <f>A20+1</f>
        <v>11</v>
      </c>
      <c r="B22" s="1"/>
      <c r="C22" s="74" t="s">
        <v>150</v>
      </c>
      <c r="D22" s="7">
        <f>B5</f>
        <v>0</v>
      </c>
      <c r="E22" s="7">
        <f>B6</f>
        <v>0</v>
      </c>
      <c r="F22" s="7">
        <f>B7</f>
        <v>0</v>
      </c>
      <c r="G22" s="7"/>
      <c r="H22" t="str">
        <f>"Lines "&amp;A5&amp;" to "&amp;A7&amp;""</f>
        <v>Lines 2 to 4</v>
      </c>
    </row>
    <row r="23" spans="1:8" x14ac:dyDescent="0.25">
      <c r="B23" s="1"/>
      <c r="C23" s="74"/>
      <c r="D23" s="7"/>
      <c r="E23" s="7"/>
      <c r="F23" s="7"/>
      <c r="G23" s="7"/>
    </row>
    <row r="24" spans="1:8" x14ac:dyDescent="0.25">
      <c r="A24" s="2">
        <f>A22+1</f>
        <v>12</v>
      </c>
      <c r="B24" s="1"/>
      <c r="C24" s="74" t="s">
        <v>1871</v>
      </c>
      <c r="D24" s="99" t="e">
        <f>$B$8</f>
        <v>#DIV/0!</v>
      </c>
      <c r="E24" s="99" t="e">
        <f>$B$8*$B$9</f>
        <v>#DIV/0!</v>
      </c>
      <c r="F24" s="99" t="e">
        <f>$B$8*$B$10</f>
        <v>#DIV/0!</v>
      </c>
      <c r="G24" s="99"/>
      <c r="H24" s="551" t="s">
        <v>584</v>
      </c>
    </row>
    <row r="25" spans="1:8" x14ac:dyDescent="0.25">
      <c r="A25" s="658"/>
      <c r="B25" s="1"/>
      <c r="C25" s="74"/>
      <c r="D25" s="99"/>
      <c r="E25" s="99"/>
      <c r="F25" s="99"/>
      <c r="G25" s="99"/>
      <c r="H25" s="551"/>
    </row>
    <row r="26" spans="1:8" x14ac:dyDescent="0.25">
      <c r="B26" s="1"/>
      <c r="C26" s="74" t="s">
        <v>1872</v>
      </c>
      <c r="D26" s="99"/>
      <c r="E26" s="99"/>
      <c r="F26" s="99"/>
      <c r="G26" s="99"/>
    </row>
    <row r="27" spans="1:8" x14ac:dyDescent="0.25">
      <c r="A27" s="2">
        <f>A24+1</f>
        <v>13</v>
      </c>
      <c r="B27" s="1"/>
      <c r="C27" s="74" t="s">
        <v>1873</v>
      </c>
      <c r="D27" s="7" t="e">
        <f>D18+D22+D24</f>
        <v>#DIV/0!</v>
      </c>
      <c r="E27" s="7" t="e">
        <f>E18+E22+E24</f>
        <v>#DIV/0!</v>
      </c>
      <c r="F27" s="7" t="e">
        <f>F18+F22+F24</f>
        <v>#DIV/0!</v>
      </c>
      <c r="G27" s="7"/>
      <c r="H27" s="111" t="str">
        <f>"Sum of Lines "&amp;A18&amp;", "&amp;A22&amp;", and "&amp;A24&amp;""</f>
        <v>Sum of Lines 8, 11, and 12</v>
      </c>
    </row>
    <row r="28" spans="1:8" x14ac:dyDescent="0.25">
      <c r="E28" s="7"/>
    </row>
    <row r="29" spans="1:8" x14ac:dyDescent="0.25">
      <c r="B29" s="53" t="s">
        <v>256</v>
      </c>
    </row>
    <row r="30" spans="1:8" x14ac:dyDescent="0.25">
      <c r="B30" s="12" t="s">
        <v>1602</v>
      </c>
    </row>
    <row r="31" spans="1:8" x14ac:dyDescent="0.25">
      <c r="B31" s="551" t="s">
        <v>1890</v>
      </c>
    </row>
    <row r="32" spans="1:8" x14ac:dyDescent="0.25">
      <c r="B32" s="12" t="s">
        <v>1603</v>
      </c>
    </row>
    <row r="33" spans="2:6" x14ac:dyDescent="0.25">
      <c r="B33" s="553" t="s">
        <v>2081</v>
      </c>
      <c r="C33" s="14"/>
      <c r="D33" s="105"/>
      <c r="E33" s="105"/>
      <c r="F33" s="14"/>
    </row>
    <row r="34" spans="2:6" x14ac:dyDescent="0.25">
      <c r="B34" s="12" t="str">
        <f>"3) Column 1 is from Line "&amp;A4&amp;"."</f>
        <v>3) Column 1 is from Line 1.</v>
      </c>
    </row>
    <row r="35" spans="2:6" x14ac:dyDescent="0.25">
      <c r="B35" s="13" t="str">
        <f>"Column 2 equals Column 1 * Line "&amp;A9&amp;"."</f>
        <v>Column 2 equals Column 1 * Line 6.</v>
      </c>
    </row>
    <row r="36" spans="2:6" x14ac:dyDescent="0.25">
      <c r="B36" s="13" t="str">
        <f>"Column 3 equals Column 1 * Line "&amp;A10&amp;"."</f>
        <v>Column 3 equals Column 1 * Line 7.</v>
      </c>
    </row>
    <row r="37" spans="2:6" x14ac:dyDescent="0.25">
      <c r="B37" s="14" t="str">
        <f>"4) From 24-CWIPTRR, Line "&amp;'24-CWIPTRR'!A145&amp;".  All High Voltage."</f>
        <v>4) From 24-CWIPTRR, Line 88.  All High Voltage.</v>
      </c>
    </row>
    <row r="38" spans="2:6" x14ac:dyDescent="0.25">
      <c r="B38" t="str">
        <f>"5) Line "&amp;A18&amp;" - Line "&amp;A19&amp;""</f>
        <v>5) Line 8 - Line 9</v>
      </c>
    </row>
    <row r="39" spans="2:6" x14ac:dyDescent="0.25">
      <c r="B39" s="12" t="str">
        <f>"6) Column 1 is from Line "&amp;A8&amp;"."</f>
        <v>6) Column 1 is from Line 5.</v>
      </c>
    </row>
    <row r="40" spans="2:6" x14ac:dyDescent="0.25">
      <c r="B40" s="13" t="str">
        <f>"Column 2 equals Column 1 * Line "&amp;A9&amp;"."</f>
        <v>Column 2 equals Column 1 * Line 6.</v>
      </c>
    </row>
    <row r="41" spans="2:6" x14ac:dyDescent="0.25">
      <c r="B41" s="13" t="str">
        <f>"Column 3 equals Column 1 * Line "&amp;A10&amp;"."</f>
        <v>Column 3 equals Column 1 * Line 7.</v>
      </c>
    </row>
  </sheetData>
  <phoneticPr fontId="12" type="noConversion"/>
  <pageMargins left="0.75" right="0.75" top="1" bottom="1" header="0.5" footer="0.5"/>
  <pageSetup scale="90" orientation="landscape" cellComments="asDisplayed" r:id="rId1"/>
  <headerFooter alignWithMargins="0">
    <oddHeader>&amp;CSchedule 29
Wholesale TRRs
&amp;"Arial,Bold"Attachment 5</oddHeader>
    <oddFooter>&amp;R&amp;A</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zoomScale="85" zoomScaleNormal="85" workbookViewId="0"/>
  </sheetViews>
  <sheetFormatPr defaultRowHeight="13.2" x14ac:dyDescent="0.25"/>
  <cols>
    <col min="1" max="2" width="4.6640625" customWidth="1"/>
    <col min="4" max="4" width="24.44140625" customWidth="1"/>
    <col min="5" max="5" width="17.6640625" customWidth="1"/>
    <col min="6" max="6" width="9.109375" style="16"/>
    <col min="7" max="7" width="10.109375" bestFit="1" customWidth="1"/>
  </cols>
  <sheetData>
    <row r="1" spans="1:9" x14ac:dyDescent="0.25">
      <c r="A1" s="1" t="s">
        <v>1600</v>
      </c>
    </row>
    <row r="2" spans="1:9" x14ac:dyDescent="0.25">
      <c r="B2" s="1"/>
    </row>
    <row r="3" spans="1:9" x14ac:dyDescent="0.25">
      <c r="B3" s="12" t="s">
        <v>151</v>
      </c>
      <c r="E3" s="14"/>
      <c r="F3" s="124"/>
    </row>
    <row r="4" spans="1:9" x14ac:dyDescent="0.25">
      <c r="B4" s="12"/>
    </row>
    <row r="5" spans="1:9" x14ac:dyDescent="0.25">
      <c r="B5" s="13" t="s">
        <v>152</v>
      </c>
    </row>
    <row r="6" spans="1:9" x14ac:dyDescent="0.25">
      <c r="B6" s="13" t="s">
        <v>153</v>
      </c>
    </row>
    <row r="7" spans="1:9" x14ac:dyDescent="0.25">
      <c r="B7" s="13" t="s">
        <v>154</v>
      </c>
    </row>
    <row r="8" spans="1:9" x14ac:dyDescent="0.25">
      <c r="B8" s="13" t="s">
        <v>155</v>
      </c>
    </row>
    <row r="9" spans="1:9" x14ac:dyDescent="0.25">
      <c r="B9" s="13" t="s">
        <v>156</v>
      </c>
    </row>
    <row r="10" spans="1:9" x14ac:dyDescent="0.25">
      <c r="B10" s="12"/>
    </row>
    <row r="11" spans="1:9" x14ac:dyDescent="0.25">
      <c r="B11" s="12"/>
    </row>
    <row r="12" spans="1:9" x14ac:dyDescent="0.25">
      <c r="B12" s="1" t="s">
        <v>157</v>
      </c>
    </row>
    <row r="13" spans="1:9" x14ac:dyDescent="0.25">
      <c r="A13" s="3" t="s">
        <v>360</v>
      </c>
      <c r="G13" s="3" t="s">
        <v>198</v>
      </c>
    </row>
    <row r="14" spans="1:9" x14ac:dyDescent="0.25">
      <c r="A14" s="2">
        <v>1</v>
      </c>
      <c r="D14" s="102" t="s">
        <v>1573</v>
      </c>
      <c r="E14" s="7" t="e">
        <f>'29-WholesaleTRRs'!F27</f>
        <v>#DIV/0!</v>
      </c>
      <c r="G14" s="47" t="str">
        <f>"29-WholesaleTRRs, Line "&amp;'29-WholesaleTRRs'!A27&amp;", C3"</f>
        <v>29-WholesaleTRRs, Line 13, C3</v>
      </c>
      <c r="H14" s="14"/>
      <c r="I14" s="14"/>
    </row>
    <row r="15" spans="1:9" x14ac:dyDescent="0.25">
      <c r="A15" s="2">
        <f>A14+1</f>
        <v>2</v>
      </c>
      <c r="D15" s="102" t="s">
        <v>1572</v>
      </c>
      <c r="E15" s="123">
        <f>'32-GrossLoad'!F7</f>
        <v>0</v>
      </c>
      <c r="F15" s="13" t="s">
        <v>312</v>
      </c>
      <c r="G15" s="47" t="str">
        <f>"32-Gross Load, Line "&amp;'32-GrossLoad'!A7&amp;""</f>
        <v>32-Gross Load, Line 3</v>
      </c>
      <c r="H15" s="14"/>
      <c r="I15" s="14"/>
    </row>
    <row r="16" spans="1:9" x14ac:dyDescent="0.25">
      <c r="A16" s="2">
        <f>A15+1</f>
        <v>3</v>
      </c>
      <c r="D16" s="102" t="s">
        <v>1574</v>
      </c>
      <c r="E16" s="100" t="e">
        <f>E14/(E15*1000)</f>
        <v>#DIV/0!</v>
      </c>
      <c r="F16" s="16" t="s">
        <v>158</v>
      </c>
      <c r="G16" s="124" t="str">
        <f>"Line "&amp;A14&amp;" / (Line "&amp;A15&amp;" * 1000)"</f>
        <v>Line 1 / (Line 2 * 1000)</v>
      </c>
      <c r="H16" s="14"/>
      <c r="I16" s="14"/>
    </row>
    <row r="17" spans="1:9" x14ac:dyDescent="0.25">
      <c r="D17" s="37"/>
      <c r="E17" s="77"/>
      <c r="G17" s="14"/>
      <c r="H17" s="14"/>
      <c r="I17" s="14"/>
    </row>
    <row r="18" spans="1:9" x14ac:dyDescent="0.25">
      <c r="B18" s="1" t="s">
        <v>159</v>
      </c>
      <c r="D18" s="37"/>
      <c r="E18" s="77"/>
      <c r="G18" s="14"/>
      <c r="H18" s="14"/>
      <c r="I18" s="14"/>
    </row>
    <row r="19" spans="1:9" x14ac:dyDescent="0.25">
      <c r="D19" s="37"/>
      <c r="E19" s="77"/>
      <c r="G19" s="135" t="s">
        <v>198</v>
      </c>
      <c r="H19" s="14"/>
      <c r="I19" s="14"/>
    </row>
    <row r="20" spans="1:9" x14ac:dyDescent="0.25">
      <c r="A20" s="2">
        <f>A16+1</f>
        <v>4</v>
      </c>
      <c r="D20" s="102" t="s">
        <v>1573</v>
      </c>
      <c r="E20" s="7" t="e">
        <f>'29-WholesaleTRRs'!F27</f>
        <v>#DIV/0!</v>
      </c>
      <c r="G20" s="47" t="str">
        <f>"29-WholesaleTRRs, Line "&amp;'29-WholesaleTRRs'!A27&amp;", C3"</f>
        <v>29-WholesaleTRRs, Line 13, C3</v>
      </c>
      <c r="H20" s="14"/>
      <c r="I20" s="14"/>
    </row>
    <row r="21" spans="1:9" x14ac:dyDescent="0.25">
      <c r="A21" s="2">
        <f>A20+1</f>
        <v>5</v>
      </c>
      <c r="D21" s="102" t="s">
        <v>1572</v>
      </c>
      <c r="E21" s="123">
        <f>'32-GrossLoad'!F7</f>
        <v>0</v>
      </c>
      <c r="F21" s="13" t="s">
        <v>312</v>
      </c>
      <c r="G21" s="47" t="str">
        <f>"32-Gross Load, Line "&amp;'32-GrossLoad'!A7&amp;""</f>
        <v>32-Gross Load, Line 3</v>
      </c>
      <c r="H21" s="14"/>
      <c r="I21" s="14"/>
    </row>
    <row r="22" spans="1:9" x14ac:dyDescent="0.25">
      <c r="A22" s="2">
        <f>A21+1</f>
        <v>6</v>
      </c>
      <c r="D22" s="102" t="s">
        <v>1575</v>
      </c>
      <c r="E22" s="100" t="e">
        <f>E20/(E21*1000)</f>
        <v>#DIV/0!</v>
      </c>
      <c r="F22" s="16" t="s">
        <v>158</v>
      </c>
      <c r="G22" s="124" t="str">
        <f>"Line "&amp;A20&amp;" / (Line "&amp;A21&amp;" * 1000)"</f>
        <v>Line 4 / (Line 5 * 1000)</v>
      </c>
      <c r="H22" s="14"/>
      <c r="I22" s="14"/>
    </row>
    <row r="23" spans="1:9" x14ac:dyDescent="0.25">
      <c r="D23" s="37"/>
      <c r="G23" s="14"/>
      <c r="H23" s="14"/>
      <c r="I23" s="14"/>
    </row>
    <row r="24" spans="1:9" x14ac:dyDescent="0.25">
      <c r="G24" s="14"/>
      <c r="H24" s="14"/>
      <c r="I24" s="14"/>
    </row>
    <row r="25" spans="1:9" x14ac:dyDescent="0.25">
      <c r="B25" s="1" t="s">
        <v>160</v>
      </c>
      <c r="G25" s="14"/>
      <c r="H25" s="14"/>
      <c r="I25" s="14"/>
    </row>
    <row r="26" spans="1:9" x14ac:dyDescent="0.25">
      <c r="C26" s="54" t="s">
        <v>161</v>
      </c>
      <c r="G26" s="14"/>
      <c r="H26" s="14"/>
      <c r="I26" s="14"/>
    </row>
    <row r="27" spans="1:9" x14ac:dyDescent="0.25">
      <c r="G27" s="135" t="s">
        <v>198</v>
      </c>
      <c r="H27" s="14"/>
      <c r="I27" s="14"/>
    </row>
    <row r="28" spans="1:9" x14ac:dyDescent="0.25">
      <c r="A28" s="2">
        <f>A22+1</f>
        <v>7</v>
      </c>
      <c r="D28" s="37" t="s">
        <v>162</v>
      </c>
      <c r="E28" s="7" t="e">
        <f>'29-WholesaleTRRs'!E27</f>
        <v>#DIV/0!</v>
      </c>
      <c r="G28" s="47" t="str">
        <f>"29-WholesaleTRRs, Line "&amp;'29-WholesaleTRRs'!A27&amp;", C2"</f>
        <v>29-WholesaleTRRs, Line 13, C2</v>
      </c>
      <c r="H28" s="14"/>
      <c r="I28" s="14"/>
    </row>
    <row r="29" spans="1:9" x14ac:dyDescent="0.25">
      <c r="A29" s="2">
        <f>A28+1</f>
        <v>8</v>
      </c>
      <c r="D29" s="102" t="s">
        <v>1572</v>
      </c>
      <c r="E29" s="123">
        <f>'32-GrossLoad'!F7</f>
        <v>0</v>
      </c>
      <c r="F29" s="13" t="s">
        <v>312</v>
      </c>
      <c r="G29" s="47" t="str">
        <f>"32-Gross Load, Line "&amp;'32-GrossLoad'!A7&amp;""</f>
        <v>32-Gross Load, Line 3</v>
      </c>
      <c r="H29" s="14"/>
      <c r="I29" s="14"/>
    </row>
    <row r="30" spans="1:9" x14ac:dyDescent="0.25">
      <c r="A30" s="2">
        <f>A29+1</f>
        <v>9</v>
      </c>
      <c r="D30" s="102" t="s">
        <v>1576</v>
      </c>
      <c r="E30" s="101" t="e">
        <f>E28/(E29*1000)</f>
        <v>#DIV/0!</v>
      </c>
      <c r="F30" s="16" t="s">
        <v>158</v>
      </c>
      <c r="G30" s="124" t="str">
        <f>"Line "&amp;A28&amp;" / (Line "&amp;A29&amp;" * 1000)"</f>
        <v>Line 7 / (Line 8 * 1000)</v>
      </c>
      <c r="H30" s="14"/>
      <c r="I30" s="14"/>
    </row>
    <row r="31" spans="1:9" x14ac:dyDescent="0.25">
      <c r="G31" s="14"/>
      <c r="H31" s="14"/>
      <c r="I31" s="14"/>
    </row>
    <row r="32" spans="1:9" x14ac:dyDescent="0.25">
      <c r="B32" s="1" t="s">
        <v>163</v>
      </c>
      <c r="G32" s="14"/>
      <c r="H32" s="14"/>
      <c r="I32" s="14"/>
    </row>
    <row r="33" spans="1:9" x14ac:dyDescent="0.25">
      <c r="G33" s="135" t="s">
        <v>198</v>
      </c>
      <c r="H33" s="14"/>
      <c r="I33" s="14"/>
    </row>
    <row r="34" spans="1:9" x14ac:dyDescent="0.25">
      <c r="A34" s="2">
        <f>A30+1</f>
        <v>10</v>
      </c>
      <c r="D34" s="102" t="s">
        <v>1577</v>
      </c>
      <c r="E34" s="7" t="e">
        <f>'29-WholesaleTRRs'!E27</f>
        <v>#DIV/0!</v>
      </c>
      <c r="G34" s="47" t="str">
        <f>"29-WholesaleTRRs, Line "&amp;'29-WholesaleTRRs'!A27&amp;", C2"</f>
        <v>29-WholesaleTRRs, Line 13, C2</v>
      </c>
      <c r="H34" s="14"/>
      <c r="I34" s="14"/>
    </row>
    <row r="35" spans="1:9" x14ac:dyDescent="0.25">
      <c r="A35" s="2">
        <f>A34+1</f>
        <v>11</v>
      </c>
      <c r="D35" s="102" t="s">
        <v>1578</v>
      </c>
      <c r="E35" s="123">
        <f>'32-GrossLoad'!F10</f>
        <v>0</v>
      </c>
      <c r="F35" s="16" t="s">
        <v>164</v>
      </c>
      <c r="G35" s="47" t="str">
        <f>"32-Gross Load, Line "&amp;'32-GrossLoad'!A10&amp;""</f>
        <v>32-Gross Load, Line 4</v>
      </c>
      <c r="H35" s="14"/>
      <c r="I35" s="14"/>
    </row>
    <row r="36" spans="1:9" x14ac:dyDescent="0.25">
      <c r="A36" s="2">
        <f>A35+1</f>
        <v>12</v>
      </c>
      <c r="D36" s="102" t="s">
        <v>1579</v>
      </c>
      <c r="E36" s="77" t="e">
        <f>ROUND((E34/(E35*1000)),2)</f>
        <v>#DIV/0!</v>
      </c>
      <c r="F36" s="13" t="s">
        <v>357</v>
      </c>
      <c r="G36" s="124" t="str">
        <f>"Line "&amp;A34&amp;" / (Line "&amp;A35&amp;" * 1000)"</f>
        <v>Line 10 / (Line 11 * 1000)</v>
      </c>
      <c r="H36" s="14"/>
      <c r="I36" s="14"/>
    </row>
    <row r="37" spans="1:9" x14ac:dyDescent="0.25">
      <c r="G37" s="14"/>
      <c r="H37" s="14"/>
      <c r="I37" s="14"/>
    </row>
    <row r="38" spans="1:9" x14ac:dyDescent="0.25">
      <c r="B38" s="1" t="s">
        <v>165</v>
      </c>
      <c r="G38" s="14"/>
      <c r="H38" s="14"/>
      <c r="I38" s="14"/>
    </row>
    <row r="39" spans="1:9" x14ac:dyDescent="0.25">
      <c r="G39" s="135" t="s">
        <v>198</v>
      </c>
      <c r="H39" s="14"/>
      <c r="I39" s="14"/>
    </row>
    <row r="40" spans="1:9" x14ac:dyDescent="0.25">
      <c r="A40" s="2">
        <f>A36+1</f>
        <v>13</v>
      </c>
      <c r="D40" s="102" t="s">
        <v>1580</v>
      </c>
      <c r="E40" s="7" t="e">
        <f>'29-WholesaleTRRs'!F27</f>
        <v>#DIV/0!</v>
      </c>
      <c r="G40" s="47" t="str">
        <f>"29-WholesaleTRRs, Line "&amp;'29-WholesaleTRRs'!A27&amp;", C3"</f>
        <v>29-WholesaleTRRs, Line 13, C3</v>
      </c>
      <c r="H40" s="14"/>
      <c r="I40" s="14"/>
    </row>
    <row r="41" spans="1:9" x14ac:dyDescent="0.25">
      <c r="A41" s="2">
        <f>A40+1</f>
        <v>14</v>
      </c>
      <c r="D41" s="102" t="s">
        <v>1578</v>
      </c>
      <c r="E41" s="123">
        <f>'32-GrossLoad'!F10</f>
        <v>0</v>
      </c>
      <c r="F41" s="16" t="s">
        <v>164</v>
      </c>
      <c r="G41" s="47" t="str">
        <f>"32-Gross Load, Line "&amp;'32-GrossLoad'!A10&amp;""</f>
        <v>32-Gross Load, Line 4</v>
      </c>
      <c r="H41" s="14"/>
      <c r="I41" s="14"/>
    </row>
    <row r="42" spans="1:9" x14ac:dyDescent="0.25">
      <c r="A42" s="2">
        <f>A41+1</f>
        <v>15</v>
      </c>
      <c r="D42" s="102" t="s">
        <v>1581</v>
      </c>
      <c r="E42" s="79" t="e">
        <f>ROUND((E40/(E41*1000)),2)</f>
        <v>#DIV/0!</v>
      </c>
      <c r="F42" s="13" t="s">
        <v>357</v>
      </c>
      <c r="G42" s="124" t="str">
        <f>"Line "&amp;A40&amp;" / (Line "&amp;A41&amp;" * 1000)"</f>
        <v>Line 13 / (Line 14 * 1000)</v>
      </c>
      <c r="H42" s="14"/>
      <c r="I42" s="14"/>
    </row>
    <row r="43" spans="1:9" x14ac:dyDescent="0.25">
      <c r="G43" s="14"/>
      <c r="H43" s="14"/>
      <c r="I43" s="14"/>
    </row>
    <row r="45" spans="1:9" x14ac:dyDescent="0.25">
      <c r="B45" s="53" t="s">
        <v>256</v>
      </c>
    </row>
    <row r="46" spans="1:9" x14ac:dyDescent="0.25">
      <c r="B46" s="12" t="s">
        <v>1601</v>
      </c>
    </row>
    <row r="47" spans="1:9" x14ac:dyDescent="0.25">
      <c r="B47" s="551" t="s">
        <v>2082</v>
      </c>
      <c r="D47" s="14"/>
    </row>
  </sheetData>
  <phoneticPr fontId="12" type="noConversion"/>
  <pageMargins left="0.75" right="0.75" top="1" bottom="1" header="0.5" footer="0.5"/>
  <pageSetup scale="84" orientation="portrait" cellComments="asDisplayed" r:id="rId1"/>
  <headerFooter alignWithMargins="0">
    <oddHeader>&amp;CSchedule 30
Wholesale Rates
&amp;"Arial,Bold"Attachment 5</oddHeader>
    <oddFooter>&amp;R&amp;A</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zoomScale="90" zoomScaleNormal="90" workbookViewId="0"/>
  </sheetViews>
  <sheetFormatPr defaultRowHeight="13.8" x14ac:dyDescent="0.3"/>
  <cols>
    <col min="1" max="1" width="4.6640625" customWidth="1"/>
    <col min="2" max="2" width="38" style="152" customWidth="1"/>
    <col min="3" max="3" width="16.33203125" style="152" customWidth="1"/>
    <col min="4" max="4" width="14.6640625" style="152" customWidth="1"/>
    <col min="5" max="5" width="16" style="152" customWidth="1"/>
    <col min="6" max="6" width="3.44140625" style="152" bestFit="1" customWidth="1"/>
    <col min="7" max="8" width="14.6640625" style="152" customWidth="1"/>
    <col min="9" max="9" width="17.33203125" style="152" customWidth="1"/>
    <col min="10" max="11" width="14.6640625" style="152" customWidth="1"/>
  </cols>
  <sheetData>
    <row r="1" spans="1:11" ht="13.2" x14ac:dyDescent="0.25">
      <c r="A1" s="275" t="s">
        <v>505</v>
      </c>
      <c r="B1" s="17"/>
      <c r="C1" s="17"/>
      <c r="D1" s="17"/>
      <c r="E1" s="17"/>
      <c r="F1" s="17"/>
      <c r="G1" s="17"/>
      <c r="H1" s="17"/>
      <c r="I1" s="17"/>
      <c r="J1" s="17"/>
      <c r="K1" s="17"/>
    </row>
    <row r="2" spans="1:11" ht="13.2" x14ac:dyDescent="0.25">
      <c r="A2" s="17" t="s">
        <v>516</v>
      </c>
      <c r="B2" s="17"/>
      <c r="C2" s="17"/>
      <c r="D2" s="17"/>
      <c r="E2" s="17"/>
      <c r="F2" s="17"/>
      <c r="G2" s="17"/>
      <c r="H2" s="17"/>
      <c r="I2" s="276" t="s">
        <v>497</v>
      </c>
      <c r="J2" s="276"/>
      <c r="K2" s="17"/>
    </row>
    <row r="3" spans="1:11" ht="13.2" x14ac:dyDescent="0.25">
      <c r="A3" s="12"/>
      <c r="B3" s="17"/>
      <c r="C3" s="17"/>
      <c r="D3" s="17"/>
      <c r="E3" s="17"/>
      <c r="F3" s="17"/>
      <c r="G3" s="17"/>
      <c r="H3" s="17"/>
      <c r="I3" s="17"/>
      <c r="J3" s="17"/>
      <c r="K3" s="17"/>
    </row>
    <row r="4" spans="1:11" ht="13.2" x14ac:dyDescent="0.25">
      <c r="A4" s="12"/>
      <c r="B4" s="17"/>
      <c r="C4" s="17"/>
      <c r="D4" s="17"/>
      <c r="E4" s="17"/>
      <c r="F4" s="17"/>
      <c r="G4" s="562" t="s">
        <v>2017</v>
      </c>
      <c r="H4" s="562"/>
      <c r="I4" s="562"/>
      <c r="J4" s="562"/>
      <c r="K4" s="17"/>
    </row>
    <row r="5" spans="1:11" ht="13.2" x14ac:dyDescent="0.25">
      <c r="A5" s="12"/>
      <c r="B5" s="275" t="s">
        <v>528</v>
      </c>
      <c r="C5" s="17"/>
      <c r="D5" s="17"/>
      <c r="E5" s="17"/>
      <c r="F5" s="17"/>
      <c r="G5" s="562" t="s">
        <v>2018</v>
      </c>
      <c r="H5" s="562"/>
      <c r="I5" s="562"/>
      <c r="J5" s="562"/>
      <c r="K5" s="17"/>
    </row>
    <row r="6" spans="1:11" ht="13.2" x14ac:dyDescent="0.25">
      <c r="A6" s="12"/>
      <c r="B6" s="17"/>
      <c r="C6" s="26" t="s">
        <v>507</v>
      </c>
      <c r="D6" s="26"/>
      <c r="E6" s="26"/>
      <c r="F6" s="26"/>
      <c r="G6" s="26"/>
      <c r="H6" s="26"/>
      <c r="I6" s="26" t="s">
        <v>14</v>
      </c>
      <c r="J6" s="26" t="s">
        <v>15</v>
      </c>
      <c r="K6" s="26" t="s">
        <v>85</v>
      </c>
    </row>
    <row r="7" spans="1:11" ht="13.2" x14ac:dyDescent="0.25">
      <c r="A7" s="12"/>
      <c r="B7" s="275" t="s">
        <v>512</v>
      </c>
      <c r="C7" s="31" t="s">
        <v>508</v>
      </c>
      <c r="D7" s="31" t="s">
        <v>469</v>
      </c>
      <c r="E7" s="31" t="s">
        <v>502</v>
      </c>
      <c r="F7" s="31"/>
      <c r="G7" s="31" t="s">
        <v>509</v>
      </c>
      <c r="H7" s="31" t="s">
        <v>510</v>
      </c>
      <c r="I7" s="31" t="s">
        <v>502</v>
      </c>
      <c r="J7" s="31" t="s">
        <v>502</v>
      </c>
      <c r="K7" s="31" t="s">
        <v>511</v>
      </c>
    </row>
    <row r="8" spans="1:11" ht="13.2" x14ac:dyDescent="0.25">
      <c r="A8" s="3" t="s">
        <v>360</v>
      </c>
      <c r="B8" s="275"/>
      <c r="C8" s="31"/>
      <c r="D8" s="31"/>
      <c r="E8" s="31"/>
      <c r="F8" s="31"/>
      <c r="G8" s="31"/>
      <c r="H8" s="31"/>
      <c r="I8" s="31"/>
      <c r="J8" s="31"/>
      <c r="K8" s="31"/>
    </row>
    <row r="9" spans="1:11" ht="13.2" x14ac:dyDescent="0.25">
      <c r="A9" s="2">
        <v>1</v>
      </c>
      <c r="B9" s="277" t="s">
        <v>515</v>
      </c>
      <c r="C9" s="278"/>
      <c r="D9" s="279"/>
      <c r="E9" s="279"/>
      <c r="F9" s="280"/>
      <c r="G9" s="278"/>
      <c r="H9" s="281"/>
      <c r="I9" s="281"/>
      <c r="J9" s="281"/>
      <c r="K9" s="281"/>
    </row>
    <row r="10" spans="1:11" ht="13.2" x14ac:dyDescent="0.25">
      <c r="A10" s="2">
        <f>A9+1</f>
        <v>2</v>
      </c>
      <c r="B10" s="282" t="s">
        <v>1340</v>
      </c>
      <c r="C10" s="283">
        <f>SUM(D10:E10)</f>
        <v>0</v>
      </c>
      <c r="D10" s="284">
        <f>G10+H10</f>
        <v>0</v>
      </c>
      <c r="E10" s="284">
        <f>I10+J10</f>
        <v>0</v>
      </c>
      <c r="F10" s="285"/>
      <c r="G10" s="912"/>
      <c r="H10" s="912"/>
      <c r="I10" s="912"/>
      <c r="J10" s="912"/>
      <c r="K10" s="912"/>
    </row>
    <row r="11" spans="1:11" ht="13.2" x14ac:dyDescent="0.25">
      <c r="A11" s="2">
        <f t="shared" ref="A11:A47" si="0">A10+1</f>
        <v>3</v>
      </c>
      <c r="B11" s="282" t="s">
        <v>506</v>
      </c>
      <c r="C11" s="286">
        <f>SUM(D11:E11)</f>
        <v>0</v>
      </c>
      <c r="D11" s="287">
        <f>G11+H11</f>
        <v>0</v>
      </c>
      <c r="E11" s="287">
        <f>I11+J11</f>
        <v>0</v>
      </c>
      <c r="F11" s="288"/>
      <c r="G11" s="289"/>
      <c r="H11" s="289"/>
      <c r="I11" s="289"/>
      <c r="J11" s="289"/>
      <c r="K11" s="289"/>
    </row>
    <row r="12" spans="1:11" ht="13.2" x14ac:dyDescent="0.25">
      <c r="A12" s="2">
        <f t="shared" si="0"/>
        <v>4</v>
      </c>
      <c r="B12" s="1248" t="s">
        <v>2016</v>
      </c>
      <c r="C12" s="290">
        <f>SUM(C10:C11)</f>
        <v>0</v>
      </c>
      <c r="D12" s="290">
        <f t="shared" ref="D12:K12" si="1">SUM(D10:D11)</f>
        <v>0</v>
      </c>
      <c r="E12" s="290">
        <f t="shared" si="1"/>
        <v>0</v>
      </c>
      <c r="F12" s="290"/>
      <c r="G12" s="290">
        <f t="shared" si="1"/>
        <v>0</v>
      </c>
      <c r="H12" s="290">
        <f t="shared" si="1"/>
        <v>0</v>
      </c>
      <c r="I12" s="290">
        <f t="shared" si="1"/>
        <v>0</v>
      </c>
      <c r="J12" s="290">
        <f t="shared" si="1"/>
        <v>0</v>
      </c>
      <c r="K12" s="290">
        <f t="shared" si="1"/>
        <v>0</v>
      </c>
    </row>
    <row r="13" spans="1:11" ht="13.2" x14ac:dyDescent="0.25">
      <c r="A13" s="2">
        <f t="shared" si="0"/>
        <v>5</v>
      </c>
      <c r="B13" s="291"/>
      <c r="C13" s="292"/>
      <c r="D13" s="292"/>
      <c r="E13" s="292"/>
      <c r="F13" s="293"/>
      <c r="G13" s="292"/>
      <c r="H13" s="294"/>
      <c r="I13" s="295"/>
      <c r="J13" s="294"/>
      <c r="K13" s="294"/>
    </row>
    <row r="14" spans="1:11" ht="13.2" x14ac:dyDescent="0.25">
      <c r="A14" s="2">
        <f t="shared" si="0"/>
        <v>6</v>
      </c>
      <c r="B14" s="296" t="s">
        <v>503</v>
      </c>
      <c r="C14" s="292"/>
      <c r="D14" s="292"/>
      <c r="E14" s="292"/>
      <c r="F14" s="293"/>
      <c r="G14" s="292"/>
      <c r="H14" s="294"/>
      <c r="I14" s="295"/>
      <c r="J14" s="294"/>
      <c r="K14" s="294"/>
    </row>
    <row r="15" spans="1:11" ht="13.2" x14ac:dyDescent="0.25">
      <c r="A15" s="2">
        <f t="shared" si="0"/>
        <v>7</v>
      </c>
      <c r="B15" s="297" t="s">
        <v>514</v>
      </c>
      <c r="C15" s="284">
        <f>SUM(D15:E15)</f>
        <v>0</v>
      </c>
      <c r="D15" s="284">
        <f>G15+H15</f>
        <v>0</v>
      </c>
      <c r="E15" s="284">
        <f>I15+J15</f>
        <v>0</v>
      </c>
      <c r="F15" s="298"/>
      <c r="G15" s="913"/>
      <c r="H15" s="914"/>
      <c r="I15" s="913"/>
      <c r="J15" s="914"/>
      <c r="K15" s="914"/>
    </row>
    <row r="16" spans="1:11" ht="13.2" x14ac:dyDescent="0.25">
      <c r="A16" s="2">
        <f t="shared" si="0"/>
        <v>8</v>
      </c>
      <c r="B16" s="1137" t="s">
        <v>2776</v>
      </c>
      <c r="C16" s="292">
        <f>SUM(D16:E16)</f>
        <v>0</v>
      </c>
      <c r="D16" s="284">
        <f>G16+H16</f>
        <v>0</v>
      </c>
      <c r="E16" s="284">
        <f>I16+J16+K16</f>
        <v>0</v>
      </c>
      <c r="F16" s="293"/>
      <c r="G16" s="914"/>
      <c r="H16" s="914"/>
      <c r="I16" s="914"/>
      <c r="J16" s="914"/>
      <c r="K16" s="914"/>
    </row>
    <row r="17" spans="1:11" ht="15" x14ac:dyDescent="0.4">
      <c r="A17" s="2">
        <f t="shared" si="0"/>
        <v>9</v>
      </c>
      <c r="B17" s="297" t="s">
        <v>513</v>
      </c>
      <c r="C17" s="299">
        <f>SUM(D17:E17)</f>
        <v>0</v>
      </c>
      <c r="D17" s="287">
        <f>G17+H17</f>
        <v>0</v>
      </c>
      <c r="E17" s="300">
        <f>I17+J17</f>
        <v>0</v>
      </c>
      <c r="F17" s="301"/>
      <c r="G17" s="302"/>
      <c r="H17" s="915"/>
      <c r="I17" s="302"/>
      <c r="J17" s="915"/>
      <c r="K17" s="302"/>
    </row>
    <row r="18" spans="1:11" ht="13.2" x14ac:dyDescent="0.25">
      <c r="A18" s="2">
        <f t="shared" si="0"/>
        <v>10</v>
      </c>
      <c r="B18" s="1249" t="s">
        <v>2218</v>
      </c>
      <c r="C18" s="284">
        <f>SUM(C15:C17)</f>
        <v>0</v>
      </c>
      <c r="D18" s="284">
        <f>SUM(D15:D17)</f>
        <v>0</v>
      </c>
      <c r="E18" s="284">
        <f>SUM(E15:E17)</f>
        <v>0</v>
      </c>
      <c r="F18" s="303"/>
      <c r="G18" s="284">
        <f>SUM(G15:G17)</f>
        <v>0</v>
      </c>
      <c r="H18" s="284">
        <f>SUM(H15:H17)</f>
        <v>0</v>
      </c>
      <c r="I18" s="284">
        <f>SUM(I15:I17)</f>
        <v>0</v>
      </c>
      <c r="J18" s="284">
        <f>SUM(J15:J17)</f>
        <v>0</v>
      </c>
      <c r="K18" s="284">
        <f>SUM(K15:K17)</f>
        <v>0</v>
      </c>
    </row>
    <row r="19" spans="1:11" ht="13.2" x14ac:dyDescent="0.25">
      <c r="A19" s="2">
        <f t="shared" si="0"/>
        <v>11</v>
      </c>
      <c r="B19" s="291"/>
      <c r="C19" s="1250"/>
      <c r="D19" s="1250"/>
      <c r="E19" s="1250"/>
      <c r="F19" s="305"/>
      <c r="G19" s="304"/>
      <c r="H19" s="304"/>
      <c r="I19" s="304"/>
      <c r="J19" s="304"/>
      <c r="K19" s="304"/>
    </row>
    <row r="20" spans="1:11" ht="13.2" x14ac:dyDescent="0.25">
      <c r="A20" s="2">
        <f t="shared" si="0"/>
        <v>12</v>
      </c>
      <c r="B20" s="1249" t="s">
        <v>504</v>
      </c>
      <c r="C20" s="1251">
        <f>C12+C18</f>
        <v>0</v>
      </c>
      <c r="D20" s="1251">
        <f t="shared" ref="D20:K20" si="2">D12+D18</f>
        <v>0</v>
      </c>
      <c r="E20" s="1251">
        <f>E12+E18</f>
        <v>0</v>
      </c>
      <c r="F20" s="306"/>
      <c r="G20" s="306">
        <f t="shared" si="2"/>
        <v>0</v>
      </c>
      <c r="H20" s="306">
        <f t="shared" si="2"/>
        <v>0</v>
      </c>
      <c r="I20" s="306">
        <f t="shared" si="2"/>
        <v>0</v>
      </c>
      <c r="J20" s="306">
        <f t="shared" si="2"/>
        <v>0</v>
      </c>
      <c r="K20" s="306">
        <f t="shared" si="2"/>
        <v>0</v>
      </c>
    </row>
    <row r="21" spans="1:11" ht="13.2" x14ac:dyDescent="0.25">
      <c r="A21" s="2">
        <f t="shared" si="0"/>
        <v>13</v>
      </c>
      <c r="B21" s="17"/>
      <c r="C21" s="307"/>
      <c r="D21" s="308"/>
      <c r="E21" s="307"/>
      <c r="F21" s="17"/>
      <c r="G21" s="307"/>
      <c r="H21" s="307"/>
      <c r="I21" s="307"/>
      <c r="J21" s="307"/>
      <c r="K21" s="307"/>
    </row>
    <row r="22" spans="1:11" ht="13.2" x14ac:dyDescent="0.25">
      <c r="A22" s="2">
        <f t="shared" si="0"/>
        <v>14</v>
      </c>
      <c r="B22" s="17"/>
      <c r="C22" s="307"/>
      <c r="D22" s="308"/>
      <c r="E22" s="307"/>
      <c r="F22" s="17"/>
      <c r="G22" s="307"/>
      <c r="H22" s="307"/>
      <c r="I22" s="307"/>
      <c r="J22" s="307"/>
      <c r="K22" s="307"/>
    </row>
    <row r="23" spans="1:11" ht="13.2" x14ac:dyDescent="0.25">
      <c r="A23" s="2">
        <f t="shared" si="0"/>
        <v>15</v>
      </c>
      <c r="B23" s="564" t="s">
        <v>2783</v>
      </c>
      <c r="C23" s="307"/>
      <c r="D23" s="308"/>
      <c r="E23" s="307"/>
      <c r="F23" s="17"/>
      <c r="G23" s="307"/>
      <c r="H23" s="307"/>
      <c r="I23" s="307"/>
      <c r="J23" s="307"/>
      <c r="K23" s="307"/>
    </row>
    <row r="24" spans="1:11" ht="13.2" x14ac:dyDescent="0.25">
      <c r="A24" s="2">
        <f t="shared" si="0"/>
        <v>16</v>
      </c>
      <c r="B24" s="17"/>
      <c r="C24" s="309" t="s">
        <v>518</v>
      </c>
      <c r="D24" s="26" t="s">
        <v>519</v>
      </c>
      <c r="E24" s="26"/>
      <c r="F24" s="17"/>
      <c r="G24" s="17"/>
      <c r="H24" s="17"/>
      <c r="I24" s="17"/>
      <c r="J24" s="17"/>
      <c r="K24" s="17"/>
    </row>
    <row r="25" spans="1:11" ht="13.2" x14ac:dyDescent="0.25">
      <c r="A25" s="2">
        <f t="shared" si="0"/>
        <v>17</v>
      </c>
      <c r="B25" s="17" t="s">
        <v>359</v>
      </c>
      <c r="C25" s="31" t="s">
        <v>517</v>
      </c>
      <c r="D25" s="31" t="s">
        <v>517</v>
      </c>
      <c r="E25" s="31" t="s">
        <v>215</v>
      </c>
      <c r="F25" s="17"/>
      <c r="G25" s="310" t="s">
        <v>256</v>
      </c>
      <c r="H25" s="17"/>
      <c r="I25" s="17"/>
      <c r="J25" s="17"/>
      <c r="K25" s="17"/>
    </row>
    <row r="26" spans="1:11" ht="13.2" x14ac:dyDescent="0.25">
      <c r="A26" s="2">
        <f t="shared" si="0"/>
        <v>18</v>
      </c>
      <c r="B26" s="84" t="s">
        <v>469</v>
      </c>
      <c r="C26" s="306">
        <f>G20</f>
        <v>0</v>
      </c>
      <c r="D26" s="306">
        <f>H20</f>
        <v>0</v>
      </c>
      <c r="E26" s="311">
        <f>SUM(C26:D26)</f>
        <v>0</v>
      </c>
      <c r="F26" s="17"/>
      <c r="G26" s="17" t="s">
        <v>523</v>
      </c>
      <c r="H26" s="17"/>
      <c r="I26" s="17"/>
      <c r="J26" s="17"/>
      <c r="K26" s="17"/>
    </row>
    <row r="27" spans="1:11" ht="13.2" x14ac:dyDescent="0.25">
      <c r="A27" s="2">
        <f t="shared" si="0"/>
        <v>19</v>
      </c>
      <c r="B27" s="84" t="s">
        <v>502</v>
      </c>
      <c r="C27" s="306">
        <f>I20</f>
        <v>0</v>
      </c>
      <c r="D27" s="306">
        <f>J20</f>
        <v>0</v>
      </c>
      <c r="E27" s="311">
        <f>SUM(C27:D27)</f>
        <v>0</v>
      </c>
      <c r="F27" s="17"/>
      <c r="G27" s="17" t="s">
        <v>523</v>
      </c>
      <c r="H27" s="17"/>
      <c r="I27" s="17"/>
      <c r="J27" s="17"/>
      <c r="K27" s="17"/>
    </row>
    <row r="28" spans="1:11" ht="13.2" x14ac:dyDescent="0.25">
      <c r="A28" s="2">
        <f t="shared" si="0"/>
        <v>20</v>
      </c>
      <c r="B28" s="32" t="s">
        <v>521</v>
      </c>
      <c r="C28" s="306">
        <f>SUM(C26:C27)</f>
        <v>0</v>
      </c>
      <c r="D28" s="306">
        <f>SUM(D26:D27)</f>
        <v>0</v>
      </c>
      <c r="E28" s="306">
        <f>SUM(C28:D28)</f>
        <v>0</v>
      </c>
      <c r="F28" s="17"/>
      <c r="G28" s="17" t="s">
        <v>524</v>
      </c>
      <c r="H28" s="17"/>
      <c r="I28" s="17"/>
      <c r="J28" s="17"/>
      <c r="K28" s="17"/>
    </row>
    <row r="29" spans="1:11" ht="13.2" x14ac:dyDescent="0.25">
      <c r="A29" s="121">
        <f t="shared" si="0"/>
        <v>21</v>
      </c>
      <c r="B29" s="312" t="s">
        <v>520</v>
      </c>
      <c r="C29" s="313" t="e">
        <f>C28/E28</f>
        <v>#DIV/0!</v>
      </c>
      <c r="D29" s="313" t="e">
        <f>D28/E28</f>
        <v>#DIV/0!</v>
      </c>
      <c r="E29" s="314"/>
      <c r="F29" s="1252"/>
      <c r="G29" s="1253" t="s">
        <v>525</v>
      </c>
      <c r="H29" s="291"/>
      <c r="I29" s="291"/>
      <c r="J29" s="291"/>
      <c r="K29" s="1252"/>
    </row>
    <row r="30" spans="1:11" ht="13.2" x14ac:dyDescent="0.25">
      <c r="A30" s="121">
        <f t="shared" si="0"/>
        <v>22</v>
      </c>
      <c r="B30" s="315"/>
      <c r="C30" s="316"/>
      <c r="D30" s="316"/>
      <c r="E30" s="316"/>
      <c r="F30" s="315"/>
      <c r="G30" s="315"/>
      <c r="H30" s="315"/>
      <c r="I30" s="315"/>
      <c r="J30" s="315"/>
      <c r="K30" s="315"/>
    </row>
    <row r="31" spans="1:11" ht="13.2" x14ac:dyDescent="0.25">
      <c r="A31" s="121">
        <f t="shared" si="0"/>
        <v>23</v>
      </c>
      <c r="B31" s="291" t="s">
        <v>522</v>
      </c>
      <c r="C31" s="1254" t="e">
        <f>K20*C29</f>
        <v>#DIV/0!</v>
      </c>
      <c r="D31" s="1254" t="e">
        <f>K20*D29</f>
        <v>#DIV/0!</v>
      </c>
      <c r="E31" s="1254">
        <f>K20</f>
        <v>0</v>
      </c>
      <c r="F31" s="291"/>
      <c r="G31" s="562" t="str">
        <f>"Straddling Transformers split by Gross Plant Percentages on Line "&amp;A29&amp;""</f>
        <v>Straddling Transformers split by Gross Plant Percentages on Line 21</v>
      </c>
      <c r="H31" s="291"/>
      <c r="I31" s="291"/>
      <c r="J31" s="291"/>
      <c r="K31" s="291"/>
    </row>
    <row r="32" spans="1:11" x14ac:dyDescent="0.3">
      <c r="A32" s="121">
        <f t="shared" si="0"/>
        <v>24</v>
      </c>
      <c r="B32" s="742" t="s">
        <v>1950</v>
      </c>
      <c r="C32" s="1255">
        <v>0</v>
      </c>
      <c r="D32" s="1255">
        <v>0</v>
      </c>
      <c r="E32" s="1255">
        <v>0</v>
      </c>
      <c r="F32" s="742"/>
      <c r="G32" s="742" t="s">
        <v>1951</v>
      </c>
      <c r="H32" s="1256"/>
      <c r="I32" s="291"/>
      <c r="J32" s="291"/>
      <c r="K32" s="291"/>
    </row>
    <row r="33" spans="1:11" ht="13.2" x14ac:dyDescent="0.25">
      <c r="A33" s="121">
        <f t="shared" si="0"/>
        <v>25</v>
      </c>
      <c r="B33" s="291" t="s">
        <v>526</v>
      </c>
      <c r="C33" s="284" t="e">
        <f>C28+C31+C32</f>
        <v>#DIV/0!</v>
      </c>
      <c r="D33" s="284" t="e">
        <f>D28+D31+D32</f>
        <v>#DIV/0!</v>
      </c>
      <c r="E33" s="284">
        <f>E28+E31+E32</f>
        <v>0</v>
      </c>
      <c r="F33" s="291"/>
      <c r="G33" s="742" t="str">
        <f>"Line "&amp;A28&amp;" + Line "&amp;A31&amp;" + Line "&amp;A32&amp;""</f>
        <v>Line 20 + Line 23 + Line 24</v>
      </c>
      <c r="H33" s="742"/>
      <c r="I33" s="291"/>
      <c r="J33" s="291"/>
      <c r="K33" s="291"/>
    </row>
    <row r="34" spans="1:11" ht="13.2" x14ac:dyDescent="0.25">
      <c r="A34" s="121">
        <f t="shared" si="0"/>
        <v>26</v>
      </c>
      <c r="B34" s="291"/>
      <c r="C34" s="317"/>
      <c r="D34" s="317"/>
      <c r="E34" s="1257"/>
      <c r="F34" s="291"/>
      <c r="G34" s="291"/>
      <c r="H34" s="291"/>
      <c r="I34" s="291"/>
      <c r="J34" s="291"/>
      <c r="K34" s="291"/>
    </row>
    <row r="35" spans="1:11" ht="13.2" x14ac:dyDescent="0.25">
      <c r="A35" s="121">
        <f t="shared" si="0"/>
        <v>27</v>
      </c>
      <c r="B35" s="291"/>
      <c r="C35" s="1258"/>
      <c r="D35" s="1258"/>
      <c r="E35" s="291"/>
      <c r="F35" s="291"/>
      <c r="G35" s="1258"/>
      <c r="H35" s="1258"/>
      <c r="I35" s="1258"/>
      <c r="J35" s="291"/>
      <c r="K35" s="291"/>
    </row>
    <row r="36" spans="1:11" ht="13.2" x14ac:dyDescent="0.25">
      <c r="A36" s="121">
        <f t="shared" si="0"/>
        <v>28</v>
      </c>
      <c r="B36" s="296" t="s">
        <v>529</v>
      </c>
      <c r="C36" s="291"/>
      <c r="D36" s="291"/>
      <c r="E36" s="291"/>
      <c r="F36" s="291"/>
      <c r="G36" s="291"/>
      <c r="H36" s="291"/>
      <c r="I36" s="291"/>
      <c r="J36" s="291"/>
      <c r="K36" s="291"/>
    </row>
    <row r="37" spans="1:11" ht="13.2" x14ac:dyDescent="0.25">
      <c r="A37" s="121">
        <f t="shared" si="0"/>
        <v>29</v>
      </c>
      <c r="B37" s="296"/>
      <c r="C37" s="291"/>
      <c r="D37" s="291"/>
      <c r="E37" s="291"/>
      <c r="F37" s="291"/>
      <c r="G37" s="291"/>
      <c r="H37" s="291"/>
      <c r="I37" s="291"/>
      <c r="J37" s="291"/>
      <c r="K37" s="291"/>
    </row>
    <row r="38" spans="1:11" ht="13.2" x14ac:dyDescent="0.25">
      <c r="A38" s="121">
        <f t="shared" si="0"/>
        <v>30</v>
      </c>
      <c r="B38" s="296"/>
      <c r="C38" s="1259" t="s">
        <v>518</v>
      </c>
      <c r="D38" s="486" t="s">
        <v>519</v>
      </c>
      <c r="E38" s="486"/>
      <c r="F38" s="291"/>
      <c r="G38" s="291"/>
      <c r="H38" s="291"/>
      <c r="I38" s="291"/>
      <c r="J38" s="291"/>
      <c r="K38" s="291"/>
    </row>
    <row r="39" spans="1:11" ht="13.2" x14ac:dyDescent="0.25">
      <c r="A39" s="121">
        <f t="shared" si="0"/>
        <v>31</v>
      </c>
      <c r="B39" s="296"/>
      <c r="C39" s="539" t="s">
        <v>517</v>
      </c>
      <c r="D39" s="539" t="s">
        <v>517</v>
      </c>
      <c r="E39" s="539" t="s">
        <v>215</v>
      </c>
      <c r="F39" s="291"/>
      <c r="G39" s="1260" t="s">
        <v>256</v>
      </c>
      <c r="H39" s="291"/>
      <c r="I39" s="291"/>
      <c r="J39" s="291"/>
      <c r="K39" s="291"/>
    </row>
    <row r="40" spans="1:11" ht="13.2" x14ac:dyDescent="0.25">
      <c r="A40" s="121">
        <f t="shared" si="0"/>
        <v>32</v>
      </c>
      <c r="B40" s="291" t="s">
        <v>526</v>
      </c>
      <c r="C40" s="298" t="e">
        <f>C33</f>
        <v>#DIV/0!</v>
      </c>
      <c r="D40" s="298" t="e">
        <f>D33</f>
        <v>#DIV/0!</v>
      </c>
      <c r="E40" s="298">
        <f>E33</f>
        <v>0</v>
      </c>
      <c r="F40" s="291"/>
      <c r="G40" s="291" t="str">
        <f>"Line "&amp;A33&amp;""</f>
        <v>Line 25</v>
      </c>
      <c r="H40" s="291"/>
      <c r="I40" s="291"/>
      <c r="J40" s="291"/>
      <c r="K40" s="291"/>
    </row>
    <row r="41" spans="1:11" ht="13.2" x14ac:dyDescent="0.25">
      <c r="A41" s="121">
        <f t="shared" si="0"/>
        <v>33</v>
      </c>
      <c r="B41" s="562" t="s">
        <v>1844</v>
      </c>
      <c r="C41" s="298">
        <f>'16-PlantAdditions'!K37-'16-PlantAdditions'!P37</f>
        <v>0</v>
      </c>
      <c r="D41" s="298">
        <f>'16-PlantAdditions'!P37</f>
        <v>0</v>
      </c>
      <c r="E41" s="1261">
        <f>SUM(C41:D41)</f>
        <v>0</v>
      </c>
      <c r="F41" s="291"/>
      <c r="G41" s="291" t="str">
        <f>"13-Month Average: 16-PlantAdditions, Line "&amp;'16-PlantAdditions'!A37&amp;", Cols 7  (for Total) and 12 (for LV).  HV = C7 - C12."</f>
        <v>13-Month Average: 16-PlantAdditions, Line 25, Cols 7  (for Total) and 12 (for LV).  HV = C7 - C12.</v>
      </c>
      <c r="H41" s="291"/>
      <c r="I41" s="291"/>
      <c r="J41" s="291"/>
      <c r="K41" s="291"/>
    </row>
    <row r="42" spans="1:11" ht="13.2" x14ac:dyDescent="0.25">
      <c r="A42" s="121">
        <f t="shared" si="0"/>
        <v>34</v>
      </c>
      <c r="B42" s="562" t="s">
        <v>1843</v>
      </c>
      <c r="C42" s="651">
        <f>'10-CWIP'!K79</f>
        <v>0</v>
      </c>
      <c r="D42" s="651">
        <v>0</v>
      </c>
      <c r="E42" s="651">
        <f>SUM(C42:D42)</f>
        <v>0</v>
      </c>
      <c r="F42" s="291"/>
      <c r="G42" s="291" t="str">
        <f>"13 Month Average: 10-CWIP, Line "&amp;'10-CWIP'!A79&amp;", Col. 8"</f>
        <v>13 Month Average: 10-CWIP, Line 54, Col. 8</v>
      </c>
      <c r="H42" s="291"/>
      <c r="I42" s="291"/>
      <c r="J42" s="291"/>
      <c r="K42" s="291"/>
    </row>
    <row r="43" spans="1:11" ht="13.2" x14ac:dyDescent="0.25">
      <c r="A43" s="121">
        <f t="shared" si="0"/>
        <v>35</v>
      </c>
      <c r="B43" s="291" t="s">
        <v>527</v>
      </c>
      <c r="C43" s="298" t="e">
        <f>SUM(C40:C42)</f>
        <v>#DIV/0!</v>
      </c>
      <c r="D43" s="298" t="e">
        <f t="shared" ref="D43:E43" si="3">SUM(D40:D42)</f>
        <v>#DIV/0!</v>
      </c>
      <c r="E43" s="298">
        <f t="shared" si="3"/>
        <v>0</v>
      </c>
      <c r="F43" s="291"/>
      <c r="G43" s="291" t="str">
        <f>"Line "&amp;A40&amp;" + Line "&amp;A41&amp;" + Line "&amp;A42&amp;""</f>
        <v>Line 32 + Line 33 + Line 34</v>
      </c>
      <c r="H43" s="291"/>
      <c r="I43" s="291"/>
      <c r="J43" s="291"/>
      <c r="K43" s="291"/>
    </row>
    <row r="44" spans="1:11" ht="13.2" x14ac:dyDescent="0.25">
      <c r="A44" s="121">
        <f t="shared" si="0"/>
        <v>36</v>
      </c>
      <c r="B44" s="291"/>
      <c r="C44" s="291"/>
      <c r="D44" s="291"/>
      <c r="E44" s="291"/>
      <c r="F44" s="291"/>
      <c r="G44" s="291"/>
      <c r="H44" s="291"/>
      <c r="I44" s="291"/>
      <c r="J44" s="291"/>
      <c r="K44" s="291"/>
    </row>
    <row r="45" spans="1:11" ht="13.2" x14ac:dyDescent="0.25">
      <c r="A45" s="121">
        <f t="shared" si="0"/>
        <v>37</v>
      </c>
      <c r="B45" s="291" t="s">
        <v>1260</v>
      </c>
      <c r="C45" s="1262" t="e">
        <f>C43/E43</f>
        <v>#DIV/0!</v>
      </c>
      <c r="D45" s="1262" t="e">
        <f>D43/E43</f>
        <v>#DIV/0!</v>
      </c>
      <c r="E45" s="291"/>
      <c r="F45" s="291"/>
      <c r="G45" s="1263" t="str">
        <f>"Percent of Total on Line "&amp;A43&amp;""</f>
        <v>Percent of Total on Line 35</v>
      </c>
      <c r="H45" s="291"/>
      <c r="I45" s="291"/>
      <c r="J45" s="291"/>
      <c r="K45" s="291"/>
    </row>
    <row r="46" spans="1:11" ht="13.2" x14ac:dyDescent="0.25">
      <c r="A46" s="121">
        <f t="shared" si="0"/>
        <v>38</v>
      </c>
      <c r="B46" s="1200" t="s">
        <v>1662</v>
      </c>
      <c r="C46" s="291"/>
      <c r="D46" s="291"/>
      <c r="E46" s="291"/>
      <c r="F46" s="291"/>
      <c r="G46" s="291"/>
      <c r="H46" s="291"/>
      <c r="I46" s="291"/>
      <c r="J46" s="291"/>
      <c r="K46" s="291"/>
    </row>
    <row r="47" spans="1:11" ht="13.2" x14ac:dyDescent="0.25">
      <c r="A47" s="121">
        <f t="shared" si="0"/>
        <v>39</v>
      </c>
      <c r="B47" s="562" t="s">
        <v>1847</v>
      </c>
      <c r="C47" s="291"/>
      <c r="D47" s="291"/>
      <c r="E47" s="291"/>
      <c r="F47" s="291"/>
      <c r="G47" s="291"/>
      <c r="H47" s="291"/>
      <c r="I47" s="291"/>
      <c r="J47" s="291"/>
      <c r="K47" s="291"/>
    </row>
    <row r="48" spans="1:11" ht="13.2" x14ac:dyDescent="0.25">
      <c r="A48" s="15"/>
      <c r="B48" s="45"/>
      <c r="C48" s="291"/>
      <c r="D48" s="291"/>
      <c r="E48" s="291"/>
      <c r="F48" s="291"/>
      <c r="G48" s="291"/>
      <c r="H48" s="291"/>
      <c r="I48" s="291"/>
      <c r="J48" s="291"/>
      <c r="K48" s="291"/>
    </row>
    <row r="49" spans="1:11" ht="13.2" x14ac:dyDescent="0.25">
      <c r="A49" s="15"/>
      <c r="B49" s="45" t="s">
        <v>256</v>
      </c>
      <c r="C49" s="742"/>
      <c r="D49" s="742"/>
      <c r="E49" s="742"/>
      <c r="F49" s="742"/>
      <c r="G49" s="742"/>
      <c r="H49" s="742"/>
      <c r="I49" s="291"/>
      <c r="J49" s="291"/>
      <c r="K49" s="291"/>
    </row>
    <row r="50" spans="1:11" ht="13.2" x14ac:dyDescent="0.25">
      <c r="A50" s="15"/>
      <c r="B50" s="742" t="s">
        <v>1952</v>
      </c>
      <c r="C50" s="742"/>
      <c r="D50" s="742"/>
      <c r="E50" s="742"/>
      <c r="F50" s="742"/>
      <c r="G50" s="742"/>
      <c r="H50" s="742"/>
      <c r="I50" s="291"/>
      <c r="J50" s="291"/>
      <c r="K50" s="291"/>
    </row>
    <row r="51" spans="1:11" x14ac:dyDescent="0.3">
      <c r="A51" s="14"/>
      <c r="B51" s="742" t="s">
        <v>1953</v>
      </c>
      <c r="C51" s="1256"/>
      <c r="D51" s="1256"/>
      <c r="E51" s="1256"/>
      <c r="F51" s="1256"/>
      <c r="G51" s="1256"/>
      <c r="H51" s="1256"/>
      <c r="I51" s="1264"/>
      <c r="J51" s="1264"/>
      <c r="K51" s="1264"/>
    </row>
  </sheetData>
  <pageMargins left="0.7" right="0.7" top="0.75" bottom="0.75" header="0.3" footer="0.3"/>
  <pageSetup scale="70" orientation="landscape" cellComments="asDisplayed" r:id="rId1"/>
  <headerFooter>
    <oddHeader>&amp;CSchedule 31
High and Low Voltage Gross Plant
&amp;"Arial,Bold"Attachment 5</oddHeader>
    <oddFooter>&amp;R31-HVLV</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zoomScaleNormal="100" workbookViewId="0"/>
  </sheetViews>
  <sheetFormatPr defaultRowHeight="13.2" x14ac:dyDescent="0.25"/>
  <cols>
    <col min="1" max="1" width="4.6640625" customWidth="1"/>
    <col min="5" max="5" width="3.109375" customWidth="1"/>
    <col min="6" max="6" width="12.6640625" customWidth="1"/>
    <col min="7" max="7" width="22.6640625" customWidth="1"/>
    <col min="8" max="8" width="25.6640625" customWidth="1"/>
  </cols>
  <sheetData>
    <row r="1" spans="1:8" x14ac:dyDescent="0.25">
      <c r="A1" s="1" t="s">
        <v>1864</v>
      </c>
    </row>
    <row r="3" spans="1:8" x14ac:dyDescent="0.25">
      <c r="G3" s="2"/>
    </row>
    <row r="4" spans="1:8" x14ac:dyDescent="0.25">
      <c r="A4" s="3" t="s">
        <v>360</v>
      </c>
      <c r="F4" s="3" t="s">
        <v>312</v>
      </c>
      <c r="G4" s="3" t="s">
        <v>171</v>
      </c>
      <c r="H4" s="53" t="s">
        <v>198</v>
      </c>
    </row>
    <row r="5" spans="1:8" x14ac:dyDescent="0.25">
      <c r="A5" s="2">
        <v>1</v>
      </c>
      <c r="B5" s="551" t="s">
        <v>366</v>
      </c>
      <c r="F5" s="108"/>
      <c r="G5" s="16"/>
      <c r="H5" t="s">
        <v>395</v>
      </c>
    </row>
    <row r="6" spans="1:8" x14ac:dyDescent="0.25">
      <c r="A6" s="2">
        <v>2</v>
      </c>
      <c r="B6" s="12" t="s">
        <v>367</v>
      </c>
      <c r="F6" s="110"/>
      <c r="G6" s="16"/>
      <c r="H6" t="s">
        <v>396</v>
      </c>
    </row>
    <row r="7" spans="1:8" x14ac:dyDescent="0.25">
      <c r="A7" s="2">
        <v>3</v>
      </c>
      <c r="B7" s="52" t="s">
        <v>355</v>
      </c>
      <c r="F7" s="109">
        <f>SUM(F5:F6)</f>
        <v>0</v>
      </c>
      <c r="G7" s="13" t="s">
        <v>368</v>
      </c>
      <c r="H7" s="12" t="s">
        <v>356</v>
      </c>
    </row>
    <row r="8" spans="1:8" x14ac:dyDescent="0.25">
      <c r="A8" s="2"/>
      <c r="G8" s="16"/>
    </row>
    <row r="9" spans="1:8" x14ac:dyDescent="0.25">
      <c r="A9" s="2"/>
      <c r="G9" s="16"/>
    </row>
    <row r="10" spans="1:8" x14ac:dyDescent="0.25">
      <c r="A10" s="2">
        <v>4</v>
      </c>
      <c r="B10" s="553" t="s">
        <v>2767</v>
      </c>
      <c r="C10" s="14"/>
      <c r="D10" s="14"/>
      <c r="E10" s="37"/>
      <c r="F10" s="108"/>
      <c r="G10" s="16"/>
      <c r="H10" s="12" t="s">
        <v>395</v>
      </c>
    </row>
    <row r="11" spans="1:8" x14ac:dyDescent="0.25">
      <c r="B11" s="14"/>
      <c r="C11" s="14"/>
      <c r="D11" s="14"/>
    </row>
    <row r="12" spans="1:8" x14ac:dyDescent="0.25">
      <c r="B12" s="14"/>
      <c r="C12" s="14"/>
      <c r="D12" s="14"/>
    </row>
    <row r="13" spans="1:8" x14ac:dyDescent="0.25">
      <c r="B13" s="1139" t="s">
        <v>256</v>
      </c>
      <c r="C13" s="14"/>
      <c r="D13" s="14"/>
    </row>
    <row r="14" spans="1:8" x14ac:dyDescent="0.25">
      <c r="B14" s="15" t="s">
        <v>1372</v>
      </c>
      <c r="C14" s="14"/>
      <c r="D14" s="14"/>
    </row>
    <row r="15" spans="1:8" x14ac:dyDescent="0.25">
      <c r="B15" s="15" t="s">
        <v>1373</v>
      </c>
      <c r="C15" s="14"/>
      <c r="D15" s="14"/>
    </row>
    <row r="16" spans="1:8" x14ac:dyDescent="0.25">
      <c r="B16" s="553" t="s">
        <v>2238</v>
      </c>
      <c r="C16" s="14"/>
      <c r="D16" s="14"/>
      <c r="E16" s="14"/>
      <c r="F16" s="14"/>
      <c r="G16" s="14"/>
      <c r="H16" s="14"/>
    </row>
    <row r="18" spans="2:2" ht="15.6" x14ac:dyDescent="0.3">
      <c r="B18" s="722"/>
    </row>
  </sheetData>
  <pageMargins left="0.7" right="0.7" top="0.75" bottom="0.75" header="0.3" footer="0.3"/>
  <pageSetup orientation="landscape" cellComments="asDisplayed" r:id="rId1"/>
  <headerFooter>
    <oddHeader>&amp;CSchedule 32 
Gross Load
&amp;"Arial,Bold"Attachment 5</oddHeader>
    <oddFooter>&amp;R&amp;A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3"/>
  <sheetViews>
    <sheetView zoomScale="80" zoomScaleNormal="80" zoomScalePageLayoutView="75" workbookViewId="0"/>
  </sheetViews>
  <sheetFormatPr defaultColWidth="9.109375" defaultRowHeight="13.2" x14ac:dyDescent="0.25"/>
  <cols>
    <col min="1" max="1" width="5.44140625" style="920" customWidth="1"/>
    <col min="2" max="2" width="18.5546875" style="920" customWidth="1"/>
    <col min="3" max="12" width="15.88671875" style="920" customWidth="1"/>
    <col min="13" max="13" width="8.6640625" style="919" customWidth="1"/>
    <col min="14" max="16384" width="9.109375" style="920"/>
  </cols>
  <sheetData>
    <row r="1" spans="1:13" ht="15.6" x14ac:dyDescent="0.3">
      <c r="A1" s="916" t="s">
        <v>412</v>
      </c>
      <c r="B1" s="917"/>
      <c r="C1" s="917"/>
      <c r="D1" s="917"/>
      <c r="E1" s="917"/>
      <c r="F1" s="917"/>
      <c r="G1" s="917"/>
      <c r="H1" s="917"/>
      <c r="I1" s="917"/>
      <c r="J1" s="917"/>
      <c r="K1" s="918"/>
      <c r="L1" s="918"/>
    </row>
    <row r="2" spans="1:13" ht="14.25" customHeight="1" x14ac:dyDescent="0.3">
      <c r="A2" s="916"/>
      <c r="B2" s="917"/>
      <c r="C2" s="917"/>
      <c r="D2" s="917"/>
      <c r="E2" s="917"/>
      <c r="F2" s="917"/>
      <c r="G2" s="917"/>
      <c r="H2" s="917"/>
      <c r="I2" s="917"/>
      <c r="J2" s="917"/>
      <c r="K2" s="918"/>
      <c r="L2" s="918"/>
    </row>
    <row r="3" spans="1:13" x14ac:dyDescent="0.25">
      <c r="E3" s="921" t="s">
        <v>198</v>
      </c>
      <c r="K3" s="922"/>
      <c r="L3" s="922"/>
    </row>
    <row r="4" spans="1:13" x14ac:dyDescent="0.25">
      <c r="C4" s="923" t="s">
        <v>1292</v>
      </c>
      <c r="D4" s="924" t="e">
        <f>'1-BaseTRR'!K152</f>
        <v>#DIV/0!</v>
      </c>
      <c r="E4" s="925" t="s">
        <v>2756</v>
      </c>
      <c r="G4" s="926" t="s">
        <v>497</v>
      </c>
      <c r="H4" s="927"/>
      <c r="J4" s="928"/>
      <c r="K4" s="922"/>
      <c r="L4" s="922"/>
    </row>
    <row r="5" spans="1:13" x14ac:dyDescent="0.25">
      <c r="C5" s="923"/>
      <c r="D5" s="929"/>
      <c r="E5" s="925"/>
      <c r="K5" s="922"/>
      <c r="L5" s="922"/>
    </row>
    <row r="6" spans="1:13" ht="15.6" x14ac:dyDescent="0.3">
      <c r="B6" s="916" t="s">
        <v>1293</v>
      </c>
      <c r="D6" s="923"/>
      <c r="E6" s="929"/>
      <c r="F6" s="925"/>
      <c r="K6" s="922"/>
      <c r="L6" s="922"/>
    </row>
    <row r="7" spans="1:13" x14ac:dyDescent="0.25">
      <c r="C7" s="930" t="s">
        <v>394</v>
      </c>
      <c r="D7" s="930" t="s">
        <v>378</v>
      </c>
      <c r="E7" s="930" t="s">
        <v>379</v>
      </c>
      <c r="F7" s="930" t="s">
        <v>380</v>
      </c>
      <c r="G7" s="930" t="s">
        <v>381</v>
      </c>
      <c r="H7" s="930" t="s">
        <v>382</v>
      </c>
      <c r="I7" s="930" t="s">
        <v>383</v>
      </c>
      <c r="J7" s="930" t="s">
        <v>597</v>
      </c>
      <c r="K7" s="930" t="s">
        <v>1046</v>
      </c>
      <c r="L7" s="930" t="s">
        <v>1062</v>
      </c>
      <c r="M7" s="930" t="s">
        <v>1065</v>
      </c>
    </row>
    <row r="8" spans="1:13" x14ac:dyDescent="0.25">
      <c r="C8" s="931" t="s">
        <v>395</v>
      </c>
      <c r="E8" s="931" t="s">
        <v>396</v>
      </c>
      <c r="F8" s="931" t="s">
        <v>1294</v>
      </c>
      <c r="G8" s="931" t="s">
        <v>1309</v>
      </c>
      <c r="H8" s="931"/>
      <c r="I8" s="931"/>
    </row>
    <row r="9" spans="1:13" s="934" customFormat="1" x14ac:dyDescent="0.25">
      <c r="A9" s="932"/>
      <c r="B9" s="932"/>
      <c r="C9" s="930"/>
      <c r="D9" s="933"/>
      <c r="E9" s="1339" t="s">
        <v>2644</v>
      </c>
      <c r="F9" s="1340"/>
      <c r="G9" s="1341"/>
      <c r="H9" s="930"/>
      <c r="I9" s="932"/>
      <c r="J9" s="931" t="s">
        <v>1311</v>
      </c>
      <c r="K9" s="931" t="s">
        <v>1311</v>
      </c>
      <c r="L9" s="931" t="s">
        <v>1311</v>
      </c>
      <c r="M9" s="919"/>
    </row>
    <row r="10" spans="1:13" s="940" customFormat="1" ht="53.25" customHeight="1" x14ac:dyDescent="0.25">
      <c r="A10" s="935"/>
      <c r="B10" s="935"/>
      <c r="C10" s="936"/>
      <c r="D10" s="937" t="s">
        <v>2645</v>
      </c>
      <c r="E10" s="938" t="s">
        <v>1653</v>
      </c>
      <c r="F10" s="938" t="s">
        <v>2646</v>
      </c>
      <c r="G10" s="938" t="s">
        <v>2647</v>
      </c>
      <c r="H10" s="937" t="s">
        <v>2648</v>
      </c>
      <c r="I10" s="937" t="s">
        <v>2649</v>
      </c>
      <c r="J10" s="1342" t="s">
        <v>2650</v>
      </c>
      <c r="K10" s="1343"/>
      <c r="L10" s="1344"/>
      <c r="M10" s="939"/>
    </row>
    <row r="11" spans="1:13" s="934" customFormat="1" ht="36.75" customHeight="1" x14ac:dyDescent="0.25">
      <c r="A11" s="921" t="s">
        <v>350</v>
      </c>
      <c r="B11" s="941" t="s">
        <v>1295</v>
      </c>
      <c r="C11" s="942" t="s">
        <v>1296</v>
      </c>
      <c r="D11" s="943" t="s">
        <v>1297</v>
      </c>
      <c r="E11" s="944" t="s">
        <v>2651</v>
      </c>
      <c r="F11" s="941" t="s">
        <v>2652</v>
      </c>
      <c r="G11" s="941" t="s">
        <v>2653</v>
      </c>
      <c r="H11" s="945" t="s">
        <v>2654</v>
      </c>
      <c r="I11" s="946" t="s">
        <v>2655</v>
      </c>
      <c r="J11" s="944" t="s">
        <v>2651</v>
      </c>
      <c r="K11" s="941" t="s">
        <v>2652</v>
      </c>
      <c r="L11" s="941" t="s">
        <v>2653</v>
      </c>
      <c r="M11" s="941" t="s">
        <v>187</v>
      </c>
    </row>
    <row r="12" spans="1:13" s="928" customFormat="1" x14ac:dyDescent="0.25">
      <c r="A12" s="947" t="s">
        <v>640</v>
      </c>
      <c r="B12" s="556" t="s">
        <v>2629</v>
      </c>
      <c r="C12" s="948" t="e">
        <f>K104</f>
        <v>#DIV/0!</v>
      </c>
      <c r="D12" s="929" t="e">
        <f>$D$4*C12</f>
        <v>#DIV/0!</v>
      </c>
      <c r="E12" s="949"/>
      <c r="F12" s="950"/>
      <c r="G12" s="951"/>
      <c r="H12" s="952" t="e">
        <f>D12/(E12*10^6)</f>
        <v>#DIV/0!</v>
      </c>
      <c r="I12" s="953"/>
      <c r="K12" s="922"/>
      <c r="L12" s="920"/>
      <c r="M12" s="919"/>
    </row>
    <row r="13" spans="1:13" s="928" customFormat="1" ht="13.8" thickBot="1" x14ac:dyDescent="0.3">
      <c r="A13" s="947" t="s">
        <v>642</v>
      </c>
      <c r="B13" s="556" t="s">
        <v>2630</v>
      </c>
      <c r="C13" s="948" t="e">
        <f>K105</f>
        <v>#DIV/0!</v>
      </c>
      <c r="D13" s="929" t="e">
        <f t="shared" ref="D13:D26" si="0">$D$4*C13</f>
        <v>#DIV/0!</v>
      </c>
      <c r="E13" s="949"/>
      <c r="F13" s="950"/>
      <c r="G13" s="951"/>
      <c r="H13" s="952" t="e">
        <f>D13/(E13*10^6)</f>
        <v>#DIV/0!</v>
      </c>
      <c r="I13" s="953"/>
      <c r="J13" s="1277"/>
      <c r="K13" s="1278"/>
      <c r="L13" s="1279"/>
      <c r="M13" s="919"/>
    </row>
    <row r="14" spans="1:13" s="928" customFormat="1" ht="16.2" thickBot="1" x14ac:dyDescent="0.4">
      <c r="A14" s="947" t="s">
        <v>2656</v>
      </c>
      <c r="B14" s="556" t="s">
        <v>2631</v>
      </c>
      <c r="C14" s="954"/>
      <c r="D14" s="954"/>
      <c r="E14" s="955"/>
      <c r="F14" s="1280"/>
      <c r="G14" s="1280"/>
      <c r="H14" s="956"/>
      <c r="I14" s="957" t="e">
        <f>K14</f>
        <v>#DIV/0!</v>
      </c>
      <c r="J14" s="958" t="e">
        <f>H13*J13*10^6</f>
        <v>#DIV/0!</v>
      </c>
      <c r="K14" s="1345" t="e">
        <f>J14/((K13+L13)*10^3)</f>
        <v>#DIV/0!</v>
      </c>
      <c r="L14" s="1345"/>
      <c r="M14" s="959" t="s">
        <v>1312</v>
      </c>
    </row>
    <row r="15" spans="1:13" s="928" customFormat="1" x14ac:dyDescent="0.25">
      <c r="A15" s="947" t="s">
        <v>645</v>
      </c>
      <c r="B15" s="556" t="s">
        <v>2632</v>
      </c>
      <c r="C15" s="948" t="e">
        <f t="shared" ref="C15:C23" si="1">K106</f>
        <v>#DIV/0!</v>
      </c>
      <c r="D15" s="929" t="e">
        <f t="shared" si="0"/>
        <v>#DIV/0!</v>
      </c>
      <c r="E15" s="949"/>
      <c r="F15" s="950"/>
      <c r="G15" s="951"/>
      <c r="H15" s="952" t="e">
        <f>D15/(E15*10^6)</f>
        <v>#DIV/0!</v>
      </c>
      <c r="I15" s="953"/>
      <c r="K15" s="922"/>
      <c r="L15" s="920"/>
      <c r="M15" s="919"/>
    </row>
    <row r="16" spans="1:13" s="928" customFormat="1" x14ac:dyDescent="0.25">
      <c r="A16" s="947" t="s">
        <v>1298</v>
      </c>
      <c r="B16" s="556" t="s">
        <v>2633</v>
      </c>
      <c r="C16" s="948" t="e">
        <f t="shared" si="1"/>
        <v>#DIV/0!</v>
      </c>
      <c r="D16" s="929" t="e">
        <f t="shared" si="0"/>
        <v>#DIV/0!</v>
      </c>
      <c r="E16" s="949"/>
      <c r="F16" s="950"/>
      <c r="G16" s="951"/>
      <c r="H16" s="953"/>
      <c r="I16" s="960" t="e">
        <f>D16/((G16+F16)*10^3)</f>
        <v>#DIV/0!</v>
      </c>
      <c r="K16" s="922"/>
      <c r="L16" s="961"/>
      <c r="M16" s="919"/>
    </row>
    <row r="17" spans="1:13" s="928" customFormat="1" x14ac:dyDescent="0.25">
      <c r="A17" s="947" t="s">
        <v>1299</v>
      </c>
      <c r="B17" s="556" t="s">
        <v>2634</v>
      </c>
      <c r="C17" s="948" t="e">
        <f t="shared" si="1"/>
        <v>#DIV/0!</v>
      </c>
      <c r="D17" s="929" t="e">
        <f t="shared" si="0"/>
        <v>#DIV/0!</v>
      </c>
      <c r="E17" s="949"/>
      <c r="F17" s="950"/>
      <c r="G17" s="951"/>
      <c r="H17" s="953"/>
      <c r="I17" s="960" t="e">
        <f>D17/((G17+F17)*10^3)</f>
        <v>#DIV/0!</v>
      </c>
      <c r="K17" s="922"/>
      <c r="L17" s="961"/>
      <c r="M17" s="919"/>
    </row>
    <row r="18" spans="1:13" s="928" customFormat="1" x14ac:dyDescent="0.25">
      <c r="A18" s="947" t="s">
        <v>1300</v>
      </c>
      <c r="B18" s="556" t="s">
        <v>2635</v>
      </c>
      <c r="C18" s="948" t="e">
        <f t="shared" si="1"/>
        <v>#DIV/0!</v>
      </c>
      <c r="D18" s="929" t="e">
        <f t="shared" si="0"/>
        <v>#DIV/0!</v>
      </c>
      <c r="E18" s="962"/>
      <c r="F18" s="963"/>
      <c r="G18" s="964"/>
      <c r="H18" s="953"/>
      <c r="I18" s="960" t="e">
        <f t="shared" ref="I18:I25" si="2">D18/((G18+F18)*10^3)</f>
        <v>#DIV/0!</v>
      </c>
      <c r="K18" s="922"/>
      <c r="L18" s="961"/>
      <c r="M18" s="919"/>
    </row>
    <row r="19" spans="1:13" s="928" customFormat="1" x14ac:dyDescent="0.25">
      <c r="A19" s="947" t="s">
        <v>1301</v>
      </c>
      <c r="B19" s="556" t="s">
        <v>2636</v>
      </c>
      <c r="C19" s="948" t="e">
        <f t="shared" si="1"/>
        <v>#DIV/0!</v>
      </c>
      <c r="D19" s="929" t="e">
        <f t="shared" si="0"/>
        <v>#DIV/0!</v>
      </c>
      <c r="E19" s="962"/>
      <c r="F19" s="963"/>
      <c r="G19" s="964"/>
      <c r="H19" s="953"/>
      <c r="I19" s="960" t="e">
        <f t="shared" si="2"/>
        <v>#DIV/0!</v>
      </c>
      <c r="K19" s="922"/>
      <c r="L19" s="961"/>
      <c r="M19" s="919"/>
    </row>
    <row r="20" spans="1:13" s="928" customFormat="1" x14ac:dyDescent="0.25">
      <c r="A20" s="947" t="s">
        <v>1302</v>
      </c>
      <c r="B20" s="556" t="s">
        <v>2637</v>
      </c>
      <c r="C20" s="948" t="e">
        <f t="shared" si="1"/>
        <v>#DIV/0!</v>
      </c>
      <c r="D20" s="929" t="e">
        <f t="shared" si="0"/>
        <v>#DIV/0!</v>
      </c>
      <c r="E20" s="962"/>
      <c r="F20" s="963"/>
      <c r="G20" s="964"/>
      <c r="H20" s="953"/>
      <c r="I20" s="960" t="e">
        <f t="shared" si="2"/>
        <v>#DIV/0!</v>
      </c>
      <c r="K20" s="965"/>
      <c r="L20" s="966"/>
      <c r="M20" s="919"/>
    </row>
    <row r="21" spans="1:13" s="928" customFormat="1" x14ac:dyDescent="0.25">
      <c r="A21" s="947" t="s">
        <v>1303</v>
      </c>
      <c r="B21" s="556" t="s">
        <v>2638</v>
      </c>
      <c r="C21" s="948" t="e">
        <f t="shared" si="1"/>
        <v>#DIV/0!</v>
      </c>
      <c r="D21" s="929" t="e">
        <f t="shared" si="0"/>
        <v>#DIV/0!</v>
      </c>
      <c r="E21" s="963"/>
      <c r="F21" s="963"/>
      <c r="G21" s="964"/>
      <c r="H21" s="953"/>
      <c r="I21" s="960" t="e">
        <f t="shared" si="2"/>
        <v>#DIV/0!</v>
      </c>
      <c r="K21" s="967"/>
      <c r="L21" s="968"/>
      <c r="M21" s="919"/>
    </row>
    <row r="22" spans="1:13" s="928" customFormat="1" x14ac:dyDescent="0.25">
      <c r="A22" s="947" t="s">
        <v>1304</v>
      </c>
      <c r="B22" s="556" t="s">
        <v>2639</v>
      </c>
      <c r="C22" s="948" t="e">
        <f t="shared" si="1"/>
        <v>#DIV/0!</v>
      </c>
      <c r="D22" s="929" t="e">
        <f t="shared" si="0"/>
        <v>#DIV/0!</v>
      </c>
      <c r="E22" s="963"/>
      <c r="F22" s="963"/>
      <c r="G22" s="964"/>
      <c r="H22" s="953"/>
      <c r="I22" s="960" t="e">
        <f t="shared" si="2"/>
        <v>#DIV/0!</v>
      </c>
      <c r="K22" s="967"/>
      <c r="L22" s="968"/>
      <c r="M22" s="919"/>
    </row>
    <row r="23" spans="1:13" s="928" customFormat="1" x14ac:dyDescent="0.25">
      <c r="A23" s="947" t="s">
        <v>1305</v>
      </c>
      <c r="B23" s="556" t="s">
        <v>2640</v>
      </c>
      <c r="C23" s="948" t="e">
        <f t="shared" si="1"/>
        <v>#DIV/0!</v>
      </c>
      <c r="D23" s="929" t="e">
        <f t="shared" si="0"/>
        <v>#DIV/0!</v>
      </c>
      <c r="E23" s="963"/>
      <c r="F23" s="963"/>
      <c r="G23" s="964"/>
      <c r="H23" s="953"/>
      <c r="I23" s="960" t="e">
        <f t="shared" si="2"/>
        <v>#DIV/0!</v>
      </c>
      <c r="K23" s="965"/>
      <c r="L23" s="966"/>
      <c r="M23" s="919"/>
    </row>
    <row r="24" spans="1:13" s="928" customFormat="1" x14ac:dyDescent="0.25">
      <c r="A24" s="947" t="s">
        <v>1306</v>
      </c>
      <c r="B24" s="556" t="s">
        <v>2641</v>
      </c>
      <c r="C24" s="948" t="e">
        <f>K115</f>
        <v>#DIV/0!</v>
      </c>
      <c r="D24" s="929" t="e">
        <f t="shared" si="0"/>
        <v>#DIV/0!</v>
      </c>
      <c r="E24" s="949"/>
      <c r="F24" s="949"/>
      <c r="G24" s="949"/>
      <c r="H24" s="953"/>
      <c r="I24" s="960" t="e">
        <f t="shared" si="2"/>
        <v>#DIV/0!</v>
      </c>
      <c r="K24" s="969"/>
      <c r="L24" s="969"/>
      <c r="M24" s="970"/>
    </row>
    <row r="25" spans="1:13" s="928" customFormat="1" x14ac:dyDescent="0.25">
      <c r="A25" s="947" t="s">
        <v>1307</v>
      </c>
      <c r="B25" s="556" t="s">
        <v>2642</v>
      </c>
      <c r="C25" s="948" t="e">
        <f>K116</f>
        <v>#DIV/0!</v>
      </c>
      <c r="D25" s="929" t="e">
        <f t="shared" si="0"/>
        <v>#DIV/0!</v>
      </c>
      <c r="E25" s="949"/>
      <c r="F25" s="949"/>
      <c r="G25" s="949"/>
      <c r="H25" s="953"/>
      <c r="I25" s="960" t="e">
        <f t="shared" si="2"/>
        <v>#DIV/0!</v>
      </c>
      <c r="J25" s="961"/>
      <c r="K25" s="920"/>
      <c r="L25" s="971"/>
      <c r="M25" s="919"/>
    </row>
    <row r="26" spans="1:13" s="928" customFormat="1" x14ac:dyDescent="0.25">
      <c r="A26" s="947" t="s">
        <v>1308</v>
      </c>
      <c r="B26" s="556" t="s">
        <v>2643</v>
      </c>
      <c r="C26" s="948" t="e">
        <f>K117</f>
        <v>#DIV/0!</v>
      </c>
      <c r="D26" s="972" t="e">
        <f t="shared" si="0"/>
        <v>#DIV/0!</v>
      </c>
      <c r="E26" s="949"/>
      <c r="F26" s="950"/>
      <c r="G26" s="951"/>
      <c r="H26" s="952" t="e">
        <f>D26/(E26*10^6)</f>
        <v>#DIV/0!</v>
      </c>
      <c r="I26" s="953"/>
      <c r="J26" s="920"/>
      <c r="K26" s="920"/>
      <c r="L26" s="971"/>
      <c r="M26" s="919"/>
    </row>
    <row r="27" spans="1:13" s="928" customFormat="1" x14ac:dyDescent="0.25">
      <c r="A27" s="947" t="s">
        <v>1310</v>
      </c>
      <c r="B27" s="973" t="s">
        <v>86</v>
      </c>
      <c r="C27" s="948"/>
      <c r="D27" s="972"/>
      <c r="E27" s="974"/>
      <c r="F27" s="975"/>
      <c r="G27" s="976"/>
      <c r="H27" s="952"/>
      <c r="I27" s="953"/>
      <c r="J27" s="920"/>
      <c r="K27" s="920"/>
      <c r="L27" s="971"/>
      <c r="M27" s="919"/>
    </row>
    <row r="28" spans="1:13" s="928" customFormat="1" x14ac:dyDescent="0.25">
      <c r="A28" s="947">
        <v>2</v>
      </c>
      <c r="B28" s="559" t="s">
        <v>216</v>
      </c>
      <c r="C28" s="977" t="e">
        <f>SUM(C12:C27)</f>
        <v>#DIV/0!</v>
      </c>
      <c r="D28" s="978" t="e">
        <f>SUM(D12:D27)</f>
        <v>#DIV/0!</v>
      </c>
      <c r="E28" s="979">
        <f>SUM(E12:E27)</f>
        <v>0</v>
      </c>
      <c r="F28" s="979">
        <f>SUM(F12:F27)</f>
        <v>0</v>
      </c>
      <c r="G28" s="979">
        <f>SUM(G12:G27)</f>
        <v>0</v>
      </c>
      <c r="H28" s="980"/>
      <c r="I28" s="920"/>
      <c r="J28" s="920"/>
      <c r="K28" s="920"/>
      <c r="L28" s="920"/>
      <c r="M28" s="919"/>
    </row>
    <row r="29" spans="1:13" s="928" customFormat="1" x14ac:dyDescent="0.25">
      <c r="A29" s="947">
        <f>A28+1</f>
        <v>3</v>
      </c>
      <c r="B29" s="920"/>
      <c r="C29" s="920"/>
      <c r="D29" s="920"/>
      <c r="E29" s="920"/>
      <c r="F29" s="920"/>
      <c r="G29" s="920"/>
      <c r="H29" s="920"/>
      <c r="I29" s="920"/>
      <c r="J29" s="981"/>
      <c r="K29" s="981"/>
      <c r="M29" s="919"/>
    </row>
    <row r="30" spans="1:13" s="928" customFormat="1" x14ac:dyDescent="0.25">
      <c r="A30" s="947">
        <f t="shared" ref="A30:A34" si="3">A29+1</f>
        <v>4</v>
      </c>
      <c r="B30" s="920"/>
      <c r="C30" s="920"/>
      <c r="D30" s="920"/>
      <c r="E30" s="920"/>
      <c r="F30" s="920"/>
      <c r="G30" s="982"/>
      <c r="H30" s="920"/>
      <c r="I30" s="930"/>
      <c r="J30" s="983"/>
      <c r="K30" s="983"/>
      <c r="L30" s="983"/>
      <c r="M30" s="919"/>
    </row>
    <row r="31" spans="1:13" s="928" customFormat="1" ht="15.6" x14ac:dyDescent="0.3">
      <c r="A31" s="947">
        <f t="shared" si="3"/>
        <v>5</v>
      </c>
      <c r="B31" s="916" t="s">
        <v>2657</v>
      </c>
      <c r="C31" s="920"/>
      <c r="D31" s="920"/>
      <c r="E31" s="920"/>
      <c r="F31" s="920"/>
      <c r="G31" s="920"/>
      <c r="H31" s="920"/>
      <c r="I31" s="920"/>
      <c r="J31" s="920"/>
      <c r="K31" s="920"/>
      <c r="L31" s="920"/>
      <c r="M31" s="919"/>
    </row>
    <row r="32" spans="1:13" s="928" customFormat="1" x14ac:dyDescent="0.25">
      <c r="A32" s="947">
        <f t="shared" si="3"/>
        <v>6</v>
      </c>
      <c r="B32" s="920"/>
      <c r="C32" s="930" t="s">
        <v>394</v>
      </c>
      <c r="D32" s="930" t="s">
        <v>378</v>
      </c>
      <c r="E32" s="930" t="s">
        <v>379</v>
      </c>
      <c r="F32" s="930" t="s">
        <v>380</v>
      </c>
      <c r="G32" s="930" t="s">
        <v>381</v>
      </c>
      <c r="H32" s="930" t="s">
        <v>382</v>
      </c>
      <c r="I32" s="930" t="s">
        <v>383</v>
      </c>
      <c r="K32" s="920"/>
      <c r="M32" s="919"/>
    </row>
    <row r="33" spans="1:13" s="940" customFormat="1" ht="26.4" x14ac:dyDescent="0.25">
      <c r="A33" s="947">
        <f t="shared" si="3"/>
        <v>7</v>
      </c>
      <c r="B33" s="935"/>
      <c r="C33" s="984" t="s">
        <v>2658</v>
      </c>
      <c r="D33" s="985" t="s">
        <v>2659</v>
      </c>
      <c r="E33" s="985" t="s">
        <v>2660</v>
      </c>
      <c r="F33" s="985" t="s">
        <v>2661</v>
      </c>
      <c r="G33" s="985" t="s">
        <v>2662</v>
      </c>
      <c r="H33" s="985" t="s">
        <v>2663</v>
      </c>
      <c r="I33" s="985" t="s">
        <v>2664</v>
      </c>
      <c r="K33" s="935"/>
      <c r="M33" s="939"/>
    </row>
    <row r="34" spans="1:13" s="928" customFormat="1" x14ac:dyDescent="0.25">
      <c r="A34" s="947">
        <f t="shared" si="3"/>
        <v>8</v>
      </c>
      <c r="B34" s="920"/>
      <c r="C34" s="930"/>
      <c r="D34" s="930"/>
      <c r="E34" s="930"/>
      <c r="F34" s="930"/>
      <c r="G34" s="930"/>
      <c r="H34" s="930"/>
      <c r="I34" s="986"/>
      <c r="K34" s="920"/>
      <c r="M34" s="919"/>
    </row>
    <row r="35" spans="1:13" s="990" customFormat="1" ht="52.8" x14ac:dyDescent="0.25">
      <c r="A35" s="947">
        <v>9</v>
      </c>
      <c r="B35" s="987" t="s">
        <v>1295</v>
      </c>
      <c r="C35" s="946" t="s">
        <v>1297</v>
      </c>
      <c r="D35" s="988" t="s">
        <v>2665</v>
      </c>
      <c r="E35" s="988" t="s">
        <v>2666</v>
      </c>
      <c r="F35" s="989" t="s">
        <v>2667</v>
      </c>
      <c r="G35" s="989" t="s">
        <v>2668</v>
      </c>
      <c r="H35" s="989" t="s">
        <v>2653</v>
      </c>
      <c r="I35" s="989" t="s">
        <v>2669</v>
      </c>
      <c r="M35" s="991"/>
    </row>
    <row r="36" spans="1:13" s="996" customFormat="1" ht="14.4" x14ac:dyDescent="0.3">
      <c r="A36" s="992" t="s">
        <v>2670</v>
      </c>
      <c r="B36" s="993" t="s">
        <v>2638</v>
      </c>
      <c r="C36" s="994" t="e">
        <f>D21</f>
        <v>#DIV/0!</v>
      </c>
      <c r="D36" s="995">
        <f t="shared" ref="D36:E38" si="4">E127</f>
        <v>0</v>
      </c>
      <c r="E36" s="995" t="e">
        <f t="shared" si="4"/>
        <v>#DIV/0!</v>
      </c>
      <c r="F36" s="996" t="e">
        <f>D36/E36</f>
        <v>#DIV/0!</v>
      </c>
      <c r="G36" s="994" t="e">
        <f>C36*F36</f>
        <v>#DIV/0!</v>
      </c>
      <c r="H36" s="997">
        <f>G21</f>
        <v>0</v>
      </c>
      <c r="I36" s="996" t="e">
        <f>G36/H36/10^3</f>
        <v>#DIV/0!</v>
      </c>
      <c r="M36" s="998"/>
    </row>
    <row r="37" spans="1:13" s="996" customFormat="1" ht="14.4" x14ac:dyDescent="0.3">
      <c r="A37" s="992" t="s">
        <v>2671</v>
      </c>
      <c r="B37" s="993" t="s">
        <v>2639</v>
      </c>
      <c r="C37" s="994" t="e">
        <f>D22</f>
        <v>#DIV/0!</v>
      </c>
      <c r="D37" s="995">
        <f t="shared" si="4"/>
        <v>0</v>
      </c>
      <c r="E37" s="995" t="e">
        <f t="shared" si="4"/>
        <v>#DIV/0!</v>
      </c>
      <c r="F37" s="996" t="e">
        <f>D37/E37</f>
        <v>#DIV/0!</v>
      </c>
      <c r="G37" s="994" t="e">
        <f>C37*F37</f>
        <v>#DIV/0!</v>
      </c>
      <c r="H37" s="997">
        <f>G22</f>
        <v>0</v>
      </c>
      <c r="I37" s="996" t="e">
        <f>G37/H37/10^3</f>
        <v>#DIV/0!</v>
      </c>
      <c r="M37" s="998"/>
    </row>
    <row r="38" spans="1:13" s="996" customFormat="1" ht="14.4" x14ac:dyDescent="0.3">
      <c r="A38" s="992" t="s">
        <v>2672</v>
      </c>
      <c r="B38" s="993" t="s">
        <v>2640</v>
      </c>
      <c r="C38" s="994" t="e">
        <f>D23</f>
        <v>#DIV/0!</v>
      </c>
      <c r="D38" s="995">
        <f t="shared" si="4"/>
        <v>0</v>
      </c>
      <c r="E38" s="995" t="e">
        <f t="shared" si="4"/>
        <v>#DIV/0!</v>
      </c>
      <c r="F38" s="996" t="e">
        <f>D38/E38</f>
        <v>#DIV/0!</v>
      </c>
      <c r="G38" s="994" t="e">
        <f>C38*F38</f>
        <v>#DIV/0!</v>
      </c>
      <c r="H38" s="997">
        <f>G23</f>
        <v>0</v>
      </c>
      <c r="I38" s="996" t="e">
        <f>G38/H38/10^3</f>
        <v>#DIV/0!</v>
      </c>
      <c r="M38" s="998"/>
    </row>
    <row r="39" spans="1:13" s="928" customFormat="1" x14ac:dyDescent="0.25">
      <c r="A39" s="992" t="s">
        <v>2673</v>
      </c>
      <c r="B39" s="973" t="s">
        <v>86</v>
      </c>
      <c r="C39" s="930"/>
      <c r="D39" s="930"/>
      <c r="E39" s="930"/>
      <c r="F39" s="930"/>
      <c r="G39" s="930"/>
      <c r="H39" s="930"/>
      <c r="I39" s="986"/>
      <c r="K39" s="920"/>
      <c r="M39" s="919"/>
    </row>
    <row r="40" spans="1:13" s="928" customFormat="1" x14ac:dyDescent="0.25">
      <c r="A40" s="947">
        <v>10</v>
      </c>
      <c r="B40" s="920"/>
      <c r="C40" s="930"/>
      <c r="D40" s="930"/>
      <c r="E40" s="930"/>
      <c r="F40" s="930"/>
      <c r="G40" s="930"/>
      <c r="H40" s="930"/>
      <c r="I40" s="986"/>
      <c r="K40" s="920"/>
      <c r="M40" s="919"/>
    </row>
    <row r="41" spans="1:13" s="928" customFormat="1" ht="15.6" x14ac:dyDescent="0.3">
      <c r="A41" s="947">
        <v>11</v>
      </c>
      <c r="B41" s="999" t="s">
        <v>1874</v>
      </c>
      <c r="C41" s="920"/>
      <c r="D41" s="920"/>
      <c r="E41" s="920"/>
      <c r="G41" s="920"/>
      <c r="H41" s="920"/>
      <c r="I41" s="920"/>
      <c r="J41" s="920"/>
      <c r="K41" s="920"/>
      <c r="L41" s="920"/>
      <c r="M41" s="919"/>
    </row>
    <row r="42" spans="1:13" s="928" customFormat="1" x14ac:dyDescent="0.25">
      <c r="A42" s="947">
        <v>12</v>
      </c>
      <c r="B42" s="920"/>
      <c r="C42" s="930" t="s">
        <v>394</v>
      </c>
      <c r="D42" s="930" t="s">
        <v>378</v>
      </c>
      <c r="E42" s="930" t="s">
        <v>379</v>
      </c>
      <c r="F42" s="930" t="s">
        <v>380</v>
      </c>
      <c r="G42" s="930" t="s">
        <v>381</v>
      </c>
      <c r="H42" s="930" t="s">
        <v>382</v>
      </c>
      <c r="I42" s="930" t="s">
        <v>383</v>
      </c>
      <c r="J42" s="930" t="s">
        <v>597</v>
      </c>
      <c r="K42" s="930" t="s">
        <v>1046</v>
      </c>
      <c r="L42" s="930" t="s">
        <v>1062</v>
      </c>
      <c r="M42" s="919"/>
    </row>
    <row r="43" spans="1:13" s="940" customFormat="1" ht="39.6" x14ac:dyDescent="0.25">
      <c r="A43" s="1000">
        <v>13</v>
      </c>
      <c r="B43" s="935"/>
      <c r="C43" s="985" t="s">
        <v>2658</v>
      </c>
      <c r="D43" s="985" t="s">
        <v>2674</v>
      </c>
      <c r="E43" s="985" t="s">
        <v>2675</v>
      </c>
      <c r="G43" s="985" t="s">
        <v>2676</v>
      </c>
      <c r="H43" s="985" t="s">
        <v>2677</v>
      </c>
      <c r="I43" s="985" t="s">
        <v>2678</v>
      </c>
      <c r="J43" s="985" t="s">
        <v>2679</v>
      </c>
      <c r="K43" s="985" t="s">
        <v>2680</v>
      </c>
      <c r="L43" s="936"/>
      <c r="M43" s="936"/>
    </row>
    <row r="44" spans="1:13" s="928" customFormat="1" x14ac:dyDescent="0.25">
      <c r="A44" s="947">
        <v>14</v>
      </c>
      <c r="B44" s="920"/>
      <c r="C44" s="931"/>
      <c r="D44" s="1001"/>
      <c r="E44" s="980" t="s">
        <v>1313</v>
      </c>
      <c r="G44" s="980"/>
      <c r="H44" s="980" t="s">
        <v>1315</v>
      </c>
      <c r="I44" s="931" t="s">
        <v>1316</v>
      </c>
      <c r="J44" s="1002"/>
      <c r="K44" s="1002"/>
      <c r="L44" s="931"/>
      <c r="M44" s="980"/>
    </row>
    <row r="45" spans="1:13" s="934" customFormat="1" ht="66" x14ac:dyDescent="0.25">
      <c r="A45" s="947">
        <v>15</v>
      </c>
      <c r="B45" s="944" t="str">
        <f>B11</f>
        <v>CPUC Rate Group</v>
      </c>
      <c r="C45" s="946" t="s">
        <v>1297</v>
      </c>
      <c r="D45" s="946" t="s">
        <v>2681</v>
      </c>
      <c r="E45" s="946" t="s">
        <v>2682</v>
      </c>
      <c r="G45" s="946" t="s">
        <v>1319</v>
      </c>
      <c r="H45" s="946" t="s">
        <v>2683</v>
      </c>
      <c r="I45" s="989" t="s">
        <v>2684</v>
      </c>
      <c r="J45" s="946" t="s">
        <v>2685</v>
      </c>
      <c r="K45" s="989" t="s">
        <v>2686</v>
      </c>
      <c r="L45" s="1003" t="s">
        <v>187</v>
      </c>
      <c r="M45" s="919"/>
    </row>
    <row r="46" spans="1:13" s="928" customFormat="1" ht="13.8" thickBot="1" x14ac:dyDescent="0.3">
      <c r="A46" s="947" t="s">
        <v>2687</v>
      </c>
      <c r="B46" s="556" t="str">
        <f>B12</f>
        <v>Domestic</v>
      </c>
      <c r="C46" s="994" t="e">
        <f>D12</f>
        <v>#DIV/0!</v>
      </c>
      <c r="D46" s="994" t="e">
        <f>C46-E46</f>
        <v>#DIV/0!</v>
      </c>
      <c r="E46" s="1004"/>
      <c r="G46" s="1004" t="e">
        <f>D46/(E12*10^6)</f>
        <v>#DIV/0!</v>
      </c>
      <c r="H46" s="1004"/>
      <c r="I46" s="1005"/>
      <c r="J46" s="1006"/>
      <c r="K46" s="1004"/>
      <c r="L46" s="1004"/>
      <c r="M46" s="980"/>
    </row>
    <row r="47" spans="1:13" s="928" customFormat="1" ht="13.8" thickBot="1" x14ac:dyDescent="0.3">
      <c r="A47" s="947" t="s">
        <v>2688</v>
      </c>
      <c r="B47" s="556" t="str">
        <f>B13</f>
        <v>GS-1</v>
      </c>
      <c r="C47" s="994" t="e">
        <f>D13</f>
        <v>#DIV/0!</v>
      </c>
      <c r="D47" s="994" t="e">
        <f>C47-E47</f>
        <v>#DIV/0!</v>
      </c>
      <c r="E47" s="994" t="e">
        <f>I47*L13*10^3</f>
        <v>#DIV/0!</v>
      </c>
      <c r="G47" s="1004" t="e">
        <f>D47/(E13*10^6)</f>
        <v>#DIV/0!</v>
      </c>
      <c r="H47" s="1007" t="e">
        <f>(J14-E47)/K13/10^3</f>
        <v>#DIV/0!</v>
      </c>
      <c r="I47" s="1008" t="e">
        <f>MIN($I$54,I14)</f>
        <v>#DIV/0!</v>
      </c>
      <c r="J47" s="1008"/>
      <c r="K47" s="1008"/>
      <c r="L47" s="1009" t="s">
        <v>1317</v>
      </c>
      <c r="M47" s="980"/>
    </row>
    <row r="48" spans="1:13" s="928" customFormat="1" x14ac:dyDescent="0.25">
      <c r="A48" s="947" t="s">
        <v>2689</v>
      </c>
      <c r="B48" s="556" t="str">
        <f t="shared" ref="B48:B59" si="5">B15</f>
        <v>TC-1</v>
      </c>
      <c r="C48" s="994" t="e">
        <f t="shared" ref="C48:C59" si="6">D15</f>
        <v>#DIV/0!</v>
      </c>
      <c r="D48" s="994" t="e">
        <f t="shared" ref="D48:D58" si="7">C48-E48</f>
        <v>#DIV/0!</v>
      </c>
      <c r="E48" s="1004"/>
      <c r="G48" s="1004" t="e">
        <f>D48/(E15*10^6)</f>
        <v>#DIV/0!</v>
      </c>
      <c r="H48" s="1004"/>
      <c r="I48" s="1005"/>
      <c r="J48" s="1006"/>
      <c r="K48" s="1004"/>
      <c r="L48" s="1004"/>
      <c r="M48" s="980"/>
    </row>
    <row r="49" spans="1:13" s="928" customFormat="1" x14ac:dyDescent="0.25">
      <c r="A49" s="947" t="s">
        <v>2690</v>
      </c>
      <c r="B49" s="556" t="str">
        <f t="shared" si="5"/>
        <v>GS-2</v>
      </c>
      <c r="C49" s="994" t="e">
        <f t="shared" si="6"/>
        <v>#DIV/0!</v>
      </c>
      <c r="D49" s="994" t="e">
        <f>C49-E49</f>
        <v>#DIV/0!</v>
      </c>
      <c r="E49" s="994" t="e">
        <f>I49*G16*10^3</f>
        <v>#DIV/0!</v>
      </c>
      <c r="G49" s="994"/>
      <c r="H49" s="1010" t="e">
        <f t="shared" ref="H49:H58" si="8">D49/F16/10^3</f>
        <v>#DIV/0!</v>
      </c>
      <c r="I49" s="1011" t="e">
        <f>MIN($I$54,I16)</f>
        <v>#DIV/0!</v>
      </c>
      <c r="J49" s="1006"/>
      <c r="K49" s="1004"/>
      <c r="L49" s="1004"/>
      <c r="M49" s="980"/>
    </row>
    <row r="50" spans="1:13" s="928" customFormat="1" x14ac:dyDescent="0.25">
      <c r="A50" s="947" t="s">
        <v>2691</v>
      </c>
      <c r="B50" s="556" t="str">
        <f t="shared" si="5"/>
        <v>TOU-GS-3</v>
      </c>
      <c r="C50" s="994" t="e">
        <f t="shared" si="6"/>
        <v>#DIV/0!</v>
      </c>
      <c r="D50" s="994" t="e">
        <f>C50-E50</f>
        <v>#DIV/0!</v>
      </c>
      <c r="E50" s="994" t="e">
        <f>I50*G17*10^3</f>
        <v>#DIV/0!</v>
      </c>
      <c r="G50" s="994"/>
      <c r="H50" s="1010" t="e">
        <f t="shared" si="8"/>
        <v>#DIV/0!</v>
      </c>
      <c r="I50" s="1011" t="e">
        <f>MIN($I$54,I17)</f>
        <v>#DIV/0!</v>
      </c>
      <c r="J50" s="1006"/>
      <c r="K50" s="1004"/>
      <c r="L50" s="1004"/>
      <c r="M50" s="980"/>
    </row>
    <row r="51" spans="1:13" s="928" customFormat="1" x14ac:dyDescent="0.25">
      <c r="A51" s="947" t="s">
        <v>2692</v>
      </c>
      <c r="B51" s="556" t="str">
        <f t="shared" si="5"/>
        <v>TOU-8-SEC</v>
      </c>
      <c r="C51" s="994" t="e">
        <f t="shared" si="6"/>
        <v>#DIV/0!</v>
      </c>
      <c r="D51" s="994" t="e">
        <f>C51-E51</f>
        <v>#DIV/0!</v>
      </c>
      <c r="E51" s="1004"/>
      <c r="G51" s="994"/>
      <c r="H51" s="1010" t="e">
        <f t="shared" si="8"/>
        <v>#DIV/0!</v>
      </c>
      <c r="I51" s="1005"/>
      <c r="J51" s="1006"/>
      <c r="K51" s="1004"/>
      <c r="L51" s="1004"/>
      <c r="M51" s="980"/>
    </row>
    <row r="52" spans="1:13" s="928" customFormat="1" x14ac:dyDescent="0.25">
      <c r="A52" s="947" t="s">
        <v>2693</v>
      </c>
      <c r="B52" s="556" t="str">
        <f t="shared" si="5"/>
        <v>TOU-8-PRI</v>
      </c>
      <c r="C52" s="994" t="e">
        <f t="shared" si="6"/>
        <v>#DIV/0!</v>
      </c>
      <c r="D52" s="994" t="e">
        <f t="shared" si="7"/>
        <v>#DIV/0!</v>
      </c>
      <c r="E52" s="1004"/>
      <c r="G52" s="994"/>
      <c r="H52" s="1010" t="e">
        <f t="shared" si="8"/>
        <v>#DIV/0!</v>
      </c>
      <c r="I52" s="1005"/>
      <c r="J52" s="1006"/>
      <c r="K52" s="1004"/>
      <c r="L52" s="1004"/>
      <c r="M52" s="980"/>
    </row>
    <row r="53" spans="1:13" s="928" customFormat="1" x14ac:dyDescent="0.25">
      <c r="A53" s="947" t="s">
        <v>2694</v>
      </c>
      <c r="B53" s="556" t="str">
        <f t="shared" si="5"/>
        <v>TOU-8-SUB</v>
      </c>
      <c r="C53" s="994" t="e">
        <f t="shared" si="6"/>
        <v>#DIV/0!</v>
      </c>
      <c r="D53" s="994" t="e">
        <f t="shared" si="7"/>
        <v>#DIV/0!</v>
      </c>
      <c r="E53" s="1004"/>
      <c r="G53" s="994"/>
      <c r="H53" s="1010" t="e">
        <f t="shared" si="8"/>
        <v>#DIV/0!</v>
      </c>
      <c r="I53" s="1005"/>
      <c r="J53" s="1012"/>
      <c r="K53" s="1013"/>
      <c r="L53" s="1013"/>
      <c r="M53" s="980"/>
    </row>
    <row r="54" spans="1:13" s="928" customFormat="1" x14ac:dyDescent="0.25">
      <c r="A54" s="947" t="s">
        <v>2695</v>
      </c>
      <c r="B54" s="556" t="str">
        <f t="shared" si="5"/>
        <v>TOU-8-Standby-SEC</v>
      </c>
      <c r="C54" s="994" t="e">
        <f t="shared" si="6"/>
        <v>#DIV/0!</v>
      </c>
      <c r="D54" s="994" t="e">
        <f t="shared" si="7"/>
        <v>#DIV/0!</v>
      </c>
      <c r="E54" s="994" t="e">
        <f>I54*G21*10^3</f>
        <v>#DIV/0!</v>
      </c>
      <c r="G54" s="994"/>
      <c r="H54" s="1010" t="e">
        <f t="shared" si="8"/>
        <v>#DIV/0!</v>
      </c>
      <c r="I54" s="1011" t="e">
        <f>I36</f>
        <v>#DIV/0!</v>
      </c>
      <c r="J54" s="1012"/>
      <c r="K54" s="1013"/>
      <c r="L54" s="1013"/>
      <c r="M54" s="980"/>
    </row>
    <row r="55" spans="1:13" s="928" customFormat="1" x14ac:dyDescent="0.25">
      <c r="A55" s="947" t="s">
        <v>2696</v>
      </c>
      <c r="B55" s="556" t="str">
        <f t="shared" si="5"/>
        <v>TOU-8-Standby-PRI</v>
      </c>
      <c r="C55" s="994" t="e">
        <f t="shared" si="6"/>
        <v>#DIV/0!</v>
      </c>
      <c r="D55" s="994" t="e">
        <f t="shared" si="7"/>
        <v>#DIV/0!</v>
      </c>
      <c r="E55" s="994" t="e">
        <f>I55*G22*10^3</f>
        <v>#DIV/0!</v>
      </c>
      <c r="G55" s="994"/>
      <c r="H55" s="1010" t="e">
        <f t="shared" si="8"/>
        <v>#DIV/0!</v>
      </c>
      <c r="I55" s="1011" t="e">
        <f>I37</f>
        <v>#DIV/0!</v>
      </c>
      <c r="J55" s="1012"/>
      <c r="K55" s="1013"/>
      <c r="L55" s="1013"/>
      <c r="M55" s="980"/>
    </row>
    <row r="56" spans="1:13" s="928" customFormat="1" ht="13.8" thickBot="1" x14ac:dyDescent="0.3">
      <c r="A56" s="947" t="s">
        <v>2697</v>
      </c>
      <c r="B56" s="556" t="str">
        <f t="shared" si="5"/>
        <v>TOU-8-Standby-SUB</v>
      </c>
      <c r="C56" s="994" t="e">
        <f t="shared" si="6"/>
        <v>#DIV/0!</v>
      </c>
      <c r="D56" s="994" t="e">
        <f t="shared" si="7"/>
        <v>#DIV/0!</v>
      </c>
      <c r="E56" s="994" t="e">
        <f>I56*G23*10^3</f>
        <v>#DIV/0!</v>
      </c>
      <c r="G56" s="994"/>
      <c r="H56" s="1010" t="e">
        <f t="shared" si="8"/>
        <v>#DIV/0!</v>
      </c>
      <c r="I56" s="1011" t="e">
        <f>I38</f>
        <v>#DIV/0!</v>
      </c>
      <c r="J56" s="1012"/>
      <c r="K56" s="1013"/>
      <c r="L56" s="1013"/>
      <c r="M56" s="980"/>
    </row>
    <row r="57" spans="1:13" s="928" customFormat="1" ht="13.8" thickBot="1" x14ac:dyDescent="0.3">
      <c r="A57" s="947" t="s">
        <v>2698</v>
      </c>
      <c r="B57" s="556" t="str">
        <f t="shared" si="5"/>
        <v>TOU-PA-2</v>
      </c>
      <c r="C57" s="994" t="e">
        <f t="shared" si="6"/>
        <v>#DIV/0!</v>
      </c>
      <c r="D57" s="994" t="e">
        <f t="shared" si="7"/>
        <v>#DIV/0!</v>
      </c>
      <c r="E57" s="994" t="e">
        <f>I57*G24*10^3</f>
        <v>#DIV/0!</v>
      </c>
      <c r="G57" s="994"/>
      <c r="H57" s="1010" t="e">
        <f t="shared" si="8"/>
        <v>#DIV/0!</v>
      </c>
      <c r="I57" s="1011" t="e">
        <f>MIN($I$54,I24)</f>
        <v>#DIV/0!</v>
      </c>
      <c r="J57" s="1014" t="e">
        <f>H57*0.746</f>
        <v>#DIV/0!</v>
      </c>
      <c r="K57" s="1008" t="e">
        <f>I57*0.746</f>
        <v>#DIV/0!</v>
      </c>
      <c r="L57" s="1009" t="s">
        <v>1318</v>
      </c>
      <c r="M57" s="931"/>
    </row>
    <row r="58" spans="1:13" s="928" customFormat="1" x14ac:dyDescent="0.25">
      <c r="A58" s="947" t="s">
        <v>2699</v>
      </c>
      <c r="B58" s="556" t="str">
        <f t="shared" si="5"/>
        <v>TOU-PA-3</v>
      </c>
      <c r="C58" s="994" t="e">
        <f t="shared" si="6"/>
        <v>#DIV/0!</v>
      </c>
      <c r="D58" s="994" t="e">
        <f t="shared" si="7"/>
        <v>#DIV/0!</v>
      </c>
      <c r="E58" s="994" t="e">
        <f>I58*G25*10^3</f>
        <v>#DIV/0!</v>
      </c>
      <c r="G58" s="994"/>
      <c r="H58" s="1010" t="e">
        <f t="shared" si="8"/>
        <v>#DIV/0!</v>
      </c>
      <c r="I58" s="1011" t="e">
        <f>MIN($I$54,I25)</f>
        <v>#DIV/0!</v>
      </c>
      <c r="J58" s="1006"/>
      <c r="K58" s="1004"/>
      <c r="L58" s="1004"/>
      <c r="M58" s="931"/>
    </row>
    <row r="59" spans="1:13" s="928" customFormat="1" x14ac:dyDescent="0.25">
      <c r="A59" s="947" t="s">
        <v>2700</v>
      </c>
      <c r="B59" s="556" t="str">
        <f t="shared" si="5"/>
        <v>Street Lighting</v>
      </c>
      <c r="C59" s="994" t="e">
        <f t="shared" si="6"/>
        <v>#DIV/0!</v>
      </c>
      <c r="D59" s="994" t="e">
        <f>C59-E59</f>
        <v>#DIV/0!</v>
      </c>
      <c r="E59" s="1004"/>
      <c r="G59" s="1004" t="e">
        <f>D59/(E26*10^6)</f>
        <v>#DIV/0!</v>
      </c>
      <c r="H59" s="1004"/>
      <c r="I59" s="1005"/>
      <c r="J59" s="1006"/>
      <c r="K59" s="1004"/>
      <c r="L59" s="1004"/>
      <c r="M59" s="931"/>
    </row>
    <row r="60" spans="1:13" s="928" customFormat="1" x14ac:dyDescent="0.25">
      <c r="A60" s="947" t="s">
        <v>2701</v>
      </c>
      <c r="B60" s="973" t="s">
        <v>86</v>
      </c>
      <c r="C60" s="994"/>
      <c r="D60" s="994"/>
      <c r="E60" s="1004"/>
      <c r="G60" s="1004"/>
      <c r="H60" s="1004"/>
      <c r="I60" s="1005"/>
      <c r="J60" s="1006"/>
      <c r="K60" s="1004"/>
      <c r="L60" s="1004"/>
      <c r="M60" s="931"/>
    </row>
    <row r="61" spans="1:13" s="928" customFormat="1" x14ac:dyDescent="0.25">
      <c r="A61" s="947">
        <v>17</v>
      </c>
      <c r="B61" s="557" t="s">
        <v>216</v>
      </c>
      <c r="C61" s="978" t="e">
        <f>SUM(C46:C60)</f>
        <v>#DIV/0!</v>
      </c>
      <c r="D61" s="978" t="e">
        <f>SUM(D46:D60)</f>
        <v>#DIV/0!</v>
      </c>
      <c r="E61" s="978" t="e">
        <f>SUM(E46:E59)</f>
        <v>#DIV/0!</v>
      </c>
      <c r="G61" s="1015"/>
      <c r="H61" s="1015"/>
      <c r="I61" s="1015"/>
      <c r="J61" s="1015"/>
      <c r="K61" s="917"/>
      <c r="L61" s="917"/>
      <c r="M61" s="931"/>
    </row>
    <row r="62" spans="1:13" s="928" customFormat="1" x14ac:dyDescent="0.25">
      <c r="A62" s="947">
        <v>18</v>
      </c>
      <c r="B62" s="920"/>
      <c r="C62" s="920"/>
      <c r="D62" s="920"/>
      <c r="E62" s="920"/>
      <c r="F62" s="920"/>
      <c r="G62" s="920"/>
      <c r="H62" s="920"/>
      <c r="I62" s="917"/>
      <c r="J62" s="917"/>
      <c r="K62" s="917"/>
      <c r="L62" s="917"/>
      <c r="M62" s="919"/>
    </row>
    <row r="63" spans="1:13" s="928" customFormat="1" x14ac:dyDescent="0.25">
      <c r="A63" s="947">
        <v>19</v>
      </c>
      <c r="B63" s="1016" t="s">
        <v>256</v>
      </c>
      <c r="C63" s="920"/>
      <c r="D63" s="920"/>
      <c r="E63" s="920"/>
      <c r="F63" s="920"/>
      <c r="G63" s="920"/>
      <c r="H63" s="920"/>
      <c r="I63" s="917"/>
      <c r="J63" s="917"/>
      <c r="K63" s="917"/>
      <c r="L63" s="917"/>
      <c r="M63" s="919"/>
    </row>
    <row r="64" spans="1:13" s="928" customFormat="1" x14ac:dyDescent="0.25">
      <c r="A64" s="920"/>
      <c r="B64" s="1017" t="s">
        <v>2702</v>
      </c>
      <c r="I64" s="1017"/>
      <c r="J64" s="1017"/>
      <c r="K64" s="1017"/>
      <c r="L64" s="1017"/>
      <c r="M64" s="919"/>
    </row>
    <row r="65" spans="1:13" s="928" customFormat="1" x14ac:dyDescent="0.25">
      <c r="A65" s="920"/>
      <c r="B65" s="1017" t="s">
        <v>2703</v>
      </c>
      <c r="I65" s="1017"/>
      <c r="J65" s="1017"/>
      <c r="K65" s="1017"/>
      <c r="L65" s="1017"/>
      <c r="M65" s="919"/>
    </row>
    <row r="66" spans="1:13" s="928" customFormat="1" x14ac:dyDescent="0.25">
      <c r="A66" s="920"/>
      <c r="B66" s="1017" t="s">
        <v>2704</v>
      </c>
      <c r="I66" s="1017"/>
      <c r="J66" s="1017"/>
      <c r="K66" s="1017"/>
      <c r="L66" s="1017"/>
      <c r="M66" s="919"/>
    </row>
    <row r="67" spans="1:13" s="928" customFormat="1" x14ac:dyDescent="0.25">
      <c r="A67" s="920"/>
      <c r="B67" s="1017" t="s">
        <v>2705</v>
      </c>
      <c r="I67" s="1017"/>
      <c r="J67" s="1017"/>
      <c r="K67" s="1017"/>
      <c r="L67" s="1017"/>
      <c r="M67" s="919"/>
    </row>
    <row r="68" spans="1:13" s="928" customFormat="1" x14ac:dyDescent="0.25">
      <c r="A68" s="920"/>
      <c r="B68" s="1017" t="s">
        <v>2706</v>
      </c>
      <c r="I68" s="1017"/>
      <c r="J68" s="1017"/>
      <c r="K68" s="1017"/>
      <c r="L68" s="1017"/>
      <c r="M68" s="919"/>
    </row>
    <row r="69" spans="1:13" s="928" customFormat="1" ht="15.6" x14ac:dyDescent="0.35">
      <c r="A69" s="920"/>
      <c r="B69" s="1017" t="s">
        <v>2707</v>
      </c>
      <c r="I69" s="1017"/>
      <c r="J69" s="1017"/>
      <c r="K69" s="1017"/>
      <c r="L69" s="1017"/>
      <c r="M69" s="919"/>
    </row>
    <row r="70" spans="1:13" s="928" customFormat="1" x14ac:dyDescent="0.25">
      <c r="A70" s="920"/>
      <c r="B70" s="1017" t="s">
        <v>2708</v>
      </c>
      <c r="I70" s="1017"/>
      <c r="J70" s="1017"/>
      <c r="K70" s="1017"/>
      <c r="L70" s="1017"/>
      <c r="M70" s="919"/>
    </row>
    <row r="71" spans="1:13" s="928" customFormat="1" ht="15.6" x14ac:dyDescent="0.35">
      <c r="A71" s="920"/>
      <c r="B71" s="1017" t="s">
        <v>2709</v>
      </c>
      <c r="I71" s="1017"/>
      <c r="J71" s="1017"/>
      <c r="K71" s="1017"/>
      <c r="L71" s="1017"/>
      <c r="M71" s="919"/>
    </row>
    <row r="72" spans="1:13" s="928" customFormat="1" x14ac:dyDescent="0.25">
      <c r="A72" s="920"/>
      <c r="B72" s="1017" t="s">
        <v>2710</v>
      </c>
      <c r="I72" s="1017"/>
      <c r="J72" s="1017"/>
      <c r="K72" s="1017"/>
      <c r="L72" s="1017"/>
      <c r="M72" s="919"/>
    </row>
    <row r="73" spans="1:13" s="928" customFormat="1" x14ac:dyDescent="0.25">
      <c r="A73" s="920"/>
      <c r="B73" s="1017" t="s">
        <v>2711</v>
      </c>
      <c r="I73" s="1017"/>
      <c r="J73" s="1017"/>
      <c r="K73" s="1017"/>
      <c r="L73" s="1017"/>
      <c r="M73" s="919"/>
    </row>
    <row r="74" spans="1:13" s="928" customFormat="1" x14ac:dyDescent="0.25">
      <c r="A74" s="920"/>
      <c r="B74" s="1017" t="s">
        <v>2712</v>
      </c>
      <c r="I74" s="1017"/>
      <c r="J74" s="1017"/>
      <c r="K74" s="1017"/>
      <c r="L74" s="1017"/>
      <c r="M74" s="919"/>
    </row>
    <row r="75" spans="1:13" x14ac:dyDescent="0.25">
      <c r="A75" s="947">
        <v>20</v>
      </c>
    </row>
    <row r="76" spans="1:13" s="928" customFormat="1" x14ac:dyDescent="0.25">
      <c r="A76" s="947">
        <v>21</v>
      </c>
      <c r="B76" s="1018"/>
      <c r="C76" s="920"/>
      <c r="D76" s="920"/>
      <c r="E76" s="920"/>
      <c r="F76" s="920"/>
      <c r="G76" s="920"/>
      <c r="H76" s="920"/>
      <c r="I76" s="920"/>
      <c r="J76" s="920"/>
      <c r="K76" s="920"/>
      <c r="L76" s="920"/>
      <c r="M76" s="919"/>
    </row>
    <row r="77" spans="1:13" s="928" customFormat="1" ht="15.6" x14ac:dyDescent="0.3">
      <c r="A77" s="947">
        <v>22</v>
      </c>
      <c r="B77" s="916" t="s">
        <v>1320</v>
      </c>
      <c r="C77" s="920"/>
      <c r="D77" s="920"/>
      <c r="E77" s="920"/>
      <c r="F77" s="920"/>
      <c r="G77" s="920"/>
      <c r="H77" s="920"/>
      <c r="I77" s="920"/>
      <c r="J77" s="920"/>
      <c r="K77" s="920"/>
      <c r="L77" s="920"/>
      <c r="M77" s="919"/>
    </row>
    <row r="78" spans="1:13" x14ac:dyDescent="0.25">
      <c r="A78" s="947">
        <v>23</v>
      </c>
    </row>
    <row r="79" spans="1:13" x14ac:dyDescent="0.25">
      <c r="A79" s="947">
        <v>24</v>
      </c>
    </row>
    <row r="80" spans="1:13" s="928" customFormat="1" ht="25.5" customHeight="1" x14ac:dyDescent="0.25">
      <c r="A80" s="947">
        <v>25</v>
      </c>
      <c r="B80" s="944" t="str">
        <f>B11</f>
        <v>CPUC Rate Group</v>
      </c>
      <c r="C80" s="1019" t="s">
        <v>1321</v>
      </c>
      <c r="D80" s="1020"/>
      <c r="E80" s="1020"/>
      <c r="F80" s="1020"/>
      <c r="G80" s="1020"/>
      <c r="H80" s="1020"/>
      <c r="I80" s="1020"/>
      <c r="J80" s="1021"/>
      <c r="K80" s="920"/>
      <c r="L80" s="920"/>
      <c r="M80" s="919"/>
    </row>
    <row r="81" spans="1:13" s="928" customFormat="1" x14ac:dyDescent="0.25">
      <c r="A81" s="947" t="s">
        <v>2713</v>
      </c>
      <c r="B81" s="1022" t="s">
        <v>2629</v>
      </c>
      <c r="C81" s="1023"/>
      <c r="D81" s="1024"/>
      <c r="E81" s="1024"/>
      <c r="F81" s="1024"/>
      <c r="G81" s="1024"/>
      <c r="H81" s="1024"/>
      <c r="I81" s="1025"/>
      <c r="J81" s="1025"/>
      <c r="K81" s="920"/>
      <c r="L81" s="920"/>
      <c r="M81" s="919"/>
    </row>
    <row r="82" spans="1:13" s="928" customFormat="1" x14ac:dyDescent="0.25">
      <c r="A82" s="947" t="s">
        <v>2714</v>
      </c>
      <c r="B82" s="1022" t="s">
        <v>2630</v>
      </c>
      <c r="C82" s="1023"/>
      <c r="D82" s="1024"/>
      <c r="E82" s="1024"/>
      <c r="F82" s="1024"/>
      <c r="G82" s="1024"/>
      <c r="H82" s="1024"/>
      <c r="I82" s="1025"/>
      <c r="J82" s="1022"/>
      <c r="K82" s="920"/>
      <c r="L82" s="920"/>
      <c r="M82" s="919"/>
    </row>
    <row r="83" spans="1:13" s="928" customFormat="1" x14ac:dyDescent="0.25">
      <c r="A83" s="947" t="s">
        <v>2715</v>
      </c>
      <c r="B83" s="1022" t="s">
        <v>2632</v>
      </c>
      <c r="C83" s="1023"/>
      <c r="D83" s="1024"/>
      <c r="E83" s="1024"/>
      <c r="F83" s="1024"/>
      <c r="G83" s="1024"/>
      <c r="H83" s="1024"/>
      <c r="I83" s="1025"/>
      <c r="J83" s="1022"/>
      <c r="K83" s="920"/>
      <c r="L83" s="920"/>
      <c r="M83" s="919"/>
    </row>
    <row r="84" spans="1:13" s="928" customFormat="1" x14ac:dyDescent="0.25">
      <c r="A84" s="947" t="s">
        <v>2716</v>
      </c>
      <c r="B84" s="1022" t="s">
        <v>2633</v>
      </c>
      <c r="C84" s="1023"/>
      <c r="D84" s="1024"/>
      <c r="E84" s="1024"/>
      <c r="F84" s="1024"/>
      <c r="G84" s="1024"/>
      <c r="H84" s="1024"/>
      <c r="I84" s="1025"/>
      <c r="J84" s="1022"/>
      <c r="K84" s="920"/>
      <c r="L84" s="920"/>
      <c r="M84" s="919"/>
    </row>
    <row r="85" spans="1:13" s="928" customFormat="1" x14ac:dyDescent="0.25">
      <c r="A85" s="947" t="s">
        <v>2717</v>
      </c>
      <c r="B85" s="1022" t="s">
        <v>2634</v>
      </c>
      <c r="C85" s="1023"/>
      <c r="D85" s="1024"/>
      <c r="E85" s="1024"/>
      <c r="F85" s="1024"/>
      <c r="G85" s="1024"/>
      <c r="H85" s="1024"/>
      <c r="I85" s="1025"/>
      <c r="J85" s="1022"/>
      <c r="K85" s="920"/>
      <c r="L85" s="920"/>
      <c r="M85" s="919"/>
    </row>
    <row r="86" spans="1:13" s="928" customFormat="1" x14ac:dyDescent="0.25">
      <c r="A86" s="947" t="s">
        <v>2718</v>
      </c>
      <c r="B86" s="1022" t="s">
        <v>2635</v>
      </c>
      <c r="C86" s="1023"/>
      <c r="D86" s="1024"/>
      <c r="E86" s="1024"/>
      <c r="F86" s="1024"/>
      <c r="G86" s="1024"/>
      <c r="H86" s="1024"/>
      <c r="I86" s="1025"/>
      <c r="J86" s="1022"/>
      <c r="K86" s="920"/>
      <c r="L86" s="920"/>
      <c r="M86" s="919"/>
    </row>
    <row r="87" spans="1:13" x14ac:dyDescent="0.25">
      <c r="A87" s="947" t="s">
        <v>2719</v>
      </c>
      <c r="B87" s="1022" t="s">
        <v>2636</v>
      </c>
      <c r="C87" s="1023"/>
      <c r="D87" s="1024"/>
      <c r="E87" s="1024"/>
      <c r="F87" s="1024"/>
      <c r="G87" s="1024"/>
      <c r="H87" s="1024"/>
      <c r="I87" s="1025"/>
      <c r="J87" s="1022"/>
    </row>
    <row r="88" spans="1:13" x14ac:dyDescent="0.25">
      <c r="A88" s="947" t="s">
        <v>2720</v>
      </c>
      <c r="B88" s="1022" t="s">
        <v>2637</v>
      </c>
      <c r="C88" s="1023"/>
      <c r="D88" s="1024"/>
      <c r="E88" s="1024"/>
      <c r="F88" s="1024"/>
      <c r="G88" s="1024"/>
      <c r="H88" s="1024"/>
      <c r="I88" s="1025"/>
      <c r="J88" s="1022"/>
    </row>
    <row r="89" spans="1:13" x14ac:dyDescent="0.25">
      <c r="A89" s="947" t="s">
        <v>2721</v>
      </c>
      <c r="B89" s="1022" t="s">
        <v>2638</v>
      </c>
      <c r="C89" s="1023"/>
      <c r="D89" s="1024"/>
      <c r="E89" s="1024"/>
      <c r="F89" s="1024"/>
      <c r="G89" s="1024"/>
      <c r="H89" s="1024"/>
      <c r="I89" s="1025"/>
      <c r="J89" s="1022"/>
    </row>
    <row r="90" spans="1:13" x14ac:dyDescent="0.25">
      <c r="A90" s="947" t="s">
        <v>2722</v>
      </c>
      <c r="B90" s="1022" t="s">
        <v>2639</v>
      </c>
      <c r="C90" s="1023"/>
      <c r="D90" s="1024"/>
      <c r="E90" s="1024"/>
      <c r="F90" s="1024"/>
      <c r="G90" s="1024"/>
      <c r="H90" s="1024"/>
      <c r="I90" s="1025"/>
      <c r="J90" s="1022"/>
    </row>
    <row r="91" spans="1:13" x14ac:dyDescent="0.25">
      <c r="A91" s="947" t="s">
        <v>2723</v>
      </c>
      <c r="B91" s="1022" t="s">
        <v>2640</v>
      </c>
      <c r="C91" s="1023"/>
      <c r="D91" s="1024"/>
      <c r="E91" s="1024"/>
      <c r="F91" s="1024"/>
      <c r="G91" s="1024"/>
      <c r="H91" s="1024"/>
      <c r="I91" s="1025"/>
      <c r="J91" s="1022"/>
    </row>
    <row r="92" spans="1:13" x14ac:dyDescent="0.25">
      <c r="A92" s="947" t="s">
        <v>2724</v>
      </c>
      <c r="B92" s="1022" t="s">
        <v>2641</v>
      </c>
      <c r="C92" s="1023"/>
      <c r="D92" s="1024"/>
      <c r="E92" s="1024"/>
      <c r="F92" s="1024"/>
      <c r="G92" s="1024"/>
      <c r="H92" s="1024"/>
      <c r="I92" s="1025"/>
      <c r="J92" s="1022"/>
    </row>
    <row r="93" spans="1:13" x14ac:dyDescent="0.25">
      <c r="A93" s="947" t="s">
        <v>2725</v>
      </c>
      <c r="B93" s="1022" t="s">
        <v>2642</v>
      </c>
      <c r="C93" s="1023"/>
      <c r="D93" s="1024"/>
      <c r="E93" s="1024"/>
      <c r="F93" s="1024"/>
      <c r="G93" s="1024"/>
      <c r="H93" s="1024"/>
      <c r="I93" s="1025"/>
      <c r="J93" s="1022"/>
    </row>
    <row r="94" spans="1:13" x14ac:dyDescent="0.25">
      <c r="A94" s="947" t="s">
        <v>2726</v>
      </c>
      <c r="B94" s="1022" t="s">
        <v>2643</v>
      </c>
      <c r="C94" s="1023"/>
      <c r="D94" s="1024"/>
      <c r="E94" s="1024"/>
      <c r="F94" s="1024"/>
      <c r="G94" s="1024"/>
      <c r="H94" s="1024"/>
      <c r="I94" s="1025"/>
      <c r="J94" s="1022"/>
    </row>
    <row r="95" spans="1:13" x14ac:dyDescent="0.25">
      <c r="A95" s="947" t="s">
        <v>2727</v>
      </c>
      <c r="B95" s="1026" t="s">
        <v>86</v>
      </c>
      <c r="C95" s="1023"/>
      <c r="D95" s="1024"/>
      <c r="E95" s="1024"/>
      <c r="F95" s="1024"/>
      <c r="G95" s="1024"/>
      <c r="H95" s="1024"/>
      <c r="I95" s="1025"/>
      <c r="J95" s="1022"/>
    </row>
    <row r="96" spans="1:13" x14ac:dyDescent="0.25">
      <c r="A96" s="947">
        <v>27</v>
      </c>
    </row>
    <row r="97" spans="1:13" x14ac:dyDescent="0.25">
      <c r="A97" s="947">
        <f t="shared" ref="A97:A103" si="9">A96+1</f>
        <v>28</v>
      </c>
    </row>
    <row r="98" spans="1:13" ht="15.6" x14ac:dyDescent="0.3">
      <c r="A98" s="947">
        <f t="shared" si="9"/>
        <v>29</v>
      </c>
      <c r="B98" s="916" t="s">
        <v>1322</v>
      </c>
    </row>
    <row r="99" spans="1:13" x14ac:dyDescent="0.25">
      <c r="A99" s="947">
        <f t="shared" si="9"/>
        <v>30</v>
      </c>
      <c r="C99" s="930" t="s">
        <v>394</v>
      </c>
      <c r="D99" s="930" t="s">
        <v>378</v>
      </c>
      <c r="E99" s="930" t="s">
        <v>379</v>
      </c>
      <c r="F99" s="930" t="s">
        <v>380</v>
      </c>
      <c r="G99" s="1027" t="s">
        <v>381</v>
      </c>
      <c r="H99" s="1027" t="s">
        <v>382</v>
      </c>
      <c r="I99" s="1027" t="s">
        <v>383</v>
      </c>
      <c r="J99" s="1027" t="s">
        <v>597</v>
      </c>
      <c r="K99" s="1027" t="s">
        <v>1046</v>
      </c>
      <c r="L99" s="1028"/>
    </row>
    <row r="100" spans="1:13" s="935" customFormat="1" ht="39.6" x14ac:dyDescent="0.25">
      <c r="A100" s="1029">
        <f t="shared" si="9"/>
        <v>31</v>
      </c>
      <c r="C100" s="936"/>
      <c r="D100" s="936"/>
      <c r="E100" s="936"/>
      <c r="F100" s="985" t="s">
        <v>2728</v>
      </c>
      <c r="G100" s="1030"/>
      <c r="H100" s="985"/>
      <c r="I100" s="985" t="s">
        <v>2729</v>
      </c>
      <c r="J100" s="985" t="s">
        <v>2730</v>
      </c>
      <c r="K100" s="985" t="s">
        <v>2731</v>
      </c>
      <c r="L100" s="1031"/>
      <c r="M100" s="939"/>
    </row>
    <row r="101" spans="1:13" s="1032" customFormat="1" x14ac:dyDescent="0.25">
      <c r="A101" s="947">
        <f t="shared" si="9"/>
        <v>32</v>
      </c>
      <c r="C101" s="1033"/>
      <c r="D101" s="1033"/>
      <c r="E101" s="1033"/>
      <c r="F101" s="1034"/>
      <c r="G101" s="1035"/>
      <c r="H101" s="1034"/>
      <c r="I101" s="1034"/>
      <c r="J101" s="1034"/>
      <c r="K101" s="1034"/>
      <c r="L101" s="1036"/>
      <c r="M101" s="1037"/>
    </row>
    <row r="102" spans="1:13" ht="21.75" customHeight="1" x14ac:dyDescent="0.25">
      <c r="A102" s="947">
        <f t="shared" si="9"/>
        <v>33</v>
      </c>
      <c r="B102" s="1038"/>
      <c r="C102" s="1339" t="s">
        <v>1654</v>
      </c>
      <c r="D102" s="1340"/>
      <c r="E102" s="1340"/>
      <c r="F102" s="1341"/>
      <c r="G102" s="1038"/>
      <c r="H102" s="1039"/>
      <c r="I102" s="1038"/>
      <c r="J102" s="1040"/>
      <c r="K102" s="1041"/>
      <c r="L102" s="1042"/>
    </row>
    <row r="103" spans="1:13" s="980" customFormat="1" ht="47.25" customHeight="1" x14ac:dyDescent="0.25">
      <c r="A103" s="947">
        <f t="shared" si="9"/>
        <v>34</v>
      </c>
      <c r="B103" s="1043" t="str">
        <f>B11</f>
        <v>CPUC Rate Group</v>
      </c>
      <c r="C103" s="1044"/>
      <c r="D103" s="1045"/>
      <c r="E103" s="1045"/>
      <c r="F103" s="1043" t="s">
        <v>2732</v>
      </c>
      <c r="G103" s="1043" t="s">
        <v>1323</v>
      </c>
      <c r="H103" s="1046" t="s">
        <v>2785</v>
      </c>
      <c r="I103" s="1043" t="s">
        <v>1673</v>
      </c>
      <c r="J103" s="1043" t="s">
        <v>1655</v>
      </c>
      <c r="K103" s="1043" t="s">
        <v>2733</v>
      </c>
      <c r="L103" s="1047"/>
      <c r="M103" s="919"/>
    </row>
    <row r="104" spans="1:13" x14ac:dyDescent="0.25">
      <c r="A104" s="947" t="s">
        <v>2734</v>
      </c>
      <c r="B104" s="556" t="str">
        <f>B12</f>
        <v>Domestic</v>
      </c>
      <c r="C104" s="1048"/>
      <c r="D104" s="1048"/>
      <c r="E104" s="1048"/>
      <c r="F104" s="1049">
        <f>(C104+D104+E104)/3</f>
        <v>0</v>
      </c>
      <c r="G104" s="1050"/>
      <c r="H104" s="1051"/>
      <c r="I104" s="981">
        <f>E12</f>
        <v>0</v>
      </c>
      <c r="J104" s="1049" t="e">
        <f>F104*G104/H104*I104</f>
        <v>#DIV/0!</v>
      </c>
      <c r="K104" s="948" t="e">
        <f t="shared" ref="K104:K117" si="10">J104/$J$119</f>
        <v>#DIV/0!</v>
      </c>
      <c r="L104" s="1052"/>
      <c r="M104" s="1053"/>
    </row>
    <row r="105" spans="1:13" x14ac:dyDescent="0.25">
      <c r="A105" s="947" t="s">
        <v>2735</v>
      </c>
      <c r="B105" s="556" t="str">
        <f>B13</f>
        <v>GS-1</v>
      </c>
      <c r="C105" s="1048"/>
      <c r="D105" s="1048"/>
      <c r="E105" s="1048"/>
      <c r="F105" s="1049">
        <f t="shared" ref="F105:F117" si="11">(C105+D105+E105)/3</f>
        <v>0</v>
      </c>
      <c r="G105" s="1050"/>
      <c r="H105" s="1051"/>
      <c r="I105" s="981">
        <f>E13</f>
        <v>0</v>
      </c>
      <c r="J105" s="1049" t="e">
        <f t="shared" ref="J105:J117" si="12">F105*G105/H105*I105</f>
        <v>#DIV/0!</v>
      </c>
      <c r="K105" s="948" t="e">
        <f t="shared" si="10"/>
        <v>#DIV/0!</v>
      </c>
      <c r="L105" s="1052"/>
      <c r="M105" s="1053"/>
    </row>
    <row r="106" spans="1:13" x14ac:dyDescent="0.25">
      <c r="A106" s="947" t="s">
        <v>2736</v>
      </c>
      <c r="B106" s="556" t="str">
        <f t="shared" ref="B106:B117" si="13">B15</f>
        <v>TC-1</v>
      </c>
      <c r="C106" s="1048"/>
      <c r="D106" s="1048"/>
      <c r="E106" s="1048"/>
      <c r="F106" s="1049">
        <f t="shared" si="11"/>
        <v>0</v>
      </c>
      <c r="G106" s="1050"/>
      <c r="H106" s="1051"/>
      <c r="I106" s="981">
        <f t="shared" ref="I106:I117" si="14">E15</f>
        <v>0</v>
      </c>
      <c r="J106" s="1049" t="e">
        <f t="shared" si="12"/>
        <v>#DIV/0!</v>
      </c>
      <c r="K106" s="948" t="e">
        <f t="shared" si="10"/>
        <v>#DIV/0!</v>
      </c>
      <c r="L106" s="1052"/>
      <c r="M106" s="1053"/>
    </row>
    <row r="107" spans="1:13" x14ac:dyDescent="0.25">
      <c r="A107" s="947" t="s">
        <v>2737</v>
      </c>
      <c r="B107" s="556" t="str">
        <f t="shared" si="13"/>
        <v>GS-2</v>
      </c>
      <c r="C107" s="1048"/>
      <c r="D107" s="1048"/>
      <c r="E107" s="1048"/>
      <c r="F107" s="1049">
        <f t="shared" si="11"/>
        <v>0</v>
      </c>
      <c r="G107" s="1050"/>
      <c r="H107" s="1051"/>
      <c r="I107" s="981">
        <f t="shared" si="14"/>
        <v>0</v>
      </c>
      <c r="J107" s="1049" t="e">
        <f t="shared" si="12"/>
        <v>#DIV/0!</v>
      </c>
      <c r="K107" s="948" t="e">
        <f t="shared" si="10"/>
        <v>#DIV/0!</v>
      </c>
      <c r="L107" s="1052"/>
      <c r="M107" s="1053"/>
    </row>
    <row r="108" spans="1:13" x14ac:dyDescent="0.25">
      <c r="A108" s="947" t="s">
        <v>2738</v>
      </c>
      <c r="B108" s="556" t="str">
        <f t="shared" si="13"/>
        <v>TOU-GS-3</v>
      </c>
      <c r="C108" s="1048"/>
      <c r="D108" s="1048"/>
      <c r="E108" s="1048"/>
      <c r="F108" s="1049">
        <f t="shared" si="11"/>
        <v>0</v>
      </c>
      <c r="G108" s="1050"/>
      <c r="H108" s="1051"/>
      <c r="I108" s="981">
        <f t="shared" si="14"/>
        <v>0</v>
      </c>
      <c r="J108" s="1049" t="e">
        <f t="shared" si="12"/>
        <v>#DIV/0!</v>
      </c>
      <c r="K108" s="948" t="e">
        <f t="shared" si="10"/>
        <v>#DIV/0!</v>
      </c>
      <c r="L108" s="1052"/>
      <c r="M108" s="1053"/>
    </row>
    <row r="109" spans="1:13" x14ac:dyDescent="0.25">
      <c r="A109" s="947" t="s">
        <v>2739</v>
      </c>
      <c r="B109" s="556" t="str">
        <f t="shared" si="13"/>
        <v>TOU-8-SEC</v>
      </c>
      <c r="C109" s="1048"/>
      <c r="D109" s="1048"/>
      <c r="E109" s="1048"/>
      <c r="F109" s="1049">
        <f t="shared" si="11"/>
        <v>0</v>
      </c>
      <c r="G109" s="1050"/>
      <c r="H109" s="1054"/>
      <c r="I109" s="981">
        <f t="shared" si="14"/>
        <v>0</v>
      </c>
      <c r="J109" s="1049" t="e">
        <f t="shared" si="12"/>
        <v>#DIV/0!</v>
      </c>
      <c r="K109" s="948" t="e">
        <f t="shared" si="10"/>
        <v>#DIV/0!</v>
      </c>
      <c r="L109" s="1052"/>
      <c r="M109" s="1053"/>
    </row>
    <row r="110" spans="1:13" x14ac:dyDescent="0.25">
      <c r="A110" s="947" t="s">
        <v>2740</v>
      </c>
      <c r="B110" s="556" t="str">
        <f t="shared" si="13"/>
        <v>TOU-8-PRI</v>
      </c>
      <c r="C110" s="1048"/>
      <c r="D110" s="1048"/>
      <c r="E110" s="1048"/>
      <c r="F110" s="1049">
        <f t="shared" si="11"/>
        <v>0</v>
      </c>
      <c r="G110" s="1050"/>
      <c r="H110" s="1054"/>
      <c r="I110" s="981">
        <f t="shared" si="14"/>
        <v>0</v>
      </c>
      <c r="J110" s="1049" t="e">
        <f t="shared" si="12"/>
        <v>#DIV/0!</v>
      </c>
      <c r="K110" s="948" t="e">
        <f t="shared" si="10"/>
        <v>#DIV/0!</v>
      </c>
      <c r="L110" s="1052"/>
      <c r="M110" s="1053"/>
    </row>
    <row r="111" spans="1:13" x14ac:dyDescent="0.25">
      <c r="A111" s="947" t="s">
        <v>2741</v>
      </c>
      <c r="B111" s="556" t="str">
        <f t="shared" si="13"/>
        <v>TOU-8-SUB</v>
      </c>
      <c r="C111" s="1048"/>
      <c r="D111" s="1048"/>
      <c r="E111" s="1048"/>
      <c r="F111" s="1049">
        <f t="shared" si="11"/>
        <v>0</v>
      </c>
      <c r="G111" s="1050"/>
      <c r="H111" s="1054"/>
      <c r="I111" s="981">
        <f t="shared" si="14"/>
        <v>0</v>
      </c>
      <c r="J111" s="1049" t="e">
        <f t="shared" si="12"/>
        <v>#DIV/0!</v>
      </c>
      <c r="K111" s="948" t="e">
        <f t="shared" si="10"/>
        <v>#DIV/0!</v>
      </c>
      <c r="L111" s="1052"/>
      <c r="M111" s="1053"/>
    </row>
    <row r="112" spans="1:13" x14ac:dyDescent="0.25">
      <c r="A112" s="947" t="s">
        <v>2742</v>
      </c>
      <c r="B112" s="556" t="str">
        <f t="shared" si="13"/>
        <v>TOU-8-Standby-SEC</v>
      </c>
      <c r="C112" s="1048"/>
      <c r="D112" s="1048"/>
      <c r="E112" s="1048"/>
      <c r="F112" s="1049">
        <f t="shared" si="11"/>
        <v>0</v>
      </c>
      <c r="G112" s="1050"/>
      <c r="H112" s="1054"/>
      <c r="I112" s="981">
        <f t="shared" si="14"/>
        <v>0</v>
      </c>
      <c r="J112" s="1049" t="e">
        <f t="shared" si="12"/>
        <v>#DIV/0!</v>
      </c>
      <c r="K112" s="948" t="e">
        <f t="shared" si="10"/>
        <v>#DIV/0!</v>
      </c>
      <c r="L112" s="1052"/>
      <c r="M112" s="1053"/>
    </row>
    <row r="113" spans="1:13" x14ac:dyDescent="0.25">
      <c r="A113" s="947" t="s">
        <v>2743</v>
      </c>
      <c r="B113" s="556" t="str">
        <f t="shared" si="13"/>
        <v>TOU-8-Standby-PRI</v>
      </c>
      <c r="C113" s="1048"/>
      <c r="D113" s="1048"/>
      <c r="E113" s="1048"/>
      <c r="F113" s="1049">
        <f t="shared" si="11"/>
        <v>0</v>
      </c>
      <c r="G113" s="1050"/>
      <c r="H113" s="1054"/>
      <c r="I113" s="981">
        <f t="shared" si="14"/>
        <v>0</v>
      </c>
      <c r="J113" s="1049" t="e">
        <f t="shared" si="12"/>
        <v>#DIV/0!</v>
      </c>
      <c r="K113" s="948" t="e">
        <f t="shared" si="10"/>
        <v>#DIV/0!</v>
      </c>
      <c r="L113" s="1052"/>
      <c r="M113" s="1053"/>
    </row>
    <row r="114" spans="1:13" x14ac:dyDescent="0.25">
      <c r="A114" s="947" t="s">
        <v>2744</v>
      </c>
      <c r="B114" s="556" t="str">
        <f t="shared" si="13"/>
        <v>TOU-8-Standby-SUB</v>
      </c>
      <c r="C114" s="1055"/>
      <c r="D114" s="1055"/>
      <c r="E114" s="1055"/>
      <c r="F114" s="1049">
        <f t="shared" si="11"/>
        <v>0</v>
      </c>
      <c r="G114" s="1050"/>
      <c r="H114" s="1054"/>
      <c r="I114" s="981">
        <f t="shared" si="14"/>
        <v>0</v>
      </c>
      <c r="J114" s="1049" t="e">
        <f t="shared" si="12"/>
        <v>#DIV/0!</v>
      </c>
      <c r="K114" s="948" t="e">
        <f t="shared" si="10"/>
        <v>#DIV/0!</v>
      </c>
      <c r="L114" s="1052"/>
      <c r="M114" s="1053"/>
    </row>
    <row r="115" spans="1:13" x14ac:dyDescent="0.25">
      <c r="A115" s="947" t="s">
        <v>2745</v>
      </c>
      <c r="B115" s="556" t="str">
        <f t="shared" si="13"/>
        <v>TOU-PA-2</v>
      </c>
      <c r="C115" s="1048"/>
      <c r="D115" s="1048"/>
      <c r="E115" s="1048"/>
      <c r="F115" s="1049">
        <f t="shared" si="11"/>
        <v>0</v>
      </c>
      <c r="G115" s="1050"/>
      <c r="H115" s="1051"/>
      <c r="I115" s="981">
        <f t="shared" si="14"/>
        <v>0</v>
      </c>
      <c r="J115" s="1049" t="e">
        <f t="shared" si="12"/>
        <v>#DIV/0!</v>
      </c>
      <c r="K115" s="948" t="e">
        <f t="shared" si="10"/>
        <v>#DIV/0!</v>
      </c>
      <c r="L115" s="1052"/>
      <c r="M115" s="1053"/>
    </row>
    <row r="116" spans="1:13" x14ac:dyDescent="0.25">
      <c r="A116" s="947" t="s">
        <v>2746</v>
      </c>
      <c r="B116" s="556" t="str">
        <f t="shared" si="13"/>
        <v>TOU-PA-3</v>
      </c>
      <c r="C116" s="1048"/>
      <c r="D116" s="1048"/>
      <c r="E116" s="1048"/>
      <c r="F116" s="1049">
        <f t="shared" si="11"/>
        <v>0</v>
      </c>
      <c r="G116" s="1050"/>
      <c r="H116" s="1051"/>
      <c r="I116" s="981">
        <f t="shared" si="14"/>
        <v>0</v>
      </c>
      <c r="J116" s="1049" t="e">
        <f t="shared" si="12"/>
        <v>#DIV/0!</v>
      </c>
      <c r="K116" s="948" t="e">
        <f t="shared" si="10"/>
        <v>#DIV/0!</v>
      </c>
      <c r="L116" s="1052"/>
      <c r="M116" s="1053"/>
    </row>
    <row r="117" spans="1:13" x14ac:dyDescent="0.25">
      <c r="A117" s="947" t="s">
        <v>2747</v>
      </c>
      <c r="B117" s="556" t="str">
        <f t="shared" si="13"/>
        <v>Street Lighting</v>
      </c>
      <c r="C117" s="1048"/>
      <c r="D117" s="1048"/>
      <c r="E117" s="1048"/>
      <c r="F117" s="1049">
        <f t="shared" si="11"/>
        <v>0</v>
      </c>
      <c r="G117" s="1050"/>
      <c r="H117" s="1051"/>
      <c r="I117" s="981">
        <f t="shared" si="14"/>
        <v>0</v>
      </c>
      <c r="J117" s="1049" t="e">
        <f t="shared" si="12"/>
        <v>#DIV/0!</v>
      </c>
      <c r="K117" s="948" t="e">
        <f t="shared" si="10"/>
        <v>#DIV/0!</v>
      </c>
      <c r="L117" s="1056"/>
      <c r="M117" s="1053"/>
    </row>
    <row r="118" spans="1:13" x14ac:dyDescent="0.25">
      <c r="A118" s="947" t="s">
        <v>2748</v>
      </c>
      <c r="B118" s="973" t="s">
        <v>86</v>
      </c>
      <c r="C118" s="1048"/>
      <c r="D118" s="1048"/>
      <c r="E118" s="1048"/>
      <c r="F118" s="1049"/>
      <c r="G118" s="1050"/>
      <c r="H118" s="1051"/>
      <c r="I118" s="981"/>
      <c r="J118" s="1049"/>
      <c r="K118" s="948"/>
      <c r="L118" s="1056"/>
      <c r="M118" s="1053"/>
    </row>
    <row r="119" spans="1:13" x14ac:dyDescent="0.25">
      <c r="A119" s="947">
        <v>36</v>
      </c>
      <c r="B119" s="559" t="s">
        <v>216</v>
      </c>
      <c r="C119" s="979">
        <f>SUM(C104:C118)</f>
        <v>0</v>
      </c>
      <c r="D119" s="979">
        <f>SUM(D104:D118)</f>
        <v>0</v>
      </c>
      <c r="E119" s="979">
        <f>SUM(E104:E118)</f>
        <v>0</v>
      </c>
      <c r="F119" s="979">
        <f>SUM(F104:F118)</f>
        <v>0</v>
      </c>
      <c r="G119" s="977"/>
      <c r="H119" s="979">
        <f>SUM(H104:H118)</f>
        <v>0</v>
      </c>
      <c r="I119" s="979">
        <f>SUM(I104:I118)</f>
        <v>0</v>
      </c>
      <c r="J119" s="979" t="e">
        <f>SUM(J104:J118)</f>
        <v>#DIV/0!</v>
      </c>
      <c r="K119" s="1057" t="e">
        <f>SUM(K104:K118)</f>
        <v>#DIV/0!</v>
      </c>
    </row>
    <row r="120" spans="1:13" x14ac:dyDescent="0.25">
      <c r="A120" s="947">
        <f t="shared" ref="A120:A126" si="15">A119+1</f>
        <v>37</v>
      </c>
    </row>
    <row r="121" spans="1:13" s="996" customFormat="1" ht="15.6" x14ac:dyDescent="0.3">
      <c r="A121" s="947">
        <f t="shared" si="15"/>
        <v>38</v>
      </c>
      <c r="B121" s="1058"/>
      <c r="M121" s="998"/>
    </row>
    <row r="122" spans="1:13" s="996" customFormat="1" ht="15.6" x14ac:dyDescent="0.3">
      <c r="A122" s="947">
        <f t="shared" si="15"/>
        <v>39</v>
      </c>
      <c r="B122" s="1058" t="s">
        <v>1656</v>
      </c>
      <c r="M122" s="998"/>
    </row>
    <row r="123" spans="1:13" s="996" customFormat="1" x14ac:dyDescent="0.25">
      <c r="A123" s="947">
        <f t="shared" si="15"/>
        <v>40</v>
      </c>
      <c r="C123" s="1059" t="s">
        <v>394</v>
      </c>
      <c r="D123" s="1059" t="s">
        <v>378</v>
      </c>
      <c r="E123" s="1059" t="s">
        <v>379</v>
      </c>
      <c r="F123" s="1060" t="s">
        <v>380</v>
      </c>
      <c r="G123" s="1061"/>
      <c r="H123" s="1061"/>
      <c r="I123" s="1061"/>
      <c r="J123" s="1062"/>
      <c r="K123" s="1061"/>
      <c r="M123" s="998"/>
    </row>
    <row r="124" spans="1:13" s="1063" customFormat="1" ht="26.4" x14ac:dyDescent="0.25">
      <c r="A124" s="947">
        <f t="shared" si="15"/>
        <v>41</v>
      </c>
      <c r="C124" s="1064"/>
      <c r="D124" s="1064"/>
      <c r="E124" s="1065" t="s">
        <v>2749</v>
      </c>
      <c r="F124" s="1065" t="s">
        <v>2750</v>
      </c>
      <c r="G124" s="1066"/>
      <c r="H124" s="1066"/>
      <c r="I124" s="1066"/>
      <c r="J124" s="1067"/>
      <c r="K124" s="1066"/>
      <c r="M124" s="991"/>
    </row>
    <row r="125" spans="1:13" s="1063" customFormat="1" x14ac:dyDescent="0.25">
      <c r="A125" s="947">
        <f t="shared" si="15"/>
        <v>42</v>
      </c>
      <c r="C125" s="1064"/>
      <c r="D125" s="1064"/>
      <c r="E125" s="1065"/>
      <c r="G125" s="1067"/>
      <c r="H125" s="1066"/>
      <c r="I125" s="1066"/>
      <c r="J125" s="1066"/>
      <c r="K125" s="1066"/>
      <c r="M125" s="991"/>
    </row>
    <row r="126" spans="1:13" s="990" customFormat="1" ht="26.4" x14ac:dyDescent="0.25">
      <c r="A126" s="947">
        <f t="shared" si="15"/>
        <v>43</v>
      </c>
      <c r="B126" s="988" t="s">
        <v>1295</v>
      </c>
      <c r="C126" s="988" t="s">
        <v>2751</v>
      </c>
      <c r="D126" s="988" t="s">
        <v>1323</v>
      </c>
      <c r="E126" s="988" t="s">
        <v>2665</v>
      </c>
      <c r="F126" s="988" t="s">
        <v>2666</v>
      </c>
      <c r="G126" s="1068"/>
      <c r="H126" s="1068"/>
      <c r="I126" s="1068"/>
      <c r="J126" s="1068"/>
      <c r="M126" s="991"/>
    </row>
    <row r="127" spans="1:13" s="996" customFormat="1" ht="14.4" x14ac:dyDescent="0.3">
      <c r="A127" s="992" t="s">
        <v>2752</v>
      </c>
      <c r="B127" s="993" t="s">
        <v>2638</v>
      </c>
      <c r="C127" s="1048"/>
      <c r="D127" s="1069"/>
      <c r="E127" s="1049">
        <f>C127*$D127</f>
        <v>0</v>
      </c>
      <c r="F127" s="997" t="e">
        <f>J112</f>
        <v>#DIV/0!</v>
      </c>
      <c r="G127" s="1062"/>
      <c r="H127" s="1015"/>
      <c r="I127" s="1015"/>
      <c r="J127" s="1062"/>
      <c r="M127" s="998"/>
    </row>
    <row r="128" spans="1:13" s="996" customFormat="1" ht="14.4" x14ac:dyDescent="0.3">
      <c r="A128" s="992" t="s">
        <v>2753</v>
      </c>
      <c r="B128" s="993" t="s">
        <v>2639</v>
      </c>
      <c r="C128" s="1048"/>
      <c r="D128" s="1069"/>
      <c r="E128" s="1049">
        <f>C128*$D128</f>
        <v>0</v>
      </c>
      <c r="F128" s="997" t="e">
        <f>J113</f>
        <v>#DIV/0!</v>
      </c>
      <c r="G128" s="1062"/>
      <c r="H128" s="1015"/>
      <c r="I128" s="1015"/>
      <c r="J128" s="1062"/>
      <c r="M128" s="998"/>
    </row>
    <row r="129" spans="1:13" s="996" customFormat="1" ht="14.4" x14ac:dyDescent="0.3">
      <c r="A129" s="992" t="s">
        <v>2754</v>
      </c>
      <c r="B129" s="993" t="s">
        <v>2640</v>
      </c>
      <c r="C129" s="1055"/>
      <c r="D129" s="1070"/>
      <c r="E129" s="1071">
        <f>C129*$D129</f>
        <v>0</v>
      </c>
      <c r="F129" s="997" t="e">
        <f>J114</f>
        <v>#DIV/0!</v>
      </c>
      <c r="G129" s="1062"/>
      <c r="H129" s="1015"/>
      <c r="I129" s="1015"/>
      <c r="J129" s="1062"/>
      <c r="M129" s="998"/>
    </row>
    <row r="130" spans="1:13" x14ac:dyDescent="0.25">
      <c r="A130" s="992" t="s">
        <v>2755</v>
      </c>
      <c r="B130" s="973" t="s">
        <v>86</v>
      </c>
      <c r="C130" s="1048"/>
      <c r="D130" s="1048"/>
      <c r="E130" s="922"/>
    </row>
    <row r="145" spans="13:13" x14ac:dyDescent="0.25">
      <c r="M145" s="920"/>
    </row>
    <row r="146" spans="13:13" x14ac:dyDescent="0.25">
      <c r="M146" s="920"/>
    </row>
    <row r="147" spans="13:13" x14ac:dyDescent="0.25">
      <c r="M147" s="920"/>
    </row>
    <row r="148" spans="13:13" x14ac:dyDescent="0.25">
      <c r="M148" s="920"/>
    </row>
    <row r="149" spans="13:13" x14ac:dyDescent="0.25">
      <c r="M149" s="920"/>
    </row>
    <row r="150" spans="13:13" x14ac:dyDescent="0.25">
      <c r="M150" s="920"/>
    </row>
    <row r="151" spans="13:13" x14ac:dyDescent="0.25">
      <c r="M151" s="920"/>
    </row>
    <row r="152" spans="13:13" x14ac:dyDescent="0.25">
      <c r="M152" s="920"/>
    </row>
    <row r="153" spans="13:13" x14ac:dyDescent="0.25">
      <c r="M153" s="920"/>
    </row>
    <row r="154" spans="13:13" x14ac:dyDescent="0.25">
      <c r="M154" s="920"/>
    </row>
    <row r="155" spans="13:13" x14ac:dyDescent="0.25">
      <c r="M155" s="920"/>
    </row>
    <row r="156" spans="13:13" x14ac:dyDescent="0.25">
      <c r="M156" s="920"/>
    </row>
    <row r="157" spans="13:13" x14ac:dyDescent="0.25">
      <c r="M157" s="920"/>
    </row>
    <row r="158" spans="13:13" x14ac:dyDescent="0.25">
      <c r="M158" s="920"/>
    </row>
    <row r="159" spans="13:13" x14ac:dyDescent="0.25">
      <c r="M159" s="920"/>
    </row>
    <row r="160" spans="13:13" x14ac:dyDescent="0.25">
      <c r="M160" s="920"/>
    </row>
    <row r="161" spans="13:13" x14ac:dyDescent="0.25">
      <c r="M161" s="920"/>
    </row>
    <row r="162" spans="13:13" x14ac:dyDescent="0.25">
      <c r="M162" s="920"/>
    </row>
    <row r="163" spans="13:13" x14ac:dyDescent="0.25">
      <c r="M163" s="920"/>
    </row>
    <row r="164" spans="13:13" x14ac:dyDescent="0.25">
      <c r="M164" s="920"/>
    </row>
    <row r="165" spans="13:13" x14ac:dyDescent="0.25">
      <c r="M165" s="920"/>
    </row>
    <row r="166" spans="13:13" x14ac:dyDescent="0.25">
      <c r="M166" s="920"/>
    </row>
    <row r="167" spans="13:13" x14ac:dyDescent="0.25">
      <c r="M167" s="920"/>
    </row>
    <row r="168" spans="13:13" x14ac:dyDescent="0.25">
      <c r="M168" s="920"/>
    </row>
    <row r="169" spans="13:13" x14ac:dyDescent="0.25">
      <c r="M169" s="920"/>
    </row>
    <row r="170" spans="13:13" x14ac:dyDescent="0.25">
      <c r="M170" s="920"/>
    </row>
    <row r="171" spans="13:13" x14ac:dyDescent="0.25">
      <c r="M171" s="920"/>
    </row>
    <row r="172" spans="13:13" x14ac:dyDescent="0.25">
      <c r="M172" s="920"/>
    </row>
    <row r="173" spans="13:13" x14ac:dyDescent="0.25">
      <c r="M173" s="920"/>
    </row>
    <row r="174" spans="13:13" x14ac:dyDescent="0.25">
      <c r="M174" s="920"/>
    </row>
    <row r="175" spans="13:13" x14ac:dyDescent="0.25">
      <c r="M175" s="920"/>
    </row>
    <row r="176" spans="13:13" x14ac:dyDescent="0.25">
      <c r="M176" s="920"/>
    </row>
    <row r="177" spans="13:13" x14ac:dyDescent="0.25">
      <c r="M177" s="920"/>
    </row>
    <row r="178" spans="13:13" x14ac:dyDescent="0.25">
      <c r="M178" s="920"/>
    </row>
    <row r="179" spans="13:13" x14ac:dyDescent="0.25">
      <c r="M179" s="920"/>
    </row>
    <row r="180" spans="13:13" x14ac:dyDescent="0.25">
      <c r="M180" s="920"/>
    </row>
    <row r="181" spans="13:13" x14ac:dyDescent="0.25">
      <c r="M181" s="920"/>
    </row>
    <row r="182" spans="13:13" x14ac:dyDescent="0.25">
      <c r="M182" s="920"/>
    </row>
    <row r="183" spans="13:13" x14ac:dyDescent="0.25">
      <c r="M183" s="920"/>
    </row>
    <row r="184" spans="13:13" x14ac:dyDescent="0.25">
      <c r="M184" s="920"/>
    </row>
    <row r="185" spans="13:13" x14ac:dyDescent="0.25">
      <c r="M185" s="920"/>
    </row>
    <row r="186" spans="13:13" x14ac:dyDescent="0.25">
      <c r="M186" s="920"/>
    </row>
    <row r="187" spans="13:13" x14ac:dyDescent="0.25">
      <c r="M187" s="920"/>
    </row>
    <row r="188" spans="13:13" x14ac:dyDescent="0.25">
      <c r="M188" s="920"/>
    </row>
    <row r="189" spans="13:13" x14ac:dyDescent="0.25">
      <c r="M189" s="920"/>
    </row>
    <row r="190" spans="13:13" x14ac:dyDescent="0.25">
      <c r="M190" s="920"/>
    </row>
    <row r="191" spans="13:13" x14ac:dyDescent="0.25">
      <c r="M191" s="920"/>
    </row>
    <row r="192" spans="13:13" x14ac:dyDescent="0.25">
      <c r="M192" s="920"/>
    </row>
    <row r="193" spans="13:13" x14ac:dyDescent="0.25">
      <c r="M193" s="920"/>
    </row>
    <row r="194" spans="13:13" x14ac:dyDescent="0.25">
      <c r="M194" s="920"/>
    </row>
    <row r="195" spans="13:13" x14ac:dyDescent="0.25">
      <c r="M195" s="920"/>
    </row>
    <row r="196" spans="13:13" x14ac:dyDescent="0.25">
      <c r="M196" s="920"/>
    </row>
    <row r="197" spans="13:13" x14ac:dyDescent="0.25">
      <c r="M197" s="920"/>
    </row>
    <row r="198" spans="13:13" x14ac:dyDescent="0.25">
      <c r="M198" s="920"/>
    </row>
    <row r="199" spans="13:13" x14ac:dyDescent="0.25">
      <c r="M199" s="920"/>
    </row>
    <row r="200" spans="13:13" x14ac:dyDescent="0.25">
      <c r="M200" s="920"/>
    </row>
    <row r="201" spans="13:13" x14ac:dyDescent="0.25">
      <c r="M201" s="920"/>
    </row>
    <row r="202" spans="13:13" x14ac:dyDescent="0.25">
      <c r="M202" s="920"/>
    </row>
    <row r="203" spans="13:13" x14ac:dyDescent="0.25">
      <c r="M203" s="920"/>
    </row>
    <row r="204" spans="13:13" x14ac:dyDescent="0.25">
      <c r="M204" s="920"/>
    </row>
    <row r="205" spans="13:13" x14ac:dyDescent="0.25">
      <c r="M205" s="920"/>
    </row>
    <row r="206" spans="13:13" x14ac:dyDescent="0.25">
      <c r="M206" s="920"/>
    </row>
    <row r="207" spans="13:13" x14ac:dyDescent="0.25">
      <c r="M207" s="920"/>
    </row>
    <row r="208" spans="13:13" x14ac:dyDescent="0.25">
      <c r="M208" s="920"/>
    </row>
    <row r="209" spans="13:13" x14ac:dyDescent="0.25">
      <c r="M209" s="920"/>
    </row>
    <row r="210" spans="13:13" x14ac:dyDescent="0.25">
      <c r="M210" s="920"/>
    </row>
    <row r="211" spans="13:13" x14ac:dyDescent="0.25">
      <c r="M211" s="920"/>
    </row>
    <row r="212" spans="13:13" x14ac:dyDescent="0.25">
      <c r="M212" s="920"/>
    </row>
    <row r="213" spans="13:13" x14ac:dyDescent="0.25">
      <c r="M213" s="920"/>
    </row>
    <row r="214" spans="13:13" x14ac:dyDescent="0.25">
      <c r="M214" s="920"/>
    </row>
    <row r="215" spans="13:13" x14ac:dyDescent="0.25">
      <c r="M215" s="920"/>
    </row>
    <row r="216" spans="13:13" x14ac:dyDescent="0.25">
      <c r="M216" s="920"/>
    </row>
    <row r="217" spans="13:13" x14ac:dyDescent="0.25">
      <c r="M217" s="920"/>
    </row>
    <row r="218" spans="13:13" x14ac:dyDescent="0.25">
      <c r="M218" s="920"/>
    </row>
    <row r="219" spans="13:13" x14ac:dyDescent="0.25">
      <c r="M219" s="920"/>
    </row>
    <row r="220" spans="13:13" x14ac:dyDescent="0.25">
      <c r="M220" s="920"/>
    </row>
    <row r="221" spans="13:13" x14ac:dyDescent="0.25">
      <c r="M221" s="920"/>
    </row>
    <row r="222" spans="13:13" x14ac:dyDescent="0.25">
      <c r="M222" s="920"/>
    </row>
    <row r="223" spans="13:13" x14ac:dyDescent="0.25">
      <c r="M223" s="920"/>
    </row>
    <row r="224" spans="13:13" x14ac:dyDescent="0.25">
      <c r="M224" s="920"/>
    </row>
    <row r="225" spans="13:13" x14ac:dyDescent="0.25">
      <c r="M225" s="920"/>
    </row>
    <row r="226" spans="13:13" x14ac:dyDescent="0.25">
      <c r="M226" s="920"/>
    </row>
    <row r="227" spans="13:13" x14ac:dyDescent="0.25">
      <c r="M227" s="920"/>
    </row>
    <row r="228" spans="13:13" x14ac:dyDescent="0.25">
      <c r="M228" s="920"/>
    </row>
    <row r="229" spans="13:13" x14ac:dyDescent="0.25">
      <c r="M229" s="920"/>
    </row>
    <row r="230" spans="13:13" x14ac:dyDescent="0.25">
      <c r="M230" s="920"/>
    </row>
    <row r="231" spans="13:13" x14ac:dyDescent="0.25">
      <c r="M231" s="920"/>
    </row>
    <row r="232" spans="13:13" x14ac:dyDescent="0.25">
      <c r="M232" s="920"/>
    </row>
    <row r="233" spans="13:13" x14ac:dyDescent="0.25">
      <c r="M233" s="920"/>
    </row>
    <row r="234" spans="13:13" x14ac:dyDescent="0.25">
      <c r="M234" s="920"/>
    </row>
    <row r="235" spans="13:13" x14ac:dyDescent="0.25">
      <c r="M235" s="920"/>
    </row>
    <row r="236" spans="13:13" x14ac:dyDescent="0.25">
      <c r="M236" s="920"/>
    </row>
    <row r="237" spans="13:13" x14ac:dyDescent="0.25">
      <c r="M237" s="920"/>
    </row>
    <row r="238" spans="13:13" x14ac:dyDescent="0.25">
      <c r="M238" s="920"/>
    </row>
    <row r="239" spans="13:13" x14ac:dyDescent="0.25">
      <c r="M239" s="920"/>
    </row>
    <row r="240" spans="13:13" x14ac:dyDescent="0.25">
      <c r="M240" s="920"/>
    </row>
    <row r="241" spans="13:13" x14ac:dyDescent="0.25">
      <c r="M241" s="920"/>
    </row>
    <row r="242" spans="13:13" x14ac:dyDescent="0.25">
      <c r="M242" s="920"/>
    </row>
    <row r="243" spans="13:13" x14ac:dyDescent="0.25">
      <c r="M243" s="920"/>
    </row>
    <row r="244" spans="13:13" x14ac:dyDescent="0.25">
      <c r="M244" s="920"/>
    </row>
    <row r="245" spans="13:13" x14ac:dyDescent="0.25">
      <c r="M245" s="920"/>
    </row>
    <row r="246" spans="13:13" x14ac:dyDescent="0.25">
      <c r="M246" s="920"/>
    </row>
    <row r="247" spans="13:13" x14ac:dyDescent="0.25">
      <c r="M247" s="920"/>
    </row>
    <row r="248" spans="13:13" x14ac:dyDescent="0.25">
      <c r="M248" s="920"/>
    </row>
    <row r="249" spans="13:13" x14ac:dyDescent="0.25">
      <c r="M249" s="920"/>
    </row>
    <row r="250" spans="13:13" x14ac:dyDescent="0.25">
      <c r="M250" s="920"/>
    </row>
    <row r="251" spans="13:13" x14ac:dyDescent="0.25">
      <c r="M251" s="920"/>
    </row>
    <row r="252" spans="13:13" x14ac:dyDescent="0.25">
      <c r="M252" s="920"/>
    </row>
    <row r="253" spans="13:13" x14ac:dyDescent="0.25">
      <c r="M253" s="920"/>
    </row>
  </sheetData>
  <mergeCells count="4">
    <mergeCell ref="E9:G9"/>
    <mergeCell ref="J10:L10"/>
    <mergeCell ref="K14:L14"/>
    <mergeCell ref="C102:F102"/>
  </mergeCells>
  <pageMargins left="0.7" right="0.7" top="0.75" bottom="0.75" header="0.3" footer="0.3"/>
  <pageSetup scale="55" orientation="landscape" cellComments="asDisplayed" r:id="rId1"/>
  <headerFooter>
    <oddHeader>&amp;CSchedule 33
Retail Transmission Rates
&amp;"Arial,Bold"Attachment 5</oddHeader>
    <oddFooter>&amp;R33-RetailRates</oddFooter>
  </headerFooter>
  <rowBreaks count="4" manualBreakCount="4">
    <brk id="55" max="16383" man="1"/>
    <brk id="119" max="16383" man="1"/>
    <brk id="181" max="16383" man="1"/>
    <brk id="228" max="16383" man="1"/>
  </row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2"/>
  <sheetViews>
    <sheetView zoomScale="90" zoomScaleNormal="90" workbookViewId="0"/>
  </sheetViews>
  <sheetFormatPr defaultRowHeight="13.2" x14ac:dyDescent="0.25"/>
  <cols>
    <col min="1" max="1" width="4.88671875" customWidth="1"/>
    <col min="2" max="2" width="1.6640625" customWidth="1"/>
    <col min="3" max="3" width="46" customWidth="1"/>
    <col min="4" max="4" width="1.6640625" customWidth="1"/>
    <col min="5" max="5" width="34" customWidth="1"/>
    <col min="6" max="6" width="1.6640625" customWidth="1"/>
    <col min="7" max="7" width="16.6640625" customWidth="1"/>
    <col min="8" max="8" width="1.6640625" customWidth="1"/>
    <col min="9" max="9" width="16.6640625" customWidth="1"/>
    <col min="10" max="10" width="1.6640625" customWidth="1"/>
    <col min="11" max="11" width="16.6640625" customWidth="1"/>
    <col min="12" max="12" width="2.88671875" customWidth="1"/>
    <col min="13" max="13" width="35.44140625" bestFit="1" customWidth="1"/>
    <col min="14" max="14" width="20.109375" customWidth="1"/>
    <col min="257" max="257" width="4.88671875" customWidth="1"/>
    <col min="258" max="258" width="1.6640625" customWidth="1"/>
    <col min="259" max="259" width="46" customWidth="1"/>
    <col min="260" max="260" width="1.6640625" customWidth="1"/>
    <col min="261" max="261" width="34" customWidth="1"/>
    <col min="262" max="262" width="1.6640625" customWidth="1"/>
    <col min="263" max="263" width="16" customWidth="1"/>
    <col min="264" max="264" width="1.6640625" customWidth="1"/>
    <col min="265" max="265" width="14" customWidth="1"/>
    <col min="266" max="266" width="1.6640625" customWidth="1"/>
    <col min="267" max="267" width="11.5546875" customWidth="1"/>
    <col min="268" max="268" width="2.88671875" customWidth="1"/>
    <col min="269" max="269" width="35.44140625" bestFit="1" customWidth="1"/>
    <col min="270" max="270" width="20.109375" customWidth="1"/>
    <col min="513" max="513" width="4.88671875" customWidth="1"/>
    <col min="514" max="514" width="1.6640625" customWidth="1"/>
    <col min="515" max="515" width="46" customWidth="1"/>
    <col min="516" max="516" width="1.6640625" customWidth="1"/>
    <col min="517" max="517" width="34" customWidth="1"/>
    <col min="518" max="518" width="1.6640625" customWidth="1"/>
    <col min="519" max="519" width="16" customWidth="1"/>
    <col min="520" max="520" width="1.6640625" customWidth="1"/>
    <col min="521" max="521" width="14" customWidth="1"/>
    <col min="522" max="522" width="1.6640625" customWidth="1"/>
    <col min="523" max="523" width="11.5546875" customWidth="1"/>
    <col min="524" max="524" width="2.88671875" customWidth="1"/>
    <col min="525" max="525" width="35.44140625" bestFit="1" customWidth="1"/>
    <col min="526" max="526" width="20.109375" customWidth="1"/>
    <col min="769" max="769" width="4.88671875" customWidth="1"/>
    <col min="770" max="770" width="1.6640625" customWidth="1"/>
    <col min="771" max="771" width="46" customWidth="1"/>
    <col min="772" max="772" width="1.6640625" customWidth="1"/>
    <col min="773" max="773" width="34" customWidth="1"/>
    <col min="774" max="774" width="1.6640625" customWidth="1"/>
    <col min="775" max="775" width="16" customWidth="1"/>
    <col min="776" max="776" width="1.6640625" customWidth="1"/>
    <col min="777" max="777" width="14" customWidth="1"/>
    <col min="778" max="778" width="1.6640625" customWidth="1"/>
    <col min="779" max="779" width="11.5546875" customWidth="1"/>
    <col min="780" max="780" width="2.88671875" customWidth="1"/>
    <col min="781" max="781" width="35.44140625" bestFit="1" customWidth="1"/>
    <col min="782" max="782" width="20.109375" customWidth="1"/>
    <col min="1025" max="1025" width="4.88671875" customWidth="1"/>
    <col min="1026" max="1026" width="1.6640625" customWidth="1"/>
    <col min="1027" max="1027" width="46" customWidth="1"/>
    <col min="1028" max="1028" width="1.6640625" customWidth="1"/>
    <col min="1029" max="1029" width="34" customWidth="1"/>
    <col min="1030" max="1030" width="1.6640625" customWidth="1"/>
    <col min="1031" max="1031" width="16" customWidth="1"/>
    <col min="1032" max="1032" width="1.6640625" customWidth="1"/>
    <col min="1033" max="1033" width="14" customWidth="1"/>
    <col min="1034" max="1034" width="1.6640625" customWidth="1"/>
    <col min="1035" max="1035" width="11.5546875" customWidth="1"/>
    <col min="1036" max="1036" width="2.88671875" customWidth="1"/>
    <col min="1037" max="1037" width="35.44140625" bestFit="1" customWidth="1"/>
    <col min="1038" max="1038" width="20.109375" customWidth="1"/>
    <col min="1281" max="1281" width="4.88671875" customWidth="1"/>
    <col min="1282" max="1282" width="1.6640625" customWidth="1"/>
    <col min="1283" max="1283" width="46" customWidth="1"/>
    <col min="1284" max="1284" width="1.6640625" customWidth="1"/>
    <col min="1285" max="1285" width="34" customWidth="1"/>
    <col min="1286" max="1286" width="1.6640625" customWidth="1"/>
    <col min="1287" max="1287" width="16" customWidth="1"/>
    <col min="1288" max="1288" width="1.6640625" customWidth="1"/>
    <col min="1289" max="1289" width="14" customWidth="1"/>
    <col min="1290" max="1290" width="1.6640625" customWidth="1"/>
    <col min="1291" max="1291" width="11.5546875" customWidth="1"/>
    <col min="1292" max="1292" width="2.88671875" customWidth="1"/>
    <col min="1293" max="1293" width="35.44140625" bestFit="1" customWidth="1"/>
    <col min="1294" max="1294" width="20.109375" customWidth="1"/>
    <col min="1537" max="1537" width="4.88671875" customWidth="1"/>
    <col min="1538" max="1538" width="1.6640625" customWidth="1"/>
    <col min="1539" max="1539" width="46" customWidth="1"/>
    <col min="1540" max="1540" width="1.6640625" customWidth="1"/>
    <col min="1541" max="1541" width="34" customWidth="1"/>
    <col min="1542" max="1542" width="1.6640625" customWidth="1"/>
    <col min="1543" max="1543" width="16" customWidth="1"/>
    <col min="1544" max="1544" width="1.6640625" customWidth="1"/>
    <col min="1545" max="1545" width="14" customWidth="1"/>
    <col min="1546" max="1546" width="1.6640625" customWidth="1"/>
    <col min="1547" max="1547" width="11.5546875" customWidth="1"/>
    <col min="1548" max="1548" width="2.88671875" customWidth="1"/>
    <col min="1549" max="1549" width="35.44140625" bestFit="1" customWidth="1"/>
    <col min="1550" max="1550" width="20.109375" customWidth="1"/>
    <col min="1793" max="1793" width="4.88671875" customWidth="1"/>
    <col min="1794" max="1794" width="1.6640625" customWidth="1"/>
    <col min="1795" max="1795" width="46" customWidth="1"/>
    <col min="1796" max="1796" width="1.6640625" customWidth="1"/>
    <col min="1797" max="1797" width="34" customWidth="1"/>
    <col min="1798" max="1798" width="1.6640625" customWidth="1"/>
    <col min="1799" max="1799" width="16" customWidth="1"/>
    <col min="1800" max="1800" width="1.6640625" customWidth="1"/>
    <col min="1801" max="1801" width="14" customWidth="1"/>
    <col min="1802" max="1802" width="1.6640625" customWidth="1"/>
    <col min="1803" max="1803" width="11.5546875" customWidth="1"/>
    <col min="1804" max="1804" width="2.88671875" customWidth="1"/>
    <col min="1805" max="1805" width="35.44140625" bestFit="1" customWidth="1"/>
    <col min="1806" max="1806" width="20.109375" customWidth="1"/>
    <col min="2049" max="2049" width="4.88671875" customWidth="1"/>
    <col min="2050" max="2050" width="1.6640625" customWidth="1"/>
    <col min="2051" max="2051" width="46" customWidth="1"/>
    <col min="2052" max="2052" width="1.6640625" customWidth="1"/>
    <col min="2053" max="2053" width="34" customWidth="1"/>
    <col min="2054" max="2054" width="1.6640625" customWidth="1"/>
    <col min="2055" max="2055" width="16" customWidth="1"/>
    <col min="2056" max="2056" width="1.6640625" customWidth="1"/>
    <col min="2057" max="2057" width="14" customWidth="1"/>
    <col min="2058" max="2058" width="1.6640625" customWidth="1"/>
    <col min="2059" max="2059" width="11.5546875" customWidth="1"/>
    <col min="2060" max="2060" width="2.88671875" customWidth="1"/>
    <col min="2061" max="2061" width="35.44140625" bestFit="1" customWidth="1"/>
    <col min="2062" max="2062" width="20.109375" customWidth="1"/>
    <col min="2305" max="2305" width="4.88671875" customWidth="1"/>
    <col min="2306" max="2306" width="1.6640625" customWidth="1"/>
    <col min="2307" max="2307" width="46" customWidth="1"/>
    <col min="2308" max="2308" width="1.6640625" customWidth="1"/>
    <col min="2309" max="2309" width="34" customWidth="1"/>
    <col min="2310" max="2310" width="1.6640625" customWidth="1"/>
    <col min="2311" max="2311" width="16" customWidth="1"/>
    <col min="2312" max="2312" width="1.6640625" customWidth="1"/>
    <col min="2313" max="2313" width="14" customWidth="1"/>
    <col min="2314" max="2314" width="1.6640625" customWidth="1"/>
    <col min="2315" max="2315" width="11.5546875" customWidth="1"/>
    <col min="2316" max="2316" width="2.88671875" customWidth="1"/>
    <col min="2317" max="2317" width="35.44140625" bestFit="1" customWidth="1"/>
    <col min="2318" max="2318" width="20.109375" customWidth="1"/>
    <col min="2561" max="2561" width="4.88671875" customWidth="1"/>
    <col min="2562" max="2562" width="1.6640625" customWidth="1"/>
    <col min="2563" max="2563" width="46" customWidth="1"/>
    <col min="2564" max="2564" width="1.6640625" customWidth="1"/>
    <col min="2565" max="2565" width="34" customWidth="1"/>
    <col min="2566" max="2566" width="1.6640625" customWidth="1"/>
    <col min="2567" max="2567" width="16" customWidth="1"/>
    <col min="2568" max="2568" width="1.6640625" customWidth="1"/>
    <col min="2569" max="2569" width="14" customWidth="1"/>
    <col min="2570" max="2570" width="1.6640625" customWidth="1"/>
    <col min="2571" max="2571" width="11.5546875" customWidth="1"/>
    <col min="2572" max="2572" width="2.88671875" customWidth="1"/>
    <col min="2573" max="2573" width="35.44140625" bestFit="1" customWidth="1"/>
    <col min="2574" max="2574" width="20.109375" customWidth="1"/>
    <col min="2817" max="2817" width="4.88671875" customWidth="1"/>
    <col min="2818" max="2818" width="1.6640625" customWidth="1"/>
    <col min="2819" max="2819" width="46" customWidth="1"/>
    <col min="2820" max="2820" width="1.6640625" customWidth="1"/>
    <col min="2821" max="2821" width="34" customWidth="1"/>
    <col min="2822" max="2822" width="1.6640625" customWidth="1"/>
    <col min="2823" max="2823" width="16" customWidth="1"/>
    <col min="2824" max="2824" width="1.6640625" customWidth="1"/>
    <col min="2825" max="2825" width="14" customWidth="1"/>
    <col min="2826" max="2826" width="1.6640625" customWidth="1"/>
    <col min="2827" max="2827" width="11.5546875" customWidth="1"/>
    <col min="2828" max="2828" width="2.88671875" customWidth="1"/>
    <col min="2829" max="2829" width="35.44140625" bestFit="1" customWidth="1"/>
    <col min="2830" max="2830" width="20.109375" customWidth="1"/>
    <col min="3073" max="3073" width="4.88671875" customWidth="1"/>
    <col min="3074" max="3074" width="1.6640625" customWidth="1"/>
    <col min="3075" max="3075" width="46" customWidth="1"/>
    <col min="3076" max="3076" width="1.6640625" customWidth="1"/>
    <col min="3077" max="3077" width="34" customWidth="1"/>
    <col min="3078" max="3078" width="1.6640625" customWidth="1"/>
    <col min="3079" max="3079" width="16" customWidth="1"/>
    <col min="3080" max="3080" width="1.6640625" customWidth="1"/>
    <col min="3081" max="3081" width="14" customWidth="1"/>
    <col min="3082" max="3082" width="1.6640625" customWidth="1"/>
    <col min="3083" max="3083" width="11.5546875" customWidth="1"/>
    <col min="3084" max="3084" width="2.88671875" customWidth="1"/>
    <col min="3085" max="3085" width="35.44140625" bestFit="1" customWidth="1"/>
    <col min="3086" max="3086" width="20.109375" customWidth="1"/>
    <col min="3329" max="3329" width="4.88671875" customWidth="1"/>
    <col min="3330" max="3330" width="1.6640625" customWidth="1"/>
    <col min="3331" max="3331" width="46" customWidth="1"/>
    <col min="3332" max="3332" width="1.6640625" customWidth="1"/>
    <col min="3333" max="3333" width="34" customWidth="1"/>
    <col min="3334" max="3334" width="1.6640625" customWidth="1"/>
    <col min="3335" max="3335" width="16" customWidth="1"/>
    <col min="3336" max="3336" width="1.6640625" customWidth="1"/>
    <col min="3337" max="3337" width="14" customWidth="1"/>
    <col min="3338" max="3338" width="1.6640625" customWidth="1"/>
    <col min="3339" max="3339" width="11.5546875" customWidth="1"/>
    <col min="3340" max="3340" width="2.88671875" customWidth="1"/>
    <col min="3341" max="3341" width="35.44140625" bestFit="1" customWidth="1"/>
    <col min="3342" max="3342" width="20.109375" customWidth="1"/>
    <col min="3585" max="3585" width="4.88671875" customWidth="1"/>
    <col min="3586" max="3586" width="1.6640625" customWidth="1"/>
    <col min="3587" max="3587" width="46" customWidth="1"/>
    <col min="3588" max="3588" width="1.6640625" customWidth="1"/>
    <col min="3589" max="3589" width="34" customWidth="1"/>
    <col min="3590" max="3590" width="1.6640625" customWidth="1"/>
    <col min="3591" max="3591" width="16" customWidth="1"/>
    <col min="3592" max="3592" width="1.6640625" customWidth="1"/>
    <col min="3593" max="3593" width="14" customWidth="1"/>
    <col min="3594" max="3594" width="1.6640625" customWidth="1"/>
    <col min="3595" max="3595" width="11.5546875" customWidth="1"/>
    <col min="3596" max="3596" width="2.88671875" customWidth="1"/>
    <col min="3597" max="3597" width="35.44140625" bestFit="1" customWidth="1"/>
    <col min="3598" max="3598" width="20.109375" customWidth="1"/>
    <col min="3841" max="3841" width="4.88671875" customWidth="1"/>
    <col min="3842" max="3842" width="1.6640625" customWidth="1"/>
    <col min="3843" max="3843" width="46" customWidth="1"/>
    <col min="3844" max="3844" width="1.6640625" customWidth="1"/>
    <col min="3845" max="3845" width="34" customWidth="1"/>
    <col min="3846" max="3846" width="1.6640625" customWidth="1"/>
    <col min="3847" max="3847" width="16" customWidth="1"/>
    <col min="3848" max="3848" width="1.6640625" customWidth="1"/>
    <col min="3849" max="3849" width="14" customWidth="1"/>
    <col min="3850" max="3850" width="1.6640625" customWidth="1"/>
    <col min="3851" max="3851" width="11.5546875" customWidth="1"/>
    <col min="3852" max="3852" width="2.88671875" customWidth="1"/>
    <col min="3853" max="3853" width="35.44140625" bestFit="1" customWidth="1"/>
    <col min="3854" max="3854" width="20.109375" customWidth="1"/>
    <col min="4097" max="4097" width="4.88671875" customWidth="1"/>
    <col min="4098" max="4098" width="1.6640625" customWidth="1"/>
    <col min="4099" max="4099" width="46" customWidth="1"/>
    <col min="4100" max="4100" width="1.6640625" customWidth="1"/>
    <col min="4101" max="4101" width="34" customWidth="1"/>
    <col min="4102" max="4102" width="1.6640625" customWidth="1"/>
    <col min="4103" max="4103" width="16" customWidth="1"/>
    <col min="4104" max="4104" width="1.6640625" customWidth="1"/>
    <col min="4105" max="4105" width="14" customWidth="1"/>
    <col min="4106" max="4106" width="1.6640625" customWidth="1"/>
    <col min="4107" max="4107" width="11.5546875" customWidth="1"/>
    <col min="4108" max="4108" width="2.88671875" customWidth="1"/>
    <col min="4109" max="4109" width="35.44140625" bestFit="1" customWidth="1"/>
    <col min="4110" max="4110" width="20.109375" customWidth="1"/>
    <col min="4353" max="4353" width="4.88671875" customWidth="1"/>
    <col min="4354" max="4354" width="1.6640625" customWidth="1"/>
    <col min="4355" max="4355" width="46" customWidth="1"/>
    <col min="4356" max="4356" width="1.6640625" customWidth="1"/>
    <col min="4357" max="4357" width="34" customWidth="1"/>
    <col min="4358" max="4358" width="1.6640625" customWidth="1"/>
    <col min="4359" max="4359" width="16" customWidth="1"/>
    <col min="4360" max="4360" width="1.6640625" customWidth="1"/>
    <col min="4361" max="4361" width="14" customWidth="1"/>
    <col min="4362" max="4362" width="1.6640625" customWidth="1"/>
    <col min="4363" max="4363" width="11.5546875" customWidth="1"/>
    <col min="4364" max="4364" width="2.88671875" customWidth="1"/>
    <col min="4365" max="4365" width="35.44140625" bestFit="1" customWidth="1"/>
    <col min="4366" max="4366" width="20.109375" customWidth="1"/>
    <col min="4609" max="4609" width="4.88671875" customWidth="1"/>
    <col min="4610" max="4610" width="1.6640625" customWidth="1"/>
    <col min="4611" max="4611" width="46" customWidth="1"/>
    <col min="4612" max="4612" width="1.6640625" customWidth="1"/>
    <col min="4613" max="4613" width="34" customWidth="1"/>
    <col min="4614" max="4614" width="1.6640625" customWidth="1"/>
    <col min="4615" max="4615" width="16" customWidth="1"/>
    <col min="4616" max="4616" width="1.6640625" customWidth="1"/>
    <col min="4617" max="4617" width="14" customWidth="1"/>
    <col min="4618" max="4618" width="1.6640625" customWidth="1"/>
    <col min="4619" max="4619" width="11.5546875" customWidth="1"/>
    <col min="4620" max="4620" width="2.88671875" customWidth="1"/>
    <col min="4621" max="4621" width="35.44140625" bestFit="1" customWidth="1"/>
    <col min="4622" max="4622" width="20.109375" customWidth="1"/>
    <col min="4865" max="4865" width="4.88671875" customWidth="1"/>
    <col min="4866" max="4866" width="1.6640625" customWidth="1"/>
    <col min="4867" max="4867" width="46" customWidth="1"/>
    <col min="4868" max="4868" width="1.6640625" customWidth="1"/>
    <col min="4869" max="4869" width="34" customWidth="1"/>
    <col min="4870" max="4870" width="1.6640625" customWidth="1"/>
    <col min="4871" max="4871" width="16" customWidth="1"/>
    <col min="4872" max="4872" width="1.6640625" customWidth="1"/>
    <col min="4873" max="4873" width="14" customWidth="1"/>
    <col min="4874" max="4874" width="1.6640625" customWidth="1"/>
    <col min="4875" max="4875" width="11.5546875" customWidth="1"/>
    <col min="4876" max="4876" width="2.88671875" customWidth="1"/>
    <col min="4877" max="4877" width="35.44140625" bestFit="1" customWidth="1"/>
    <col min="4878" max="4878" width="20.109375" customWidth="1"/>
    <col min="5121" max="5121" width="4.88671875" customWidth="1"/>
    <col min="5122" max="5122" width="1.6640625" customWidth="1"/>
    <col min="5123" max="5123" width="46" customWidth="1"/>
    <col min="5124" max="5124" width="1.6640625" customWidth="1"/>
    <col min="5125" max="5125" width="34" customWidth="1"/>
    <col min="5126" max="5126" width="1.6640625" customWidth="1"/>
    <col min="5127" max="5127" width="16" customWidth="1"/>
    <col min="5128" max="5128" width="1.6640625" customWidth="1"/>
    <col min="5129" max="5129" width="14" customWidth="1"/>
    <col min="5130" max="5130" width="1.6640625" customWidth="1"/>
    <col min="5131" max="5131" width="11.5546875" customWidth="1"/>
    <col min="5132" max="5132" width="2.88671875" customWidth="1"/>
    <col min="5133" max="5133" width="35.44140625" bestFit="1" customWidth="1"/>
    <col min="5134" max="5134" width="20.109375" customWidth="1"/>
    <col min="5377" max="5377" width="4.88671875" customWidth="1"/>
    <col min="5378" max="5378" width="1.6640625" customWidth="1"/>
    <col min="5379" max="5379" width="46" customWidth="1"/>
    <col min="5380" max="5380" width="1.6640625" customWidth="1"/>
    <col min="5381" max="5381" width="34" customWidth="1"/>
    <col min="5382" max="5382" width="1.6640625" customWidth="1"/>
    <col min="5383" max="5383" width="16" customWidth="1"/>
    <col min="5384" max="5384" width="1.6640625" customWidth="1"/>
    <col min="5385" max="5385" width="14" customWidth="1"/>
    <col min="5386" max="5386" width="1.6640625" customWidth="1"/>
    <col min="5387" max="5387" width="11.5546875" customWidth="1"/>
    <col min="5388" max="5388" width="2.88671875" customWidth="1"/>
    <col min="5389" max="5389" width="35.44140625" bestFit="1" customWidth="1"/>
    <col min="5390" max="5390" width="20.109375" customWidth="1"/>
    <col min="5633" max="5633" width="4.88671875" customWidth="1"/>
    <col min="5634" max="5634" width="1.6640625" customWidth="1"/>
    <col min="5635" max="5635" width="46" customWidth="1"/>
    <col min="5636" max="5636" width="1.6640625" customWidth="1"/>
    <col min="5637" max="5637" width="34" customWidth="1"/>
    <col min="5638" max="5638" width="1.6640625" customWidth="1"/>
    <col min="5639" max="5639" width="16" customWidth="1"/>
    <col min="5640" max="5640" width="1.6640625" customWidth="1"/>
    <col min="5641" max="5641" width="14" customWidth="1"/>
    <col min="5642" max="5642" width="1.6640625" customWidth="1"/>
    <col min="5643" max="5643" width="11.5546875" customWidth="1"/>
    <col min="5644" max="5644" width="2.88671875" customWidth="1"/>
    <col min="5645" max="5645" width="35.44140625" bestFit="1" customWidth="1"/>
    <col min="5646" max="5646" width="20.109375" customWidth="1"/>
    <col min="5889" max="5889" width="4.88671875" customWidth="1"/>
    <col min="5890" max="5890" width="1.6640625" customWidth="1"/>
    <col min="5891" max="5891" width="46" customWidth="1"/>
    <col min="5892" max="5892" width="1.6640625" customWidth="1"/>
    <col min="5893" max="5893" width="34" customWidth="1"/>
    <col min="5894" max="5894" width="1.6640625" customWidth="1"/>
    <col min="5895" max="5895" width="16" customWidth="1"/>
    <col min="5896" max="5896" width="1.6640625" customWidth="1"/>
    <col min="5897" max="5897" width="14" customWidth="1"/>
    <col min="5898" max="5898" width="1.6640625" customWidth="1"/>
    <col min="5899" max="5899" width="11.5546875" customWidth="1"/>
    <col min="5900" max="5900" width="2.88671875" customWidth="1"/>
    <col min="5901" max="5901" width="35.44140625" bestFit="1" customWidth="1"/>
    <col min="5902" max="5902" width="20.109375" customWidth="1"/>
    <col min="6145" max="6145" width="4.88671875" customWidth="1"/>
    <col min="6146" max="6146" width="1.6640625" customWidth="1"/>
    <col min="6147" max="6147" width="46" customWidth="1"/>
    <col min="6148" max="6148" width="1.6640625" customWidth="1"/>
    <col min="6149" max="6149" width="34" customWidth="1"/>
    <col min="6150" max="6150" width="1.6640625" customWidth="1"/>
    <col min="6151" max="6151" width="16" customWidth="1"/>
    <col min="6152" max="6152" width="1.6640625" customWidth="1"/>
    <col min="6153" max="6153" width="14" customWidth="1"/>
    <col min="6154" max="6154" width="1.6640625" customWidth="1"/>
    <col min="6155" max="6155" width="11.5546875" customWidth="1"/>
    <col min="6156" max="6156" width="2.88671875" customWidth="1"/>
    <col min="6157" max="6157" width="35.44140625" bestFit="1" customWidth="1"/>
    <col min="6158" max="6158" width="20.109375" customWidth="1"/>
    <col min="6401" max="6401" width="4.88671875" customWidth="1"/>
    <col min="6402" max="6402" width="1.6640625" customWidth="1"/>
    <col min="6403" max="6403" width="46" customWidth="1"/>
    <col min="6404" max="6404" width="1.6640625" customWidth="1"/>
    <col min="6405" max="6405" width="34" customWidth="1"/>
    <col min="6406" max="6406" width="1.6640625" customWidth="1"/>
    <col min="6407" max="6407" width="16" customWidth="1"/>
    <col min="6408" max="6408" width="1.6640625" customWidth="1"/>
    <col min="6409" max="6409" width="14" customWidth="1"/>
    <col min="6410" max="6410" width="1.6640625" customWidth="1"/>
    <col min="6411" max="6411" width="11.5546875" customWidth="1"/>
    <col min="6412" max="6412" width="2.88671875" customWidth="1"/>
    <col min="6413" max="6413" width="35.44140625" bestFit="1" customWidth="1"/>
    <col min="6414" max="6414" width="20.109375" customWidth="1"/>
    <col min="6657" max="6657" width="4.88671875" customWidth="1"/>
    <col min="6658" max="6658" width="1.6640625" customWidth="1"/>
    <col min="6659" max="6659" width="46" customWidth="1"/>
    <col min="6660" max="6660" width="1.6640625" customWidth="1"/>
    <col min="6661" max="6661" width="34" customWidth="1"/>
    <col min="6662" max="6662" width="1.6640625" customWidth="1"/>
    <col min="6663" max="6663" width="16" customWidth="1"/>
    <col min="6664" max="6664" width="1.6640625" customWidth="1"/>
    <col min="6665" max="6665" width="14" customWidth="1"/>
    <col min="6666" max="6666" width="1.6640625" customWidth="1"/>
    <col min="6667" max="6667" width="11.5546875" customWidth="1"/>
    <col min="6668" max="6668" width="2.88671875" customWidth="1"/>
    <col min="6669" max="6669" width="35.44140625" bestFit="1" customWidth="1"/>
    <col min="6670" max="6670" width="20.109375" customWidth="1"/>
    <col min="6913" max="6913" width="4.88671875" customWidth="1"/>
    <col min="6914" max="6914" width="1.6640625" customWidth="1"/>
    <col min="6915" max="6915" width="46" customWidth="1"/>
    <col min="6916" max="6916" width="1.6640625" customWidth="1"/>
    <col min="6917" max="6917" width="34" customWidth="1"/>
    <col min="6918" max="6918" width="1.6640625" customWidth="1"/>
    <col min="6919" max="6919" width="16" customWidth="1"/>
    <col min="6920" max="6920" width="1.6640625" customWidth="1"/>
    <col min="6921" max="6921" width="14" customWidth="1"/>
    <col min="6922" max="6922" width="1.6640625" customWidth="1"/>
    <col min="6923" max="6923" width="11.5546875" customWidth="1"/>
    <col min="6924" max="6924" width="2.88671875" customWidth="1"/>
    <col min="6925" max="6925" width="35.44140625" bestFit="1" customWidth="1"/>
    <col min="6926" max="6926" width="20.109375" customWidth="1"/>
    <col min="7169" max="7169" width="4.88671875" customWidth="1"/>
    <col min="7170" max="7170" width="1.6640625" customWidth="1"/>
    <col min="7171" max="7171" width="46" customWidth="1"/>
    <col min="7172" max="7172" width="1.6640625" customWidth="1"/>
    <col min="7173" max="7173" width="34" customWidth="1"/>
    <col min="7174" max="7174" width="1.6640625" customWidth="1"/>
    <col min="7175" max="7175" width="16" customWidth="1"/>
    <col min="7176" max="7176" width="1.6640625" customWidth="1"/>
    <col min="7177" max="7177" width="14" customWidth="1"/>
    <col min="7178" max="7178" width="1.6640625" customWidth="1"/>
    <col min="7179" max="7179" width="11.5546875" customWidth="1"/>
    <col min="7180" max="7180" width="2.88671875" customWidth="1"/>
    <col min="7181" max="7181" width="35.44140625" bestFit="1" customWidth="1"/>
    <col min="7182" max="7182" width="20.109375" customWidth="1"/>
    <col min="7425" max="7425" width="4.88671875" customWidth="1"/>
    <col min="7426" max="7426" width="1.6640625" customWidth="1"/>
    <col min="7427" max="7427" width="46" customWidth="1"/>
    <col min="7428" max="7428" width="1.6640625" customWidth="1"/>
    <col min="7429" max="7429" width="34" customWidth="1"/>
    <col min="7430" max="7430" width="1.6640625" customWidth="1"/>
    <col min="7431" max="7431" width="16" customWidth="1"/>
    <col min="7432" max="7432" width="1.6640625" customWidth="1"/>
    <col min="7433" max="7433" width="14" customWidth="1"/>
    <col min="7434" max="7434" width="1.6640625" customWidth="1"/>
    <col min="7435" max="7435" width="11.5546875" customWidth="1"/>
    <col min="7436" max="7436" width="2.88671875" customWidth="1"/>
    <col min="7437" max="7437" width="35.44140625" bestFit="1" customWidth="1"/>
    <col min="7438" max="7438" width="20.109375" customWidth="1"/>
    <col min="7681" max="7681" width="4.88671875" customWidth="1"/>
    <col min="7682" max="7682" width="1.6640625" customWidth="1"/>
    <col min="7683" max="7683" width="46" customWidth="1"/>
    <col min="7684" max="7684" width="1.6640625" customWidth="1"/>
    <col min="7685" max="7685" width="34" customWidth="1"/>
    <col min="7686" max="7686" width="1.6640625" customWidth="1"/>
    <col min="7687" max="7687" width="16" customWidth="1"/>
    <col min="7688" max="7688" width="1.6640625" customWidth="1"/>
    <col min="7689" max="7689" width="14" customWidth="1"/>
    <col min="7690" max="7690" width="1.6640625" customWidth="1"/>
    <col min="7691" max="7691" width="11.5546875" customWidth="1"/>
    <col min="7692" max="7692" width="2.88671875" customWidth="1"/>
    <col min="7693" max="7693" width="35.44140625" bestFit="1" customWidth="1"/>
    <col min="7694" max="7694" width="20.109375" customWidth="1"/>
    <col min="7937" max="7937" width="4.88671875" customWidth="1"/>
    <col min="7938" max="7938" width="1.6640625" customWidth="1"/>
    <col min="7939" max="7939" width="46" customWidth="1"/>
    <col min="7940" max="7940" width="1.6640625" customWidth="1"/>
    <col min="7941" max="7941" width="34" customWidth="1"/>
    <col min="7942" max="7942" width="1.6640625" customWidth="1"/>
    <col min="7943" max="7943" width="16" customWidth="1"/>
    <col min="7944" max="7944" width="1.6640625" customWidth="1"/>
    <col min="7945" max="7945" width="14" customWidth="1"/>
    <col min="7946" max="7946" width="1.6640625" customWidth="1"/>
    <col min="7947" max="7947" width="11.5546875" customWidth="1"/>
    <col min="7948" max="7948" width="2.88671875" customWidth="1"/>
    <col min="7949" max="7949" width="35.44140625" bestFit="1" customWidth="1"/>
    <col min="7950" max="7950" width="20.109375" customWidth="1"/>
    <col min="8193" max="8193" width="4.88671875" customWidth="1"/>
    <col min="8194" max="8194" width="1.6640625" customWidth="1"/>
    <col min="8195" max="8195" width="46" customWidth="1"/>
    <col min="8196" max="8196" width="1.6640625" customWidth="1"/>
    <col min="8197" max="8197" width="34" customWidth="1"/>
    <col min="8198" max="8198" width="1.6640625" customWidth="1"/>
    <col min="8199" max="8199" width="16" customWidth="1"/>
    <col min="8200" max="8200" width="1.6640625" customWidth="1"/>
    <col min="8201" max="8201" width="14" customWidth="1"/>
    <col min="8202" max="8202" width="1.6640625" customWidth="1"/>
    <col min="8203" max="8203" width="11.5546875" customWidth="1"/>
    <col min="8204" max="8204" width="2.88671875" customWidth="1"/>
    <col min="8205" max="8205" width="35.44140625" bestFit="1" customWidth="1"/>
    <col min="8206" max="8206" width="20.109375" customWidth="1"/>
    <col min="8449" max="8449" width="4.88671875" customWidth="1"/>
    <col min="8450" max="8450" width="1.6640625" customWidth="1"/>
    <col min="8451" max="8451" width="46" customWidth="1"/>
    <col min="8452" max="8452" width="1.6640625" customWidth="1"/>
    <col min="8453" max="8453" width="34" customWidth="1"/>
    <col min="8454" max="8454" width="1.6640625" customWidth="1"/>
    <col min="8455" max="8455" width="16" customWidth="1"/>
    <col min="8456" max="8456" width="1.6640625" customWidth="1"/>
    <col min="8457" max="8457" width="14" customWidth="1"/>
    <col min="8458" max="8458" width="1.6640625" customWidth="1"/>
    <col min="8459" max="8459" width="11.5546875" customWidth="1"/>
    <col min="8460" max="8460" width="2.88671875" customWidth="1"/>
    <col min="8461" max="8461" width="35.44140625" bestFit="1" customWidth="1"/>
    <col min="8462" max="8462" width="20.109375" customWidth="1"/>
    <col min="8705" max="8705" width="4.88671875" customWidth="1"/>
    <col min="8706" max="8706" width="1.6640625" customWidth="1"/>
    <col min="8707" max="8707" width="46" customWidth="1"/>
    <col min="8708" max="8708" width="1.6640625" customWidth="1"/>
    <col min="8709" max="8709" width="34" customWidth="1"/>
    <col min="8710" max="8710" width="1.6640625" customWidth="1"/>
    <col min="8711" max="8711" width="16" customWidth="1"/>
    <col min="8712" max="8712" width="1.6640625" customWidth="1"/>
    <col min="8713" max="8713" width="14" customWidth="1"/>
    <col min="8714" max="8714" width="1.6640625" customWidth="1"/>
    <col min="8715" max="8715" width="11.5546875" customWidth="1"/>
    <col min="8716" max="8716" width="2.88671875" customWidth="1"/>
    <col min="8717" max="8717" width="35.44140625" bestFit="1" customWidth="1"/>
    <col min="8718" max="8718" width="20.109375" customWidth="1"/>
    <col min="8961" max="8961" width="4.88671875" customWidth="1"/>
    <col min="8962" max="8962" width="1.6640625" customWidth="1"/>
    <col min="8963" max="8963" width="46" customWidth="1"/>
    <col min="8964" max="8964" width="1.6640625" customWidth="1"/>
    <col min="8965" max="8965" width="34" customWidth="1"/>
    <col min="8966" max="8966" width="1.6640625" customWidth="1"/>
    <col min="8967" max="8967" width="16" customWidth="1"/>
    <col min="8968" max="8968" width="1.6640625" customWidth="1"/>
    <col min="8969" max="8969" width="14" customWidth="1"/>
    <col min="8970" max="8970" width="1.6640625" customWidth="1"/>
    <col min="8971" max="8971" width="11.5546875" customWidth="1"/>
    <col min="8972" max="8972" width="2.88671875" customWidth="1"/>
    <col min="8973" max="8973" width="35.44140625" bestFit="1" customWidth="1"/>
    <col min="8974" max="8974" width="20.109375" customWidth="1"/>
    <col min="9217" max="9217" width="4.88671875" customWidth="1"/>
    <col min="9218" max="9218" width="1.6640625" customWidth="1"/>
    <col min="9219" max="9219" width="46" customWidth="1"/>
    <col min="9220" max="9220" width="1.6640625" customWidth="1"/>
    <col min="9221" max="9221" width="34" customWidth="1"/>
    <col min="9222" max="9222" width="1.6640625" customWidth="1"/>
    <col min="9223" max="9223" width="16" customWidth="1"/>
    <col min="9224" max="9224" width="1.6640625" customWidth="1"/>
    <col min="9225" max="9225" width="14" customWidth="1"/>
    <col min="9226" max="9226" width="1.6640625" customWidth="1"/>
    <col min="9227" max="9227" width="11.5546875" customWidth="1"/>
    <col min="9228" max="9228" width="2.88671875" customWidth="1"/>
    <col min="9229" max="9229" width="35.44140625" bestFit="1" customWidth="1"/>
    <col min="9230" max="9230" width="20.109375" customWidth="1"/>
    <col min="9473" max="9473" width="4.88671875" customWidth="1"/>
    <col min="9474" max="9474" width="1.6640625" customWidth="1"/>
    <col min="9475" max="9475" width="46" customWidth="1"/>
    <col min="9476" max="9476" width="1.6640625" customWidth="1"/>
    <col min="9477" max="9477" width="34" customWidth="1"/>
    <col min="9478" max="9478" width="1.6640625" customWidth="1"/>
    <col min="9479" max="9479" width="16" customWidth="1"/>
    <col min="9480" max="9480" width="1.6640625" customWidth="1"/>
    <col min="9481" max="9481" width="14" customWidth="1"/>
    <col min="9482" max="9482" width="1.6640625" customWidth="1"/>
    <col min="9483" max="9483" width="11.5546875" customWidth="1"/>
    <col min="9484" max="9484" width="2.88671875" customWidth="1"/>
    <col min="9485" max="9485" width="35.44140625" bestFit="1" customWidth="1"/>
    <col min="9486" max="9486" width="20.109375" customWidth="1"/>
    <col min="9729" max="9729" width="4.88671875" customWidth="1"/>
    <col min="9730" max="9730" width="1.6640625" customWidth="1"/>
    <col min="9731" max="9731" width="46" customWidth="1"/>
    <col min="9732" max="9732" width="1.6640625" customWidth="1"/>
    <col min="9733" max="9733" width="34" customWidth="1"/>
    <col min="9734" max="9734" width="1.6640625" customWidth="1"/>
    <col min="9735" max="9735" width="16" customWidth="1"/>
    <col min="9736" max="9736" width="1.6640625" customWidth="1"/>
    <col min="9737" max="9737" width="14" customWidth="1"/>
    <col min="9738" max="9738" width="1.6640625" customWidth="1"/>
    <col min="9739" max="9739" width="11.5546875" customWidth="1"/>
    <col min="9740" max="9740" width="2.88671875" customWidth="1"/>
    <col min="9741" max="9741" width="35.44140625" bestFit="1" customWidth="1"/>
    <col min="9742" max="9742" width="20.109375" customWidth="1"/>
    <col min="9985" max="9985" width="4.88671875" customWidth="1"/>
    <col min="9986" max="9986" width="1.6640625" customWidth="1"/>
    <col min="9987" max="9987" width="46" customWidth="1"/>
    <col min="9988" max="9988" width="1.6640625" customWidth="1"/>
    <col min="9989" max="9989" width="34" customWidth="1"/>
    <col min="9990" max="9990" width="1.6640625" customWidth="1"/>
    <col min="9991" max="9991" width="16" customWidth="1"/>
    <col min="9992" max="9992" width="1.6640625" customWidth="1"/>
    <col min="9993" max="9993" width="14" customWidth="1"/>
    <col min="9994" max="9994" width="1.6640625" customWidth="1"/>
    <col min="9995" max="9995" width="11.5546875" customWidth="1"/>
    <col min="9996" max="9996" width="2.88671875" customWidth="1"/>
    <col min="9997" max="9997" width="35.44140625" bestFit="1" customWidth="1"/>
    <col min="9998" max="9998" width="20.109375" customWidth="1"/>
    <col min="10241" max="10241" width="4.88671875" customWidth="1"/>
    <col min="10242" max="10242" width="1.6640625" customWidth="1"/>
    <col min="10243" max="10243" width="46" customWidth="1"/>
    <col min="10244" max="10244" width="1.6640625" customWidth="1"/>
    <col min="10245" max="10245" width="34" customWidth="1"/>
    <col min="10246" max="10246" width="1.6640625" customWidth="1"/>
    <col min="10247" max="10247" width="16" customWidth="1"/>
    <col min="10248" max="10248" width="1.6640625" customWidth="1"/>
    <col min="10249" max="10249" width="14" customWidth="1"/>
    <col min="10250" max="10250" width="1.6640625" customWidth="1"/>
    <col min="10251" max="10251" width="11.5546875" customWidth="1"/>
    <col min="10252" max="10252" width="2.88671875" customWidth="1"/>
    <col min="10253" max="10253" width="35.44140625" bestFit="1" customWidth="1"/>
    <col min="10254" max="10254" width="20.109375" customWidth="1"/>
    <col min="10497" max="10497" width="4.88671875" customWidth="1"/>
    <col min="10498" max="10498" width="1.6640625" customWidth="1"/>
    <col min="10499" max="10499" width="46" customWidth="1"/>
    <col min="10500" max="10500" width="1.6640625" customWidth="1"/>
    <col min="10501" max="10501" width="34" customWidth="1"/>
    <col min="10502" max="10502" width="1.6640625" customWidth="1"/>
    <col min="10503" max="10503" width="16" customWidth="1"/>
    <col min="10504" max="10504" width="1.6640625" customWidth="1"/>
    <col min="10505" max="10505" width="14" customWidth="1"/>
    <col min="10506" max="10506" width="1.6640625" customWidth="1"/>
    <col min="10507" max="10507" width="11.5546875" customWidth="1"/>
    <col min="10508" max="10508" width="2.88671875" customWidth="1"/>
    <col min="10509" max="10509" width="35.44140625" bestFit="1" customWidth="1"/>
    <col min="10510" max="10510" width="20.109375" customWidth="1"/>
    <col min="10753" max="10753" width="4.88671875" customWidth="1"/>
    <col min="10754" max="10754" width="1.6640625" customWidth="1"/>
    <col min="10755" max="10755" width="46" customWidth="1"/>
    <col min="10756" max="10756" width="1.6640625" customWidth="1"/>
    <col min="10757" max="10757" width="34" customWidth="1"/>
    <col min="10758" max="10758" width="1.6640625" customWidth="1"/>
    <col min="10759" max="10759" width="16" customWidth="1"/>
    <col min="10760" max="10760" width="1.6640625" customWidth="1"/>
    <col min="10761" max="10761" width="14" customWidth="1"/>
    <col min="10762" max="10762" width="1.6640625" customWidth="1"/>
    <col min="10763" max="10763" width="11.5546875" customWidth="1"/>
    <col min="10764" max="10764" width="2.88671875" customWidth="1"/>
    <col min="10765" max="10765" width="35.44140625" bestFit="1" customWidth="1"/>
    <col min="10766" max="10766" width="20.109375" customWidth="1"/>
    <col min="11009" max="11009" width="4.88671875" customWidth="1"/>
    <col min="11010" max="11010" width="1.6640625" customWidth="1"/>
    <col min="11011" max="11011" width="46" customWidth="1"/>
    <col min="11012" max="11012" width="1.6640625" customWidth="1"/>
    <col min="11013" max="11013" width="34" customWidth="1"/>
    <col min="11014" max="11014" width="1.6640625" customWidth="1"/>
    <col min="11015" max="11015" width="16" customWidth="1"/>
    <col min="11016" max="11016" width="1.6640625" customWidth="1"/>
    <col min="11017" max="11017" width="14" customWidth="1"/>
    <col min="11018" max="11018" width="1.6640625" customWidth="1"/>
    <col min="11019" max="11019" width="11.5546875" customWidth="1"/>
    <col min="11020" max="11020" width="2.88671875" customWidth="1"/>
    <col min="11021" max="11021" width="35.44140625" bestFit="1" customWidth="1"/>
    <col min="11022" max="11022" width="20.109375" customWidth="1"/>
    <col min="11265" max="11265" width="4.88671875" customWidth="1"/>
    <col min="11266" max="11266" width="1.6640625" customWidth="1"/>
    <col min="11267" max="11267" width="46" customWidth="1"/>
    <col min="11268" max="11268" width="1.6640625" customWidth="1"/>
    <col min="11269" max="11269" width="34" customWidth="1"/>
    <col min="11270" max="11270" width="1.6640625" customWidth="1"/>
    <col min="11271" max="11271" width="16" customWidth="1"/>
    <col min="11272" max="11272" width="1.6640625" customWidth="1"/>
    <col min="11273" max="11273" width="14" customWidth="1"/>
    <col min="11274" max="11274" width="1.6640625" customWidth="1"/>
    <col min="11275" max="11275" width="11.5546875" customWidth="1"/>
    <col min="11276" max="11276" width="2.88671875" customWidth="1"/>
    <col min="11277" max="11277" width="35.44140625" bestFit="1" customWidth="1"/>
    <col min="11278" max="11278" width="20.109375" customWidth="1"/>
    <col min="11521" max="11521" width="4.88671875" customWidth="1"/>
    <col min="11522" max="11522" width="1.6640625" customWidth="1"/>
    <col min="11523" max="11523" width="46" customWidth="1"/>
    <col min="11524" max="11524" width="1.6640625" customWidth="1"/>
    <col min="11525" max="11525" width="34" customWidth="1"/>
    <col min="11526" max="11526" width="1.6640625" customWidth="1"/>
    <col min="11527" max="11527" width="16" customWidth="1"/>
    <col min="11528" max="11528" width="1.6640625" customWidth="1"/>
    <col min="11529" max="11529" width="14" customWidth="1"/>
    <col min="11530" max="11530" width="1.6640625" customWidth="1"/>
    <col min="11531" max="11531" width="11.5546875" customWidth="1"/>
    <col min="11532" max="11532" width="2.88671875" customWidth="1"/>
    <col min="11533" max="11533" width="35.44140625" bestFit="1" customWidth="1"/>
    <col min="11534" max="11534" width="20.109375" customWidth="1"/>
    <col min="11777" max="11777" width="4.88671875" customWidth="1"/>
    <col min="11778" max="11778" width="1.6640625" customWidth="1"/>
    <col min="11779" max="11779" width="46" customWidth="1"/>
    <col min="11780" max="11780" width="1.6640625" customWidth="1"/>
    <col min="11781" max="11781" width="34" customWidth="1"/>
    <col min="11782" max="11782" width="1.6640625" customWidth="1"/>
    <col min="11783" max="11783" width="16" customWidth="1"/>
    <col min="11784" max="11784" width="1.6640625" customWidth="1"/>
    <col min="11785" max="11785" width="14" customWidth="1"/>
    <col min="11786" max="11786" width="1.6640625" customWidth="1"/>
    <col min="11787" max="11787" width="11.5546875" customWidth="1"/>
    <col min="11788" max="11788" width="2.88671875" customWidth="1"/>
    <col min="11789" max="11789" width="35.44140625" bestFit="1" customWidth="1"/>
    <col min="11790" max="11790" width="20.109375" customWidth="1"/>
    <col min="12033" max="12033" width="4.88671875" customWidth="1"/>
    <col min="12034" max="12034" width="1.6640625" customWidth="1"/>
    <col min="12035" max="12035" width="46" customWidth="1"/>
    <col min="12036" max="12036" width="1.6640625" customWidth="1"/>
    <col min="12037" max="12037" width="34" customWidth="1"/>
    <col min="12038" max="12038" width="1.6640625" customWidth="1"/>
    <col min="12039" max="12039" width="16" customWidth="1"/>
    <col min="12040" max="12040" width="1.6640625" customWidth="1"/>
    <col min="12041" max="12041" width="14" customWidth="1"/>
    <col min="12042" max="12042" width="1.6640625" customWidth="1"/>
    <col min="12043" max="12043" width="11.5546875" customWidth="1"/>
    <col min="12044" max="12044" width="2.88671875" customWidth="1"/>
    <col min="12045" max="12045" width="35.44140625" bestFit="1" customWidth="1"/>
    <col min="12046" max="12046" width="20.109375" customWidth="1"/>
    <col min="12289" max="12289" width="4.88671875" customWidth="1"/>
    <col min="12290" max="12290" width="1.6640625" customWidth="1"/>
    <col min="12291" max="12291" width="46" customWidth="1"/>
    <col min="12292" max="12292" width="1.6640625" customWidth="1"/>
    <col min="12293" max="12293" width="34" customWidth="1"/>
    <col min="12294" max="12294" width="1.6640625" customWidth="1"/>
    <col min="12295" max="12295" width="16" customWidth="1"/>
    <col min="12296" max="12296" width="1.6640625" customWidth="1"/>
    <col min="12297" max="12297" width="14" customWidth="1"/>
    <col min="12298" max="12298" width="1.6640625" customWidth="1"/>
    <col min="12299" max="12299" width="11.5546875" customWidth="1"/>
    <col min="12300" max="12300" width="2.88671875" customWidth="1"/>
    <col min="12301" max="12301" width="35.44140625" bestFit="1" customWidth="1"/>
    <col min="12302" max="12302" width="20.109375" customWidth="1"/>
    <col min="12545" max="12545" width="4.88671875" customWidth="1"/>
    <col min="12546" max="12546" width="1.6640625" customWidth="1"/>
    <col min="12547" max="12547" width="46" customWidth="1"/>
    <col min="12548" max="12548" width="1.6640625" customWidth="1"/>
    <col min="12549" max="12549" width="34" customWidth="1"/>
    <col min="12550" max="12550" width="1.6640625" customWidth="1"/>
    <col min="12551" max="12551" width="16" customWidth="1"/>
    <col min="12552" max="12552" width="1.6640625" customWidth="1"/>
    <col min="12553" max="12553" width="14" customWidth="1"/>
    <col min="12554" max="12554" width="1.6640625" customWidth="1"/>
    <col min="12555" max="12555" width="11.5546875" customWidth="1"/>
    <col min="12556" max="12556" width="2.88671875" customWidth="1"/>
    <col min="12557" max="12557" width="35.44140625" bestFit="1" customWidth="1"/>
    <col min="12558" max="12558" width="20.109375" customWidth="1"/>
    <col min="12801" max="12801" width="4.88671875" customWidth="1"/>
    <col min="12802" max="12802" width="1.6640625" customWidth="1"/>
    <col min="12803" max="12803" width="46" customWidth="1"/>
    <col min="12804" max="12804" width="1.6640625" customWidth="1"/>
    <col min="12805" max="12805" width="34" customWidth="1"/>
    <col min="12806" max="12806" width="1.6640625" customWidth="1"/>
    <col min="12807" max="12807" width="16" customWidth="1"/>
    <col min="12808" max="12808" width="1.6640625" customWidth="1"/>
    <col min="12809" max="12809" width="14" customWidth="1"/>
    <col min="12810" max="12810" width="1.6640625" customWidth="1"/>
    <col min="12811" max="12811" width="11.5546875" customWidth="1"/>
    <col min="12812" max="12812" width="2.88671875" customWidth="1"/>
    <col min="12813" max="12813" width="35.44140625" bestFit="1" customWidth="1"/>
    <col min="12814" max="12814" width="20.109375" customWidth="1"/>
    <col min="13057" max="13057" width="4.88671875" customWidth="1"/>
    <col min="13058" max="13058" width="1.6640625" customWidth="1"/>
    <col min="13059" max="13059" width="46" customWidth="1"/>
    <col min="13060" max="13060" width="1.6640625" customWidth="1"/>
    <col min="13061" max="13061" width="34" customWidth="1"/>
    <col min="13062" max="13062" width="1.6640625" customWidth="1"/>
    <col min="13063" max="13063" width="16" customWidth="1"/>
    <col min="13064" max="13064" width="1.6640625" customWidth="1"/>
    <col min="13065" max="13065" width="14" customWidth="1"/>
    <col min="13066" max="13066" width="1.6640625" customWidth="1"/>
    <col min="13067" max="13067" width="11.5546875" customWidth="1"/>
    <col min="13068" max="13068" width="2.88671875" customWidth="1"/>
    <col min="13069" max="13069" width="35.44140625" bestFit="1" customWidth="1"/>
    <col min="13070" max="13070" width="20.109375" customWidth="1"/>
    <col min="13313" max="13313" width="4.88671875" customWidth="1"/>
    <col min="13314" max="13314" width="1.6640625" customWidth="1"/>
    <col min="13315" max="13315" width="46" customWidth="1"/>
    <col min="13316" max="13316" width="1.6640625" customWidth="1"/>
    <col min="13317" max="13317" width="34" customWidth="1"/>
    <col min="13318" max="13318" width="1.6640625" customWidth="1"/>
    <col min="13319" max="13319" width="16" customWidth="1"/>
    <col min="13320" max="13320" width="1.6640625" customWidth="1"/>
    <col min="13321" max="13321" width="14" customWidth="1"/>
    <col min="13322" max="13322" width="1.6640625" customWidth="1"/>
    <col min="13323" max="13323" width="11.5546875" customWidth="1"/>
    <col min="13324" max="13324" width="2.88671875" customWidth="1"/>
    <col min="13325" max="13325" width="35.44140625" bestFit="1" customWidth="1"/>
    <col min="13326" max="13326" width="20.109375" customWidth="1"/>
    <col min="13569" max="13569" width="4.88671875" customWidth="1"/>
    <col min="13570" max="13570" width="1.6640625" customWidth="1"/>
    <col min="13571" max="13571" width="46" customWidth="1"/>
    <col min="13572" max="13572" width="1.6640625" customWidth="1"/>
    <col min="13573" max="13573" width="34" customWidth="1"/>
    <col min="13574" max="13574" width="1.6640625" customWidth="1"/>
    <col min="13575" max="13575" width="16" customWidth="1"/>
    <col min="13576" max="13576" width="1.6640625" customWidth="1"/>
    <col min="13577" max="13577" width="14" customWidth="1"/>
    <col min="13578" max="13578" width="1.6640625" customWidth="1"/>
    <col min="13579" max="13579" width="11.5546875" customWidth="1"/>
    <col min="13580" max="13580" width="2.88671875" customWidth="1"/>
    <col min="13581" max="13581" width="35.44140625" bestFit="1" customWidth="1"/>
    <col min="13582" max="13582" width="20.109375" customWidth="1"/>
    <col min="13825" max="13825" width="4.88671875" customWidth="1"/>
    <col min="13826" max="13826" width="1.6640625" customWidth="1"/>
    <col min="13827" max="13827" width="46" customWidth="1"/>
    <col min="13828" max="13828" width="1.6640625" customWidth="1"/>
    <col min="13829" max="13829" width="34" customWidth="1"/>
    <col min="13830" max="13830" width="1.6640625" customWidth="1"/>
    <col min="13831" max="13831" width="16" customWidth="1"/>
    <col min="13832" max="13832" width="1.6640625" customWidth="1"/>
    <col min="13833" max="13833" width="14" customWidth="1"/>
    <col min="13834" max="13834" width="1.6640625" customWidth="1"/>
    <col min="13835" max="13835" width="11.5546875" customWidth="1"/>
    <col min="13836" max="13836" width="2.88671875" customWidth="1"/>
    <col min="13837" max="13837" width="35.44140625" bestFit="1" customWidth="1"/>
    <col min="13838" max="13838" width="20.109375" customWidth="1"/>
    <col min="14081" max="14081" width="4.88671875" customWidth="1"/>
    <col min="14082" max="14082" width="1.6640625" customWidth="1"/>
    <col min="14083" max="14083" width="46" customWidth="1"/>
    <col min="14084" max="14084" width="1.6640625" customWidth="1"/>
    <col min="14085" max="14085" width="34" customWidth="1"/>
    <col min="14086" max="14086" width="1.6640625" customWidth="1"/>
    <col min="14087" max="14087" width="16" customWidth="1"/>
    <col min="14088" max="14088" width="1.6640625" customWidth="1"/>
    <col min="14089" max="14089" width="14" customWidth="1"/>
    <col min="14090" max="14090" width="1.6640625" customWidth="1"/>
    <col min="14091" max="14091" width="11.5546875" customWidth="1"/>
    <col min="14092" max="14092" width="2.88671875" customWidth="1"/>
    <col min="14093" max="14093" width="35.44140625" bestFit="1" customWidth="1"/>
    <col min="14094" max="14094" width="20.109375" customWidth="1"/>
    <col min="14337" max="14337" width="4.88671875" customWidth="1"/>
    <col min="14338" max="14338" width="1.6640625" customWidth="1"/>
    <col min="14339" max="14339" width="46" customWidth="1"/>
    <col min="14340" max="14340" width="1.6640625" customWidth="1"/>
    <col min="14341" max="14341" width="34" customWidth="1"/>
    <col min="14342" max="14342" width="1.6640625" customWidth="1"/>
    <col min="14343" max="14343" width="16" customWidth="1"/>
    <col min="14344" max="14344" width="1.6640625" customWidth="1"/>
    <col min="14345" max="14345" width="14" customWidth="1"/>
    <col min="14346" max="14346" width="1.6640625" customWidth="1"/>
    <col min="14347" max="14347" width="11.5546875" customWidth="1"/>
    <col min="14348" max="14348" width="2.88671875" customWidth="1"/>
    <col min="14349" max="14349" width="35.44140625" bestFit="1" customWidth="1"/>
    <col min="14350" max="14350" width="20.109375" customWidth="1"/>
    <col min="14593" max="14593" width="4.88671875" customWidth="1"/>
    <col min="14594" max="14594" width="1.6640625" customWidth="1"/>
    <col min="14595" max="14595" width="46" customWidth="1"/>
    <col min="14596" max="14596" width="1.6640625" customWidth="1"/>
    <col min="14597" max="14597" width="34" customWidth="1"/>
    <col min="14598" max="14598" width="1.6640625" customWidth="1"/>
    <col min="14599" max="14599" width="16" customWidth="1"/>
    <col min="14600" max="14600" width="1.6640625" customWidth="1"/>
    <col min="14601" max="14601" width="14" customWidth="1"/>
    <col min="14602" max="14602" width="1.6640625" customWidth="1"/>
    <col min="14603" max="14603" width="11.5546875" customWidth="1"/>
    <col min="14604" max="14604" width="2.88671875" customWidth="1"/>
    <col min="14605" max="14605" width="35.44140625" bestFit="1" customWidth="1"/>
    <col min="14606" max="14606" width="20.109375" customWidth="1"/>
    <col min="14849" max="14849" width="4.88671875" customWidth="1"/>
    <col min="14850" max="14850" width="1.6640625" customWidth="1"/>
    <col min="14851" max="14851" width="46" customWidth="1"/>
    <col min="14852" max="14852" width="1.6640625" customWidth="1"/>
    <col min="14853" max="14853" width="34" customWidth="1"/>
    <col min="14854" max="14854" width="1.6640625" customWidth="1"/>
    <col min="14855" max="14855" width="16" customWidth="1"/>
    <col min="14856" max="14856" width="1.6640625" customWidth="1"/>
    <col min="14857" max="14857" width="14" customWidth="1"/>
    <col min="14858" max="14858" width="1.6640625" customWidth="1"/>
    <col min="14859" max="14859" width="11.5546875" customWidth="1"/>
    <col min="14860" max="14860" width="2.88671875" customWidth="1"/>
    <col min="14861" max="14861" width="35.44140625" bestFit="1" customWidth="1"/>
    <col min="14862" max="14862" width="20.109375" customWidth="1"/>
    <col min="15105" max="15105" width="4.88671875" customWidth="1"/>
    <col min="15106" max="15106" width="1.6640625" customWidth="1"/>
    <col min="15107" max="15107" width="46" customWidth="1"/>
    <col min="15108" max="15108" width="1.6640625" customWidth="1"/>
    <col min="15109" max="15109" width="34" customWidth="1"/>
    <col min="15110" max="15110" width="1.6640625" customWidth="1"/>
    <col min="15111" max="15111" width="16" customWidth="1"/>
    <col min="15112" max="15112" width="1.6640625" customWidth="1"/>
    <col min="15113" max="15113" width="14" customWidth="1"/>
    <col min="15114" max="15114" width="1.6640625" customWidth="1"/>
    <col min="15115" max="15115" width="11.5546875" customWidth="1"/>
    <col min="15116" max="15116" width="2.88671875" customWidth="1"/>
    <col min="15117" max="15117" width="35.44140625" bestFit="1" customWidth="1"/>
    <col min="15118" max="15118" width="20.109375" customWidth="1"/>
    <col min="15361" max="15361" width="4.88671875" customWidth="1"/>
    <col min="15362" max="15362" width="1.6640625" customWidth="1"/>
    <col min="15363" max="15363" width="46" customWidth="1"/>
    <col min="15364" max="15364" width="1.6640625" customWidth="1"/>
    <col min="15365" max="15365" width="34" customWidth="1"/>
    <col min="15366" max="15366" width="1.6640625" customWidth="1"/>
    <col min="15367" max="15367" width="16" customWidth="1"/>
    <col min="15368" max="15368" width="1.6640625" customWidth="1"/>
    <col min="15369" max="15369" width="14" customWidth="1"/>
    <col min="15370" max="15370" width="1.6640625" customWidth="1"/>
    <col min="15371" max="15371" width="11.5546875" customWidth="1"/>
    <col min="15372" max="15372" width="2.88671875" customWidth="1"/>
    <col min="15373" max="15373" width="35.44140625" bestFit="1" customWidth="1"/>
    <col min="15374" max="15374" width="20.109375" customWidth="1"/>
    <col min="15617" max="15617" width="4.88671875" customWidth="1"/>
    <col min="15618" max="15618" width="1.6640625" customWidth="1"/>
    <col min="15619" max="15619" width="46" customWidth="1"/>
    <col min="15620" max="15620" width="1.6640625" customWidth="1"/>
    <col min="15621" max="15621" width="34" customWidth="1"/>
    <col min="15622" max="15622" width="1.6640625" customWidth="1"/>
    <col min="15623" max="15623" width="16" customWidth="1"/>
    <col min="15624" max="15624" width="1.6640625" customWidth="1"/>
    <col min="15625" max="15625" width="14" customWidth="1"/>
    <col min="15626" max="15626" width="1.6640625" customWidth="1"/>
    <col min="15627" max="15627" width="11.5546875" customWidth="1"/>
    <col min="15628" max="15628" width="2.88671875" customWidth="1"/>
    <col min="15629" max="15629" width="35.44140625" bestFit="1" customWidth="1"/>
    <col min="15630" max="15630" width="20.109375" customWidth="1"/>
    <col min="15873" max="15873" width="4.88671875" customWidth="1"/>
    <col min="15874" max="15874" width="1.6640625" customWidth="1"/>
    <col min="15875" max="15875" width="46" customWidth="1"/>
    <col min="15876" max="15876" width="1.6640625" customWidth="1"/>
    <col min="15877" max="15877" width="34" customWidth="1"/>
    <col min="15878" max="15878" width="1.6640625" customWidth="1"/>
    <col min="15879" max="15879" width="16" customWidth="1"/>
    <col min="15880" max="15880" width="1.6640625" customWidth="1"/>
    <col min="15881" max="15881" width="14" customWidth="1"/>
    <col min="15882" max="15882" width="1.6640625" customWidth="1"/>
    <col min="15883" max="15883" width="11.5546875" customWidth="1"/>
    <col min="15884" max="15884" width="2.88671875" customWidth="1"/>
    <col min="15885" max="15885" width="35.44140625" bestFit="1" customWidth="1"/>
    <col min="15886" max="15886" width="20.109375" customWidth="1"/>
    <col min="16129" max="16129" width="4.88671875" customWidth="1"/>
    <col min="16130" max="16130" width="1.6640625" customWidth="1"/>
    <col min="16131" max="16131" width="46" customWidth="1"/>
    <col min="16132" max="16132" width="1.6640625" customWidth="1"/>
    <col min="16133" max="16133" width="34" customWidth="1"/>
    <col min="16134" max="16134" width="1.6640625" customWidth="1"/>
    <col min="16135" max="16135" width="16" customWidth="1"/>
    <col min="16136" max="16136" width="1.6640625" customWidth="1"/>
    <col min="16137" max="16137" width="14" customWidth="1"/>
    <col min="16138" max="16138" width="1.6640625" customWidth="1"/>
    <col min="16139" max="16139" width="11.5546875" customWidth="1"/>
    <col min="16140" max="16140" width="2.88671875" customWidth="1"/>
    <col min="16141" max="16141" width="35.44140625" bestFit="1" customWidth="1"/>
    <col min="16142" max="16142" width="20.109375" customWidth="1"/>
  </cols>
  <sheetData>
    <row r="1" spans="1:20" x14ac:dyDescent="0.25">
      <c r="A1" s="846" t="s">
        <v>2426</v>
      </c>
      <c r="B1" s="846"/>
      <c r="C1" s="847"/>
      <c r="D1" s="847"/>
      <c r="G1" s="847"/>
      <c r="H1" s="847"/>
      <c r="I1" s="847"/>
      <c r="J1" s="847"/>
      <c r="K1" s="847"/>
      <c r="L1" s="847"/>
      <c r="M1" s="847"/>
      <c r="N1" s="14"/>
      <c r="O1" s="14"/>
      <c r="P1" s="14"/>
      <c r="Q1" s="14"/>
      <c r="R1" s="14"/>
      <c r="S1" s="14"/>
      <c r="T1" s="14"/>
    </row>
    <row r="2" spans="1:20" x14ac:dyDescent="0.25">
      <c r="A2" s="14"/>
      <c r="B2" s="14"/>
      <c r="C2" s="553"/>
      <c r="D2" s="14"/>
      <c r="E2" s="14"/>
      <c r="F2" s="14"/>
      <c r="G2" s="14"/>
      <c r="H2" s="14"/>
      <c r="I2" s="14"/>
      <c r="J2" s="14"/>
      <c r="K2" s="14"/>
      <c r="L2" s="14"/>
      <c r="M2" s="14"/>
      <c r="N2" s="14"/>
      <c r="O2" s="14"/>
      <c r="P2" s="14"/>
      <c r="Q2" s="14"/>
      <c r="R2" s="14"/>
      <c r="S2" s="14"/>
      <c r="T2" s="14"/>
    </row>
    <row r="3" spans="1:20" x14ac:dyDescent="0.25">
      <c r="A3" s="848" t="s">
        <v>360</v>
      </c>
      <c r="B3" s="848"/>
      <c r="C3" s="847"/>
      <c r="D3" s="847"/>
      <c r="E3" s="847"/>
      <c r="F3" s="847"/>
      <c r="G3" s="847"/>
      <c r="H3" s="847"/>
      <c r="I3" s="847"/>
      <c r="J3" s="847"/>
      <c r="K3" s="847"/>
      <c r="L3" s="847"/>
      <c r="M3" s="847"/>
      <c r="N3" s="14"/>
      <c r="O3" s="14"/>
      <c r="P3" s="14"/>
      <c r="Q3" s="14"/>
      <c r="R3" s="14"/>
      <c r="S3" s="14"/>
      <c r="T3" s="14"/>
    </row>
    <row r="4" spans="1:20" x14ac:dyDescent="0.25">
      <c r="A4" s="849">
        <v>1</v>
      </c>
      <c r="B4" s="849"/>
      <c r="C4" s="705"/>
      <c r="D4" s="705"/>
      <c r="E4" s="705"/>
      <c r="F4" s="705"/>
      <c r="G4" s="847"/>
      <c r="H4" s="847"/>
      <c r="I4" s="847"/>
      <c r="J4" s="847"/>
      <c r="K4" s="847"/>
      <c r="L4" s="847"/>
      <c r="M4" s="847"/>
      <c r="N4" s="14"/>
      <c r="O4" s="14"/>
      <c r="P4" s="14"/>
      <c r="Q4" s="14"/>
      <c r="R4" s="14"/>
      <c r="S4" s="14"/>
      <c r="T4" s="14"/>
    </row>
    <row r="5" spans="1:20" x14ac:dyDescent="0.25">
      <c r="A5" s="696">
        <v>2</v>
      </c>
      <c r="B5" s="696"/>
      <c r="C5" s="705"/>
      <c r="D5" s="705"/>
      <c r="E5" s="705"/>
      <c r="F5" s="705"/>
      <c r="G5" s="847"/>
      <c r="H5" s="847"/>
      <c r="I5" s="847"/>
      <c r="J5" s="847"/>
      <c r="K5" s="847"/>
      <c r="L5" s="847"/>
      <c r="M5" s="847"/>
      <c r="N5" s="14"/>
      <c r="O5" s="14"/>
    </row>
    <row r="6" spans="1:20" x14ac:dyDescent="0.25">
      <c r="A6" s="696">
        <v>3</v>
      </c>
      <c r="B6" s="696"/>
      <c r="C6" s="697"/>
      <c r="D6" s="697"/>
      <c r="E6" s="697"/>
      <c r="F6" s="697"/>
      <c r="G6" s="694"/>
      <c r="H6" s="694"/>
      <c r="I6" s="694"/>
      <c r="J6" s="694"/>
      <c r="K6" s="696" t="s">
        <v>73</v>
      </c>
      <c r="L6" s="694"/>
      <c r="M6" s="694"/>
    </row>
    <row r="7" spans="1:20" x14ac:dyDescent="0.25">
      <c r="A7" s="696">
        <v>4</v>
      </c>
      <c r="B7" s="696"/>
      <c r="C7" s="694"/>
      <c r="D7" s="694"/>
      <c r="E7" s="850" t="s">
        <v>224</v>
      </c>
      <c r="F7" s="851"/>
      <c r="G7" s="694"/>
      <c r="H7" s="694"/>
      <c r="I7" s="694"/>
      <c r="J7" s="694"/>
      <c r="K7" s="852" t="s">
        <v>194</v>
      </c>
      <c r="L7" s="694"/>
      <c r="M7" s="699"/>
    </row>
    <row r="8" spans="1:20" x14ac:dyDescent="0.25">
      <c r="A8" s="696">
        <v>5</v>
      </c>
      <c r="B8" s="696"/>
      <c r="C8" s="697"/>
      <c r="D8" s="697"/>
      <c r="E8" s="697"/>
      <c r="F8" s="697"/>
      <c r="G8" s="694"/>
      <c r="H8" s="694"/>
      <c r="I8" s="694"/>
      <c r="J8" s="694"/>
      <c r="K8" s="700"/>
      <c r="L8" s="694"/>
      <c r="M8" s="697"/>
    </row>
    <row r="9" spans="1:20" x14ac:dyDescent="0.25">
      <c r="A9" s="696">
        <v>6</v>
      </c>
      <c r="B9" s="696"/>
      <c r="C9" s="846" t="s">
        <v>2460</v>
      </c>
      <c r="D9" s="705"/>
      <c r="E9" s="705" t="s">
        <v>2461</v>
      </c>
      <c r="F9" s="705"/>
      <c r="G9" s="847"/>
      <c r="H9" s="847"/>
      <c r="I9" s="847"/>
      <c r="J9" s="847"/>
      <c r="K9" s="700" t="e">
        <f>I20</f>
        <v>#DIV/0!</v>
      </c>
      <c r="L9" s="694"/>
      <c r="M9" s="697"/>
      <c r="N9" s="853"/>
    </row>
    <row r="10" spans="1:20" ht="13.8" thickBot="1" x14ac:dyDescent="0.3">
      <c r="A10" s="696">
        <v>7</v>
      </c>
      <c r="B10" s="696"/>
      <c r="C10" s="846" t="s">
        <v>2459</v>
      </c>
      <c r="D10" s="848"/>
      <c r="E10" s="705" t="s">
        <v>2427</v>
      </c>
      <c r="F10" s="705"/>
      <c r="G10" s="847"/>
      <c r="H10" s="847"/>
      <c r="I10" s="847"/>
      <c r="J10" s="847"/>
      <c r="K10" s="854" t="e">
        <f>+K20</f>
        <v>#DIV/0!</v>
      </c>
      <c r="L10" s="694"/>
      <c r="M10" s="697"/>
    </row>
    <row r="11" spans="1:20" ht="13.8" thickTop="1" x14ac:dyDescent="0.25">
      <c r="A11" s="696">
        <v>8</v>
      </c>
      <c r="B11" s="696"/>
      <c r="C11" s="705"/>
      <c r="D11" s="705"/>
      <c r="E11" s="705"/>
      <c r="F11" s="705"/>
      <c r="G11" s="847"/>
      <c r="H11" s="847"/>
      <c r="I11" s="847"/>
      <c r="J11" s="847"/>
      <c r="K11" s="700"/>
      <c r="L11" s="694"/>
      <c r="M11" s="694"/>
    </row>
    <row r="12" spans="1:20" x14ac:dyDescent="0.25">
      <c r="A12" s="696">
        <v>9</v>
      </c>
      <c r="B12" s="696"/>
      <c r="C12" s="847"/>
      <c r="D12" s="847"/>
      <c r="E12" s="847"/>
      <c r="F12" s="847"/>
      <c r="G12" s="855" t="s">
        <v>394</v>
      </c>
      <c r="H12" s="855"/>
      <c r="I12" s="855" t="s">
        <v>378</v>
      </c>
      <c r="J12" s="855"/>
      <c r="K12" s="855" t="s">
        <v>379</v>
      </c>
      <c r="L12" s="694"/>
      <c r="M12" s="694"/>
    </row>
    <row r="13" spans="1:20" x14ac:dyDescent="0.25">
      <c r="A13" s="696">
        <v>10</v>
      </c>
      <c r="B13" s="696"/>
      <c r="C13" s="847"/>
      <c r="D13" s="847"/>
      <c r="E13" s="847"/>
      <c r="F13" s="847"/>
      <c r="G13" s="849" t="s">
        <v>73</v>
      </c>
      <c r="H13" s="849"/>
      <c r="I13" s="849" t="s">
        <v>73</v>
      </c>
      <c r="J13" s="851"/>
      <c r="K13" s="849" t="s">
        <v>73</v>
      </c>
      <c r="L13" s="694"/>
      <c r="M13" s="694"/>
    </row>
    <row r="14" spans="1:20" ht="14.4" x14ac:dyDescent="0.3">
      <c r="A14" s="696">
        <v>11</v>
      </c>
      <c r="B14" s="696"/>
      <c r="C14" s="849"/>
      <c r="D14" s="849"/>
      <c r="E14" s="849"/>
      <c r="F14" s="849"/>
      <c r="G14" s="849" t="s">
        <v>423</v>
      </c>
      <c r="H14" s="849"/>
      <c r="I14" s="849" t="s">
        <v>330</v>
      </c>
      <c r="J14" s="851"/>
      <c r="K14" s="856" t="s">
        <v>255</v>
      </c>
      <c r="L14" s="694"/>
      <c r="M14" s="694"/>
    </row>
    <row r="15" spans="1:20" x14ac:dyDescent="0.25">
      <c r="A15" s="696">
        <v>12</v>
      </c>
      <c r="B15" s="696"/>
      <c r="C15" s="696" t="s">
        <v>458</v>
      </c>
      <c r="D15" s="696"/>
      <c r="E15" s="696"/>
      <c r="F15" s="696"/>
      <c r="G15" s="696" t="s">
        <v>2428</v>
      </c>
      <c r="H15" s="851"/>
      <c r="I15" s="696" t="s">
        <v>2428</v>
      </c>
      <c r="J15" s="851"/>
      <c r="K15" s="696" t="s">
        <v>2428</v>
      </c>
      <c r="L15" s="694"/>
      <c r="M15" s="694"/>
    </row>
    <row r="16" spans="1:20" x14ac:dyDescent="0.25">
      <c r="A16" s="696">
        <v>13</v>
      </c>
      <c r="B16" s="696"/>
      <c r="C16" s="698" t="s">
        <v>2425</v>
      </c>
      <c r="D16" s="698"/>
      <c r="E16" s="698"/>
      <c r="F16" s="698"/>
      <c r="G16" s="852" t="s">
        <v>2429</v>
      </c>
      <c r="H16" s="851"/>
      <c r="I16" s="852" t="s">
        <v>2429</v>
      </c>
      <c r="J16" s="851"/>
      <c r="K16" s="852" t="s">
        <v>2429</v>
      </c>
      <c r="L16" s="694"/>
      <c r="M16" s="694"/>
    </row>
    <row r="17" spans="1:14" x14ac:dyDescent="0.25">
      <c r="A17" s="696">
        <v>14</v>
      </c>
      <c r="B17" s="696"/>
      <c r="C17" s="705" t="s">
        <v>2430</v>
      </c>
      <c r="D17" s="705"/>
      <c r="E17" s="551" t="s">
        <v>2431</v>
      </c>
      <c r="F17" s="551"/>
      <c r="G17" s="700" t="e">
        <f>+G29</f>
        <v>#DIV/0!</v>
      </c>
      <c r="H17" s="857"/>
      <c r="I17" s="700" t="e">
        <f>+I29</f>
        <v>#DIV/0!</v>
      </c>
      <c r="J17" s="857"/>
      <c r="K17" s="700" t="e">
        <f>(+G17+I17)/2</f>
        <v>#DIV/0!</v>
      </c>
      <c r="L17" s="694"/>
      <c r="M17" s="694"/>
      <c r="N17" s="694"/>
    </row>
    <row r="18" spans="1:14" x14ac:dyDescent="0.25">
      <c r="A18" s="696">
        <v>15</v>
      </c>
      <c r="B18" s="696"/>
      <c r="C18" s="705" t="s">
        <v>2432</v>
      </c>
      <c r="D18" s="705"/>
      <c r="E18" s="705" t="s">
        <v>2433</v>
      </c>
      <c r="F18" s="705"/>
      <c r="G18" s="700" t="e">
        <f>+G36</f>
        <v>#DIV/0!</v>
      </c>
      <c r="H18" s="857"/>
      <c r="I18" s="700" t="e">
        <f>+I36</f>
        <v>#DIV/0!</v>
      </c>
      <c r="J18" s="857"/>
      <c r="K18" s="700" t="e">
        <f>(+G18+I18)/2</f>
        <v>#DIV/0!</v>
      </c>
      <c r="L18" s="694"/>
      <c r="M18" s="694"/>
      <c r="N18" s="694"/>
    </row>
    <row r="19" spans="1:14" x14ac:dyDescent="0.25">
      <c r="A19" s="696">
        <v>16</v>
      </c>
      <c r="B19" s="696"/>
      <c r="C19" s="705" t="s">
        <v>2434</v>
      </c>
      <c r="D19" s="705"/>
      <c r="E19" s="705" t="s">
        <v>2435</v>
      </c>
      <c r="F19" s="705"/>
      <c r="G19" s="858" t="e">
        <f>+G45</f>
        <v>#DIV/0!</v>
      </c>
      <c r="H19" s="859"/>
      <c r="I19" s="858" t="e">
        <f>+I45</f>
        <v>#DIV/0!</v>
      </c>
      <c r="J19" s="859"/>
      <c r="K19" s="700" t="e">
        <f>(+G19+I19)/2</f>
        <v>#DIV/0!</v>
      </c>
      <c r="L19" s="694"/>
      <c r="M19" s="694"/>
    </row>
    <row r="20" spans="1:14" ht="13.8" thickBot="1" x14ac:dyDescent="0.3">
      <c r="A20" s="696">
        <v>17</v>
      </c>
      <c r="B20" s="696"/>
      <c r="C20" s="697" t="s">
        <v>216</v>
      </c>
      <c r="D20" s="697"/>
      <c r="E20" s="697" t="s">
        <v>2436</v>
      </c>
      <c r="F20" s="697"/>
      <c r="G20" s="860" t="e">
        <f>+G17+G18+G19</f>
        <v>#DIV/0!</v>
      </c>
      <c r="H20" s="857"/>
      <c r="I20" s="860" t="e">
        <f>+I17+I18+I19</f>
        <v>#DIV/0!</v>
      </c>
      <c r="J20" s="857"/>
      <c r="K20" s="860" t="e">
        <f>+K17+K18+K19</f>
        <v>#DIV/0!</v>
      </c>
      <c r="L20" s="694"/>
      <c r="M20" s="697"/>
      <c r="N20" s="551" t="s">
        <v>359</v>
      </c>
    </row>
    <row r="21" spans="1:14" ht="13.8" thickTop="1" x14ac:dyDescent="0.25">
      <c r="A21" s="696">
        <v>18</v>
      </c>
      <c r="B21" s="696"/>
      <c r="C21" s="694"/>
      <c r="D21" s="694"/>
      <c r="E21" s="694"/>
      <c r="F21" s="694"/>
      <c r="G21" s="694"/>
      <c r="H21" s="861"/>
      <c r="I21" s="694"/>
      <c r="J21" s="861"/>
      <c r="K21" s="694"/>
      <c r="L21" s="694"/>
      <c r="M21" s="694"/>
    </row>
    <row r="22" spans="1:14" x14ac:dyDescent="0.25">
      <c r="A22" s="696">
        <v>19</v>
      </c>
      <c r="B22" s="696"/>
      <c r="C22" s="695" t="s">
        <v>2437</v>
      </c>
      <c r="D22" s="695"/>
      <c r="E22" s="695"/>
      <c r="F22" s="695"/>
      <c r="G22" s="694"/>
      <c r="H22" s="861"/>
      <c r="I22" s="694"/>
      <c r="J22" s="861"/>
      <c r="K22" s="694"/>
      <c r="L22" s="694"/>
      <c r="M22" s="694"/>
    </row>
    <row r="23" spans="1:14" x14ac:dyDescent="0.25">
      <c r="A23" s="696">
        <v>20</v>
      </c>
      <c r="B23" s="696"/>
      <c r="H23" s="625"/>
      <c r="J23" s="625"/>
      <c r="K23" s="552" t="s">
        <v>255</v>
      </c>
    </row>
    <row r="24" spans="1:14" x14ac:dyDescent="0.25">
      <c r="A24" s="696">
        <v>21</v>
      </c>
      <c r="B24" s="696"/>
      <c r="C24" s="695" t="s">
        <v>118</v>
      </c>
      <c r="D24" s="695"/>
      <c r="E24" s="695"/>
      <c r="F24" s="695"/>
      <c r="G24" s="447" t="s">
        <v>423</v>
      </c>
      <c r="H24" s="862"/>
      <c r="I24" s="447" t="s">
        <v>330</v>
      </c>
      <c r="J24" s="862"/>
      <c r="K24" s="863" t="s">
        <v>2438</v>
      </c>
      <c r="M24" s="573" t="s">
        <v>359</v>
      </c>
    </row>
    <row r="25" spans="1:14" x14ac:dyDescent="0.25">
      <c r="A25" s="696">
        <v>22</v>
      </c>
      <c r="B25" s="696"/>
      <c r="C25" t="s">
        <v>2439</v>
      </c>
      <c r="E25" s="705" t="s">
        <v>2440</v>
      </c>
      <c r="F25" s="705"/>
      <c r="G25" s="864"/>
      <c r="H25" s="865"/>
      <c r="I25" s="864"/>
      <c r="J25" s="866"/>
      <c r="M25" s="853"/>
      <c r="N25" s="742"/>
    </row>
    <row r="26" spans="1:14" x14ac:dyDescent="0.25">
      <c r="A26" s="696">
        <v>23</v>
      </c>
      <c r="B26" s="696"/>
      <c r="C26" t="s">
        <v>1520</v>
      </c>
      <c r="E26" s="1265" t="s">
        <v>2490</v>
      </c>
      <c r="F26" s="867"/>
      <c r="G26" s="1266">
        <f>-G25*('1-BaseTRR'!K102)</f>
        <v>0</v>
      </c>
      <c r="H26" s="868"/>
      <c r="I26" s="1266">
        <f>-I25*('1-BaseTRR'!K102)</f>
        <v>0</v>
      </c>
      <c r="J26" s="868"/>
      <c r="M26" s="853"/>
    </row>
    <row r="27" spans="1:14" x14ac:dyDescent="0.25">
      <c r="A27" s="696">
        <v>24</v>
      </c>
      <c r="B27" s="696"/>
      <c r="C27" t="s">
        <v>2441</v>
      </c>
      <c r="E27" t="s">
        <v>2442</v>
      </c>
      <c r="G27" s="109">
        <f>+G25+G26</f>
        <v>0</v>
      </c>
      <c r="H27" s="869"/>
      <c r="I27" s="109">
        <f>+I25+I26</f>
        <v>0</v>
      </c>
      <c r="J27" s="870"/>
      <c r="M27" s="853"/>
    </row>
    <row r="28" spans="1:14" x14ac:dyDescent="0.25">
      <c r="A28" s="696">
        <v>25</v>
      </c>
      <c r="B28" s="696"/>
      <c r="C28" t="s">
        <v>219</v>
      </c>
      <c r="E28" s="871" t="s">
        <v>2443</v>
      </c>
      <c r="F28" s="871"/>
      <c r="G28" s="872" t="e">
        <f>'27-Allocators'!G15</f>
        <v>#DIV/0!</v>
      </c>
      <c r="H28" s="873"/>
      <c r="I28" s="872" t="e">
        <f>'27-Allocators'!G15</f>
        <v>#DIV/0!</v>
      </c>
      <c r="J28" s="873"/>
      <c r="M28" s="853"/>
    </row>
    <row r="29" spans="1:14" ht="13.8" thickBot="1" x14ac:dyDescent="0.3">
      <c r="A29" s="696">
        <v>26</v>
      </c>
      <c r="B29" s="696"/>
      <c r="C29" t="s">
        <v>2444</v>
      </c>
      <c r="E29" s="54" t="s">
        <v>2445</v>
      </c>
      <c r="F29" s="54"/>
      <c r="G29" s="874" t="e">
        <f>+G27*G28</f>
        <v>#DIV/0!</v>
      </c>
      <c r="H29" s="875"/>
      <c r="I29" s="874" t="e">
        <f>+I27*I28</f>
        <v>#DIV/0!</v>
      </c>
      <c r="J29" s="875"/>
      <c r="K29" s="876" t="e">
        <f>(G29+I29)/2</f>
        <v>#DIV/0!</v>
      </c>
      <c r="M29" s="853"/>
    </row>
    <row r="30" spans="1:14" ht="13.8" thickTop="1" x14ac:dyDescent="0.25">
      <c r="A30" s="696">
        <v>27</v>
      </c>
      <c r="B30" s="696"/>
      <c r="H30" s="625"/>
      <c r="J30" s="625"/>
      <c r="M30" s="853"/>
    </row>
    <row r="31" spans="1:14" x14ac:dyDescent="0.25">
      <c r="A31" s="696">
        <v>28</v>
      </c>
      <c r="B31" s="696"/>
      <c r="C31" s="53" t="s">
        <v>2446</v>
      </c>
      <c r="D31" s="53"/>
      <c r="E31" s="53"/>
      <c r="F31" s="53"/>
      <c r="H31" s="625"/>
      <c r="J31" s="625"/>
      <c r="M31" s="877" t="s">
        <v>359</v>
      </c>
    </row>
    <row r="32" spans="1:14" x14ac:dyDescent="0.25">
      <c r="A32" s="696">
        <v>29</v>
      </c>
      <c r="B32" s="696"/>
      <c r="C32" s="551" t="s">
        <v>2447</v>
      </c>
      <c r="D32" s="551"/>
      <c r="E32" s="705" t="s">
        <v>2440</v>
      </c>
      <c r="F32" s="705"/>
      <c r="G32" s="864"/>
      <c r="H32" s="865"/>
      <c r="I32" s="864"/>
      <c r="J32" s="866"/>
      <c r="M32" s="853"/>
    </row>
    <row r="33" spans="1:13" x14ac:dyDescent="0.25">
      <c r="A33" s="696">
        <v>30</v>
      </c>
      <c r="B33" s="696"/>
      <c r="C33" t="s">
        <v>1520</v>
      </c>
      <c r="E33" s="1265" t="s">
        <v>2491</v>
      </c>
      <c r="F33" s="867"/>
      <c r="G33" s="1266">
        <f>-G32*('1-BaseTRR'!K102)</f>
        <v>0</v>
      </c>
      <c r="H33" s="868"/>
      <c r="I33" s="1266">
        <f>-I32*('1-BaseTRR'!K102)</f>
        <v>0</v>
      </c>
      <c r="J33" s="868"/>
      <c r="M33" s="853"/>
    </row>
    <row r="34" spans="1:13" x14ac:dyDescent="0.25">
      <c r="A34" s="696">
        <v>31</v>
      </c>
      <c r="B34" s="696"/>
      <c r="C34" s="551" t="s">
        <v>2448</v>
      </c>
      <c r="D34" s="551"/>
      <c r="E34" t="s">
        <v>2449</v>
      </c>
      <c r="G34" s="109">
        <f>+G32+G33</f>
        <v>0</v>
      </c>
      <c r="H34" s="869"/>
      <c r="I34" s="109">
        <f>+I32+I33</f>
        <v>0</v>
      </c>
      <c r="J34" s="870"/>
      <c r="M34" s="853"/>
    </row>
    <row r="35" spans="1:13" x14ac:dyDescent="0.25">
      <c r="A35" s="696">
        <v>32</v>
      </c>
      <c r="B35" s="696"/>
      <c r="C35" t="s">
        <v>219</v>
      </c>
      <c r="E35" s="871" t="s">
        <v>2443</v>
      </c>
      <c r="F35" s="871"/>
      <c r="G35" s="872" t="e">
        <f>'27-Allocators'!G15</f>
        <v>#DIV/0!</v>
      </c>
      <c r="H35" s="873"/>
      <c r="I35" s="872" t="e">
        <f>'27-Allocators'!G15</f>
        <v>#DIV/0!</v>
      </c>
      <c r="J35" s="873"/>
      <c r="M35" s="853"/>
    </row>
    <row r="36" spans="1:13" ht="13.8" thickBot="1" x14ac:dyDescent="0.3">
      <c r="A36" s="696">
        <v>33</v>
      </c>
      <c r="B36" s="696"/>
      <c r="C36" t="s">
        <v>2444</v>
      </c>
      <c r="E36" s="54" t="s">
        <v>2450</v>
      </c>
      <c r="F36" s="54"/>
      <c r="G36" s="874" t="e">
        <f>+G34*G35</f>
        <v>#DIV/0!</v>
      </c>
      <c r="H36" s="875"/>
      <c r="I36" s="874" t="e">
        <f>+I34*I35</f>
        <v>#DIV/0!</v>
      </c>
      <c r="J36" s="875"/>
      <c r="K36" s="876" t="e">
        <f>(G36+I36)/2</f>
        <v>#DIV/0!</v>
      </c>
      <c r="M36" s="853"/>
    </row>
    <row r="37" spans="1:13" ht="13.8" thickTop="1" x14ac:dyDescent="0.25">
      <c r="A37" s="696">
        <f t="shared" ref="A37:A45" si="0">1+A36</f>
        <v>34</v>
      </c>
      <c r="H37" s="625"/>
      <c r="J37" s="625"/>
    </row>
    <row r="38" spans="1:13" x14ac:dyDescent="0.25">
      <c r="A38" s="696">
        <f t="shared" si="0"/>
        <v>35</v>
      </c>
      <c r="C38" s="53" t="s">
        <v>2451</v>
      </c>
      <c r="H38" s="625"/>
      <c r="J38" s="625"/>
    </row>
    <row r="39" spans="1:13" x14ac:dyDescent="0.25">
      <c r="A39" s="696">
        <f t="shared" si="0"/>
        <v>36</v>
      </c>
      <c r="C39" s="551" t="s">
        <v>2451</v>
      </c>
      <c r="E39" s="705" t="s">
        <v>2440</v>
      </c>
      <c r="F39" s="705"/>
      <c r="G39" s="117"/>
      <c r="H39" s="878"/>
      <c r="I39" s="117"/>
      <c r="J39" s="866"/>
    </row>
    <row r="40" spans="1:13" x14ac:dyDescent="0.25">
      <c r="A40" s="696">
        <f t="shared" si="0"/>
        <v>37</v>
      </c>
      <c r="C40" s="551" t="s">
        <v>2452</v>
      </c>
      <c r="E40" s="879" t="s">
        <v>2453</v>
      </c>
      <c r="G40" s="880">
        <v>0.5</v>
      </c>
      <c r="H40" s="625"/>
      <c r="I40" s="880">
        <v>0.5</v>
      </c>
      <c r="J40" s="625"/>
    </row>
    <row r="41" spans="1:13" x14ac:dyDescent="0.25">
      <c r="A41" s="696">
        <f t="shared" si="0"/>
        <v>38</v>
      </c>
      <c r="C41" s="551" t="s">
        <v>2454</v>
      </c>
      <c r="E41" t="s">
        <v>2455</v>
      </c>
      <c r="G41" s="7">
        <f>+G39*G40</f>
        <v>0</v>
      </c>
      <c r="H41" s="881"/>
      <c r="I41" s="7">
        <f>+I39*I40</f>
        <v>0</v>
      </c>
      <c r="J41" s="625"/>
    </row>
    <row r="42" spans="1:13" x14ac:dyDescent="0.25">
      <c r="A42" s="696">
        <f t="shared" si="0"/>
        <v>39</v>
      </c>
      <c r="C42" t="s">
        <v>1520</v>
      </c>
      <c r="E42" s="1265" t="s">
        <v>2492</v>
      </c>
      <c r="F42" s="867"/>
      <c r="G42" s="1266">
        <f>-G41*('1-BaseTRR'!K102)</f>
        <v>0</v>
      </c>
      <c r="H42" s="868"/>
      <c r="I42" s="1266">
        <f>-I41*('1-BaseTRR'!K102)</f>
        <v>0</v>
      </c>
      <c r="J42" s="62"/>
    </row>
    <row r="43" spans="1:13" x14ac:dyDescent="0.25">
      <c r="A43" s="696">
        <f t="shared" si="0"/>
        <v>40</v>
      </c>
      <c r="C43" s="551" t="s">
        <v>2456</v>
      </c>
      <c r="E43" t="s">
        <v>2457</v>
      </c>
      <c r="G43" s="109">
        <f>+G41+G42</f>
        <v>0</v>
      </c>
      <c r="H43" s="869"/>
      <c r="I43" s="109">
        <f>+I41+I42</f>
        <v>0</v>
      </c>
      <c r="J43" s="870"/>
    </row>
    <row r="44" spans="1:13" x14ac:dyDescent="0.25">
      <c r="A44" s="696">
        <f t="shared" si="0"/>
        <v>41</v>
      </c>
      <c r="C44" t="s">
        <v>219</v>
      </c>
      <c r="E44" s="871" t="s">
        <v>2443</v>
      </c>
      <c r="F44" s="871"/>
      <c r="G44" s="872" t="e">
        <f>'27-Allocators'!G15</f>
        <v>#DIV/0!</v>
      </c>
      <c r="H44" s="873"/>
      <c r="I44" s="872" t="e">
        <f>'27-Allocators'!G15</f>
        <v>#DIV/0!</v>
      </c>
      <c r="J44" s="873"/>
    </row>
    <row r="45" spans="1:13" ht="13.8" thickBot="1" x14ac:dyDescent="0.3">
      <c r="A45" s="696">
        <f t="shared" si="0"/>
        <v>42</v>
      </c>
      <c r="C45" t="s">
        <v>2444</v>
      </c>
      <c r="E45" s="54" t="s">
        <v>2458</v>
      </c>
      <c r="F45" s="54"/>
      <c r="G45" s="874" t="e">
        <f>+G43*G44</f>
        <v>#DIV/0!</v>
      </c>
      <c r="H45" s="875"/>
      <c r="I45" s="874" t="e">
        <f>+I43*I44</f>
        <v>#DIV/0!</v>
      </c>
      <c r="J45" s="875"/>
      <c r="K45" s="876" t="e">
        <f>(G45+I45)/2</f>
        <v>#DIV/0!</v>
      </c>
    </row>
    <row r="46" spans="1:13" ht="13.8" thickTop="1" x14ac:dyDescent="0.25">
      <c r="H46" s="625"/>
      <c r="J46" s="625"/>
    </row>
    <row r="47" spans="1:13" x14ac:dyDescent="0.25">
      <c r="H47" s="62"/>
      <c r="J47" s="62"/>
    </row>
    <row r="48" spans="1:13" x14ac:dyDescent="0.25">
      <c r="H48" s="62"/>
      <c r="J48" s="62"/>
    </row>
    <row r="49" spans="8:10" x14ac:dyDescent="0.25">
      <c r="H49" s="62"/>
      <c r="J49" s="62"/>
    </row>
    <row r="50" spans="8:10" x14ac:dyDescent="0.25">
      <c r="H50" s="62"/>
      <c r="J50" s="62"/>
    </row>
    <row r="51" spans="8:10" x14ac:dyDescent="0.25">
      <c r="H51" s="62"/>
      <c r="J51" s="62"/>
    </row>
    <row r="52" spans="8:10" x14ac:dyDescent="0.25">
      <c r="H52" s="62"/>
      <c r="J52" s="62"/>
    </row>
    <row r="53" spans="8:10" x14ac:dyDescent="0.25">
      <c r="H53" s="62"/>
      <c r="J53" s="62"/>
    </row>
    <row r="54" spans="8:10" x14ac:dyDescent="0.25">
      <c r="H54" s="62"/>
      <c r="J54" s="62"/>
    </row>
    <row r="55" spans="8:10" x14ac:dyDescent="0.25">
      <c r="H55" s="62"/>
      <c r="J55" s="62"/>
    </row>
    <row r="56" spans="8:10" x14ac:dyDescent="0.25">
      <c r="H56" s="62"/>
      <c r="J56" s="62"/>
    </row>
    <row r="57" spans="8:10" x14ac:dyDescent="0.25">
      <c r="H57" s="62"/>
      <c r="J57" s="62"/>
    </row>
    <row r="58" spans="8:10" x14ac:dyDescent="0.25">
      <c r="H58" s="62"/>
      <c r="J58" s="62"/>
    </row>
    <row r="59" spans="8:10" x14ac:dyDescent="0.25">
      <c r="H59" s="62"/>
      <c r="J59" s="62"/>
    </row>
    <row r="60" spans="8:10" x14ac:dyDescent="0.25">
      <c r="H60" s="62"/>
      <c r="J60" s="62"/>
    </row>
    <row r="61" spans="8:10" x14ac:dyDescent="0.25">
      <c r="H61" s="62"/>
    </row>
    <row r="62" spans="8:10" x14ac:dyDescent="0.25">
      <c r="H62" s="62"/>
    </row>
  </sheetData>
  <pageMargins left="0.7" right="0.7" top="0.75" bottom="0.75" header="0.3" footer="0.3"/>
  <pageSetup scale="85" orientation="landscape" cellComments="asDisplayed" verticalDpi="0" r:id="rId1"/>
  <headerFooter>
    <oddHeader>&amp;CSchedule 34
Unfunded Reserves
&amp;"Arial,Bold"Attachment 5</oddHeader>
    <oddFooter>&amp;R34-UnfundedReserves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zoomScaleNormal="100" workbookViewId="0"/>
  </sheetViews>
  <sheetFormatPr defaultRowHeight="13.2" x14ac:dyDescent="0.25"/>
  <cols>
    <col min="1" max="1" width="3.6640625" customWidth="1"/>
    <col min="2" max="2" width="45.6640625" customWidth="1"/>
    <col min="3" max="3" width="12.6640625" customWidth="1"/>
  </cols>
  <sheetData>
    <row r="1" spans="1:6" x14ac:dyDescent="0.25">
      <c r="A1" s="1" t="s">
        <v>1617</v>
      </c>
    </row>
    <row r="3" spans="1:6" x14ac:dyDescent="0.25">
      <c r="A3" s="551" t="s">
        <v>1891</v>
      </c>
    </row>
    <row r="5" spans="1:6" x14ac:dyDescent="0.25">
      <c r="B5" s="3" t="s">
        <v>193</v>
      </c>
      <c r="C5" s="3" t="s">
        <v>194</v>
      </c>
    </row>
    <row r="6" spans="1:6" x14ac:dyDescent="0.25">
      <c r="B6" t="s">
        <v>106</v>
      </c>
      <c r="C6" s="7" t="e">
        <f>'1-BaseTRR'!K141</f>
        <v>#DIV/0!</v>
      </c>
    </row>
    <row r="7" spans="1:6" x14ac:dyDescent="0.25">
      <c r="B7" t="s">
        <v>349</v>
      </c>
      <c r="C7" s="7" t="e">
        <f>'1-BaseTRR'!K147</f>
        <v>#DIV/0!</v>
      </c>
    </row>
    <row r="8" spans="1:6" x14ac:dyDescent="0.25">
      <c r="B8" t="s">
        <v>107</v>
      </c>
      <c r="C8" s="111">
        <f>'1-BaseTRR'!K148</f>
        <v>7.4505805969238281E-9</v>
      </c>
      <c r="E8" s="1"/>
    </row>
    <row r="9" spans="1:6" x14ac:dyDescent="0.25">
      <c r="B9" s="553" t="s">
        <v>2298</v>
      </c>
      <c r="C9" s="99">
        <f>'1-BaseTRR'!K150</f>
        <v>0</v>
      </c>
      <c r="E9" s="1"/>
    </row>
    <row r="10" spans="1:6" x14ac:dyDescent="0.25">
      <c r="B10" t="s">
        <v>1892</v>
      </c>
      <c r="C10" s="7" t="e">
        <f>SUM(C6:C9)</f>
        <v>#DIV/0!</v>
      </c>
    </row>
    <row r="12" spans="1:6" x14ac:dyDescent="0.25">
      <c r="A12" t="s">
        <v>608</v>
      </c>
    </row>
    <row r="14" spans="1:6" x14ac:dyDescent="0.25">
      <c r="B14" t="s">
        <v>222</v>
      </c>
    </row>
    <row r="15" spans="1:6" x14ac:dyDescent="0.25">
      <c r="B15" s="555" t="s">
        <v>2078</v>
      </c>
      <c r="E15" s="14"/>
      <c r="F15" s="14"/>
    </row>
    <row r="16" spans="1:6" x14ac:dyDescent="0.25">
      <c r="B16" s="16"/>
    </row>
    <row r="17" spans="2:2" x14ac:dyDescent="0.25">
      <c r="B17" t="s">
        <v>607</v>
      </c>
    </row>
    <row r="18" spans="2:2" x14ac:dyDescent="0.25">
      <c r="B18" s="553" t="s">
        <v>2079</v>
      </c>
    </row>
    <row r="19" spans="2:2" x14ac:dyDescent="0.25">
      <c r="B19" s="16"/>
    </row>
    <row r="20" spans="2:2" x14ac:dyDescent="0.25">
      <c r="B20" s="67" t="s">
        <v>1344</v>
      </c>
    </row>
    <row r="21" spans="2:2" x14ac:dyDescent="0.25">
      <c r="B21" s="550" t="s">
        <v>2080</v>
      </c>
    </row>
    <row r="23" spans="2:2" x14ac:dyDescent="0.25">
      <c r="B23" s="553" t="s">
        <v>2299</v>
      </c>
    </row>
  </sheetData>
  <phoneticPr fontId="12" type="noConversion"/>
  <pageMargins left="0.75" right="0.75" top="1.25" bottom="1" header="0.5" footer="0.5"/>
  <pageSetup orientation="landscape" r:id="rId1"/>
  <headerFooter alignWithMargins="0">
    <oddHeader xml:space="preserve">&amp;C&amp;"Arial,Bold"Attachment 5&amp;"Arial,Regular"
Overview
</oddHeader>
    <oddFooter>&amp;ROverview</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4"/>
  <sheetViews>
    <sheetView zoomScaleNormal="100" workbookViewId="0">
      <selection activeCell="G75" sqref="G75"/>
    </sheetView>
  </sheetViews>
  <sheetFormatPr defaultRowHeight="13.2" x14ac:dyDescent="0.25"/>
  <cols>
    <col min="1" max="1" width="4.6640625" customWidth="1"/>
    <col min="2" max="5" width="8.6640625" customWidth="1"/>
    <col min="7" max="11" width="12.77734375" customWidth="1"/>
  </cols>
  <sheetData>
    <row r="1" spans="1:14" x14ac:dyDescent="0.25">
      <c r="A1" s="1178" t="s">
        <v>2419</v>
      </c>
      <c r="B1" s="553"/>
      <c r="C1" s="553"/>
      <c r="D1" s="553"/>
      <c r="E1" s="553"/>
      <c r="F1" s="553"/>
      <c r="G1" s="553"/>
      <c r="H1" s="553"/>
      <c r="I1" s="553"/>
      <c r="J1" s="553"/>
      <c r="K1" s="553"/>
      <c r="L1" s="553"/>
    </row>
    <row r="2" spans="1:14" x14ac:dyDescent="0.25">
      <c r="A2" s="1178"/>
      <c r="B2" s="553"/>
      <c r="C2" s="553"/>
      <c r="D2" s="553"/>
      <c r="E2" s="553"/>
      <c r="F2" s="553"/>
      <c r="G2" s="553"/>
      <c r="H2" s="553"/>
      <c r="I2" s="553"/>
      <c r="J2" s="553"/>
      <c r="K2" s="553"/>
      <c r="L2" s="553"/>
    </row>
    <row r="3" spans="1:14" x14ac:dyDescent="0.25">
      <c r="A3" s="553" t="s">
        <v>2803</v>
      </c>
      <c r="B3" s="553"/>
      <c r="C3" s="553"/>
      <c r="D3" s="553"/>
      <c r="E3" s="553"/>
      <c r="F3" s="553"/>
      <c r="G3" s="553"/>
      <c r="H3" s="553"/>
      <c r="I3" s="553"/>
      <c r="J3" s="553"/>
      <c r="K3" s="553"/>
      <c r="L3" s="553"/>
    </row>
    <row r="4" spans="1:14" x14ac:dyDescent="0.25">
      <c r="A4" s="553" t="s">
        <v>2804</v>
      </c>
      <c r="B4" s="553"/>
      <c r="C4" s="553"/>
      <c r="D4" s="553"/>
      <c r="E4" s="553"/>
      <c r="F4" s="553"/>
      <c r="G4" s="553"/>
      <c r="H4" s="553"/>
      <c r="I4" s="553"/>
      <c r="J4" s="553"/>
      <c r="K4" s="553"/>
      <c r="L4" s="553"/>
    </row>
    <row r="5" spans="1:14" x14ac:dyDescent="0.25">
      <c r="A5" s="1168"/>
      <c r="B5" s="553"/>
      <c r="C5" s="553"/>
      <c r="D5" s="553"/>
      <c r="E5" s="553"/>
      <c r="F5" s="553"/>
      <c r="G5" s="553"/>
      <c r="H5" s="553"/>
      <c r="I5" s="553"/>
      <c r="J5" s="553"/>
      <c r="K5" s="553"/>
      <c r="L5" s="553"/>
    </row>
    <row r="6" spans="1:14" x14ac:dyDescent="0.25">
      <c r="A6" s="553"/>
      <c r="B6" s="553" t="s">
        <v>2422</v>
      </c>
      <c r="C6" s="553"/>
      <c r="D6" s="553"/>
      <c r="E6" s="553"/>
      <c r="F6" s="553"/>
      <c r="G6" s="553"/>
      <c r="H6" s="553"/>
      <c r="I6" s="553"/>
      <c r="J6" s="553"/>
      <c r="K6" s="553"/>
      <c r="L6" s="553"/>
      <c r="M6" s="14"/>
    </row>
    <row r="7" spans="1:14" x14ac:dyDescent="0.25">
      <c r="A7" s="551"/>
      <c r="B7" s="551" t="s">
        <v>2805</v>
      </c>
      <c r="C7" s="551"/>
      <c r="D7" s="551"/>
      <c r="E7" s="551"/>
      <c r="F7" s="551"/>
      <c r="G7" s="551"/>
      <c r="H7" s="551"/>
      <c r="I7" s="551"/>
      <c r="J7" s="551"/>
      <c r="K7" s="551"/>
      <c r="L7" s="551"/>
      <c r="M7" s="14"/>
    </row>
    <row r="8" spans="1:14" x14ac:dyDescent="0.25">
      <c r="A8" s="551"/>
      <c r="B8" s="551" t="s">
        <v>2806</v>
      </c>
      <c r="C8" s="551"/>
      <c r="D8" s="551"/>
      <c r="E8" s="551"/>
      <c r="F8" s="551"/>
      <c r="G8" s="551"/>
      <c r="H8" s="551"/>
      <c r="I8" s="551"/>
      <c r="J8" s="551"/>
      <c r="K8" s="551"/>
      <c r="L8" s="551"/>
      <c r="M8" s="14"/>
    </row>
    <row r="9" spans="1:14" x14ac:dyDescent="0.25">
      <c r="A9" s="551"/>
      <c r="B9" s="551"/>
      <c r="C9" s="551"/>
      <c r="D9" s="551"/>
      <c r="E9" s="551"/>
      <c r="F9" s="551"/>
      <c r="G9" s="551"/>
      <c r="H9" s="551"/>
      <c r="I9" s="551"/>
      <c r="J9" s="551"/>
      <c r="K9" s="551"/>
      <c r="L9" s="551"/>
      <c r="M9" s="14"/>
    </row>
    <row r="10" spans="1:14" x14ac:dyDescent="0.25">
      <c r="A10" s="551"/>
      <c r="B10" s="551" t="s">
        <v>2390</v>
      </c>
      <c r="C10" s="553"/>
      <c r="D10" s="553"/>
      <c r="E10" s="553"/>
      <c r="F10" s="553"/>
      <c r="G10" s="843"/>
      <c r="H10" s="566"/>
      <c r="I10" s="553"/>
      <c r="J10" s="553"/>
      <c r="K10" s="551"/>
      <c r="L10" s="551"/>
      <c r="M10" s="14"/>
    </row>
    <row r="11" spans="1:14" x14ac:dyDescent="0.25">
      <c r="A11" s="55" t="s">
        <v>350</v>
      </c>
      <c r="B11" s="551"/>
      <c r="C11" s="551"/>
      <c r="D11" s="551"/>
      <c r="E11" s="551"/>
      <c r="F11" s="551"/>
      <c r="G11" s="398" t="s">
        <v>2391</v>
      </c>
      <c r="H11" s="398" t="s">
        <v>194</v>
      </c>
      <c r="I11" s="551"/>
      <c r="J11" s="455" t="s">
        <v>198</v>
      </c>
      <c r="K11" s="551"/>
      <c r="L11" s="551"/>
      <c r="M11" s="14"/>
    </row>
    <row r="12" spans="1:14" x14ac:dyDescent="0.25">
      <c r="A12" s="254">
        <v>1</v>
      </c>
      <c r="B12" s="650" t="s">
        <v>2807</v>
      </c>
      <c r="C12" s="551"/>
      <c r="D12" s="551"/>
      <c r="E12" s="551"/>
      <c r="F12" s="551"/>
      <c r="G12" s="844"/>
      <c r="H12" s="558">
        <f>K65</f>
        <v>0</v>
      </c>
      <c r="I12" s="551"/>
      <c r="J12" s="551" t="s">
        <v>395</v>
      </c>
      <c r="K12" s="551"/>
      <c r="L12" s="551"/>
      <c r="M12" s="14"/>
    </row>
    <row r="13" spans="1:14" x14ac:dyDescent="0.25">
      <c r="A13" s="254">
        <v>2</v>
      </c>
      <c r="B13" s="551" t="s">
        <v>2808</v>
      </c>
      <c r="C13" s="551"/>
      <c r="D13" s="551"/>
      <c r="E13" s="551"/>
      <c r="F13" s="551"/>
      <c r="G13" s="844"/>
      <c r="H13" s="558">
        <f>G75</f>
        <v>0</v>
      </c>
      <c r="I13" s="551"/>
      <c r="J13" s="551" t="s">
        <v>396</v>
      </c>
      <c r="K13" s="551"/>
      <c r="L13" s="551"/>
      <c r="M13" s="14"/>
    </row>
    <row r="14" spans="1:14" x14ac:dyDescent="0.25">
      <c r="A14" s="254">
        <v>3</v>
      </c>
      <c r="B14" s="650" t="s">
        <v>2392</v>
      </c>
      <c r="C14" s="551"/>
      <c r="D14" s="551"/>
      <c r="E14" s="551"/>
      <c r="F14" s="551"/>
      <c r="G14" s="551"/>
      <c r="H14" s="558">
        <f>ABS(H12+H13)</f>
        <v>0</v>
      </c>
      <c r="I14" s="551"/>
      <c r="J14" s="551" t="s">
        <v>2483</v>
      </c>
      <c r="K14" s="551"/>
      <c r="L14" s="551"/>
      <c r="M14" s="14"/>
    </row>
    <row r="15" spans="1:14" x14ac:dyDescent="0.25">
      <c r="A15" s="254">
        <v>4</v>
      </c>
      <c r="B15" s="650" t="s">
        <v>2393</v>
      </c>
      <c r="C15" s="551"/>
      <c r="D15" s="551"/>
      <c r="E15" s="551"/>
      <c r="F15" s="551"/>
      <c r="G15" s="551"/>
      <c r="H15" s="558">
        <f>G87</f>
        <v>0</v>
      </c>
      <c r="I15" s="551"/>
      <c r="J15" s="551" t="s">
        <v>2423</v>
      </c>
      <c r="K15" s="551"/>
      <c r="L15" s="551"/>
      <c r="M15" s="14"/>
    </row>
    <row r="16" spans="1:14" x14ac:dyDescent="0.25">
      <c r="A16" s="254"/>
      <c r="B16" s="555"/>
      <c r="C16" s="551"/>
      <c r="D16" s="551"/>
      <c r="E16" s="551" t="s">
        <v>359</v>
      </c>
      <c r="F16" s="551"/>
      <c r="G16" s="551"/>
      <c r="H16" s="558"/>
      <c r="I16" s="551"/>
      <c r="J16" s="551"/>
      <c r="K16" s="551"/>
      <c r="L16" s="551"/>
      <c r="M16" s="14"/>
      <c r="N16" s="14"/>
    </row>
    <row r="17" spans="1:14" x14ac:dyDescent="0.25">
      <c r="A17" s="254"/>
      <c r="B17" s="650" t="s">
        <v>2420</v>
      </c>
      <c r="C17" s="551"/>
      <c r="D17" s="551"/>
      <c r="E17" s="551"/>
      <c r="F17" s="551"/>
      <c r="G17" s="551"/>
      <c r="H17" s="558"/>
      <c r="I17" s="551"/>
      <c r="J17" s="455" t="s">
        <v>171</v>
      </c>
      <c r="K17" s="551"/>
      <c r="L17" s="551"/>
      <c r="M17" s="14"/>
      <c r="N17" s="14"/>
    </row>
    <row r="18" spans="1:14" x14ac:dyDescent="0.25">
      <c r="A18" s="254"/>
      <c r="B18" s="650" t="s">
        <v>2394</v>
      </c>
      <c r="C18" s="551"/>
      <c r="D18" s="552" t="str">
        <f>IF(H14&gt;H15, "Yes", "No")</f>
        <v>No</v>
      </c>
      <c r="E18" s="551"/>
      <c r="F18" s="551"/>
      <c r="G18" s="551"/>
      <c r="H18" s="558"/>
      <c r="I18" s="551"/>
      <c r="J18" s="551" t="s">
        <v>2421</v>
      </c>
      <c r="K18" s="551"/>
      <c r="L18" s="551"/>
      <c r="M18" s="14"/>
      <c r="N18" s="14"/>
    </row>
    <row r="19" spans="1:14" x14ac:dyDescent="0.25">
      <c r="A19" s="254"/>
      <c r="B19" s="650"/>
      <c r="C19" s="551"/>
      <c r="D19" s="551"/>
      <c r="E19" s="551"/>
      <c r="F19" s="551"/>
      <c r="G19" s="551"/>
      <c r="H19" s="558"/>
      <c r="I19" s="551"/>
      <c r="J19" s="551"/>
      <c r="K19" s="551"/>
      <c r="L19" s="551"/>
      <c r="M19" s="14"/>
      <c r="N19" s="14"/>
    </row>
    <row r="20" spans="1:14" x14ac:dyDescent="0.25">
      <c r="A20" s="254"/>
      <c r="B20" s="650" t="s">
        <v>2395</v>
      </c>
      <c r="C20" s="551"/>
      <c r="D20" s="551"/>
      <c r="E20" s="551"/>
      <c r="F20" s="551"/>
      <c r="G20" s="523" t="s">
        <v>2396</v>
      </c>
      <c r="H20" s="523" t="s">
        <v>2397</v>
      </c>
      <c r="I20" s="523" t="s">
        <v>2398</v>
      </c>
      <c r="J20" s="551"/>
      <c r="K20" s="551"/>
      <c r="L20" s="551"/>
      <c r="M20" s="14"/>
      <c r="N20" s="14"/>
    </row>
    <row r="21" spans="1:14" x14ac:dyDescent="0.25">
      <c r="A21" s="254"/>
      <c r="B21" s="650" t="s">
        <v>2399</v>
      </c>
      <c r="C21" s="551"/>
      <c r="D21" s="551"/>
      <c r="E21" s="551"/>
      <c r="F21" s="551"/>
      <c r="G21" s="552" t="s">
        <v>2479</v>
      </c>
      <c r="H21" s="263" t="s">
        <v>2400</v>
      </c>
      <c r="I21" s="551"/>
      <c r="J21" s="551"/>
      <c r="K21" s="551"/>
      <c r="L21" s="551"/>
      <c r="M21" s="14"/>
      <c r="N21" s="14"/>
    </row>
    <row r="22" spans="1:14" x14ac:dyDescent="0.25">
      <c r="A22" s="254"/>
      <c r="B22" s="551"/>
      <c r="C22" s="551"/>
      <c r="D22" s="551"/>
      <c r="E22" s="551"/>
      <c r="F22" s="551"/>
      <c r="G22" s="551"/>
      <c r="H22" s="1282" t="s">
        <v>223</v>
      </c>
      <c r="I22" s="551"/>
      <c r="J22" s="551"/>
      <c r="K22" s="551"/>
      <c r="L22" s="551"/>
      <c r="M22" s="14"/>
      <c r="N22" s="14"/>
    </row>
    <row r="23" spans="1:14" x14ac:dyDescent="0.25">
      <c r="A23" s="254"/>
      <c r="B23" s="551"/>
      <c r="C23" s="551"/>
      <c r="D23" s="551"/>
      <c r="E23" s="551"/>
      <c r="F23" s="551"/>
      <c r="G23" s="254" t="s">
        <v>217</v>
      </c>
      <c r="H23" s="1283" t="s">
        <v>535</v>
      </c>
      <c r="I23" s="254" t="s">
        <v>2401</v>
      </c>
      <c r="J23" s="551"/>
      <c r="K23" s="551"/>
      <c r="L23" s="551"/>
      <c r="M23" s="14"/>
      <c r="N23" s="14"/>
    </row>
    <row r="24" spans="1:14" x14ac:dyDescent="0.25">
      <c r="A24" s="254"/>
      <c r="B24" s="551"/>
      <c r="C24" s="551"/>
      <c r="D24" s="551"/>
      <c r="E24" s="551"/>
      <c r="F24" s="551"/>
      <c r="G24" s="254" t="s">
        <v>2402</v>
      </c>
      <c r="H24" s="263" t="s">
        <v>2403</v>
      </c>
      <c r="I24" s="254" t="s">
        <v>2402</v>
      </c>
      <c r="J24" s="551"/>
      <c r="K24" s="551"/>
      <c r="L24" s="551"/>
      <c r="M24" s="14"/>
      <c r="N24" s="14"/>
    </row>
    <row r="25" spans="1:14" x14ac:dyDescent="0.25">
      <c r="A25" s="55" t="s">
        <v>350</v>
      </c>
      <c r="B25" s="551"/>
      <c r="C25" s="551"/>
      <c r="D25" s="551"/>
      <c r="E25" s="398" t="s">
        <v>212</v>
      </c>
      <c r="F25" s="551"/>
      <c r="G25" s="398" t="s">
        <v>2404</v>
      </c>
      <c r="H25" s="265" t="s">
        <v>317</v>
      </c>
      <c r="I25" s="398" t="s">
        <v>354</v>
      </c>
      <c r="J25" s="610" t="s">
        <v>2480</v>
      </c>
      <c r="K25" s="553"/>
      <c r="L25" s="553"/>
      <c r="M25" s="14"/>
      <c r="N25" s="14"/>
    </row>
    <row r="26" spans="1:14" x14ac:dyDescent="0.25">
      <c r="A26" s="254">
        <v>5</v>
      </c>
      <c r="B26" s="551"/>
      <c r="C26" s="551"/>
      <c r="D26" s="551"/>
      <c r="E26" s="844"/>
      <c r="F26" s="551"/>
      <c r="G26" s="558">
        <f>G80</f>
        <v>0</v>
      </c>
      <c r="H26" s="558">
        <f>H12/2</f>
        <v>0</v>
      </c>
      <c r="I26" s="558">
        <f>SUM(G26:H26)</f>
        <v>0</v>
      </c>
      <c r="J26" s="1160" t="s">
        <v>2481</v>
      </c>
      <c r="K26" s="553"/>
      <c r="L26" s="553"/>
      <c r="M26" s="14"/>
      <c r="N26" s="14"/>
    </row>
    <row r="27" spans="1:14" x14ac:dyDescent="0.25">
      <c r="A27" s="254">
        <v>6</v>
      </c>
      <c r="B27" s="551"/>
      <c r="C27" s="551"/>
      <c r="D27" s="551"/>
      <c r="E27" s="844"/>
      <c r="F27" s="551"/>
      <c r="G27" s="558">
        <f>G81</f>
        <v>0</v>
      </c>
      <c r="H27" s="558">
        <f>H12/2</f>
        <v>0</v>
      </c>
      <c r="I27" s="558">
        <f>SUM(G27:H27)</f>
        <v>0</v>
      </c>
      <c r="J27" s="1160" t="s">
        <v>2481</v>
      </c>
      <c r="K27" s="553"/>
      <c r="L27" s="553"/>
      <c r="M27" s="14"/>
      <c r="N27" s="14"/>
    </row>
    <row r="28" spans="1:14" x14ac:dyDescent="0.25">
      <c r="A28" s="254">
        <v>7</v>
      </c>
      <c r="B28" s="555"/>
      <c r="C28" s="551"/>
      <c r="D28" s="551"/>
      <c r="E28" s="844"/>
      <c r="F28" s="551"/>
      <c r="G28" s="558">
        <f t="shared" ref="G28:G30" si="0">G82</f>
        <v>0</v>
      </c>
      <c r="H28" s="560" t="s">
        <v>86</v>
      </c>
      <c r="I28" s="558">
        <f xml:space="preserve"> SUM($G$28:$G$30)/3</f>
        <v>0</v>
      </c>
      <c r="J28" s="550" t="s">
        <v>2482</v>
      </c>
      <c r="K28" s="553"/>
      <c r="L28" s="553"/>
    </row>
    <row r="29" spans="1:14" x14ac:dyDescent="0.25">
      <c r="A29" s="254">
        <v>8</v>
      </c>
      <c r="B29" s="251"/>
      <c r="C29" s="551"/>
      <c r="D29" s="551"/>
      <c r="E29" s="844"/>
      <c r="F29" s="551"/>
      <c r="G29" s="558">
        <f t="shared" si="0"/>
        <v>0</v>
      </c>
      <c r="H29" s="560" t="s">
        <v>86</v>
      </c>
      <c r="I29" s="558">
        <f t="shared" ref="I29:I30" si="1" xml:space="preserve"> SUM($G$28:$G$30)/3</f>
        <v>0</v>
      </c>
      <c r="J29" s="550" t="s">
        <v>2482</v>
      </c>
      <c r="K29" s="553"/>
      <c r="L29" s="553"/>
    </row>
    <row r="30" spans="1:14" x14ac:dyDescent="0.25">
      <c r="A30" s="254">
        <v>9</v>
      </c>
      <c r="B30" s="551"/>
      <c r="C30" s="551"/>
      <c r="D30" s="551"/>
      <c r="E30" s="844"/>
      <c r="F30" s="551"/>
      <c r="G30" s="558">
        <f t="shared" si="0"/>
        <v>0</v>
      </c>
      <c r="H30" s="560" t="s">
        <v>86</v>
      </c>
      <c r="I30" s="558">
        <f t="shared" si="1"/>
        <v>0</v>
      </c>
      <c r="J30" s="550" t="s">
        <v>2482</v>
      </c>
      <c r="K30" s="553"/>
      <c r="L30" s="553"/>
    </row>
    <row r="31" spans="1:14" x14ac:dyDescent="0.25">
      <c r="A31" s="254"/>
      <c r="B31" s="551"/>
      <c r="C31" s="551"/>
      <c r="D31" s="551"/>
      <c r="E31" s="551"/>
      <c r="F31" s="551"/>
      <c r="G31" s="558"/>
      <c r="H31" s="560"/>
      <c r="I31" s="558"/>
      <c r="J31" s="550"/>
      <c r="K31" s="553"/>
      <c r="L31" s="553"/>
    </row>
    <row r="32" spans="1:14" x14ac:dyDescent="0.25">
      <c r="A32" s="518"/>
      <c r="B32" s="553" t="s">
        <v>2809</v>
      </c>
      <c r="C32" s="553"/>
      <c r="D32" s="553"/>
      <c r="E32" s="553"/>
      <c r="F32" s="553"/>
      <c r="G32" s="566"/>
      <c r="H32" s="635"/>
      <c r="I32" s="566"/>
      <c r="J32" s="550"/>
      <c r="K32" s="553"/>
      <c r="L32" s="553"/>
    </row>
    <row r="33" spans="1:12" x14ac:dyDescent="0.25">
      <c r="A33" s="661" t="s">
        <v>350</v>
      </c>
      <c r="B33" s="553"/>
      <c r="C33" s="553"/>
      <c r="D33" s="553"/>
      <c r="E33" s="553"/>
      <c r="F33" s="553"/>
      <c r="G33" s="390" t="s">
        <v>194</v>
      </c>
      <c r="H33" s="635"/>
      <c r="I33" s="610" t="s">
        <v>198</v>
      </c>
      <c r="J33" s="14"/>
      <c r="K33" s="553"/>
      <c r="L33" s="553"/>
    </row>
    <row r="34" spans="1:12" x14ac:dyDescent="0.25">
      <c r="A34" s="518">
        <v>10</v>
      </c>
      <c r="B34" s="553"/>
      <c r="C34" s="553"/>
      <c r="D34" s="553"/>
      <c r="E34" s="14"/>
      <c r="F34" s="1151" t="s">
        <v>2810</v>
      </c>
      <c r="G34" s="590"/>
      <c r="H34" s="635"/>
      <c r="I34" s="550" t="s">
        <v>2811</v>
      </c>
      <c r="J34" s="14"/>
      <c r="K34" s="553"/>
      <c r="L34" s="553"/>
    </row>
    <row r="35" spans="1:12" x14ac:dyDescent="0.25">
      <c r="A35" s="518">
        <v>11</v>
      </c>
      <c r="B35" s="553"/>
      <c r="C35" s="553"/>
      <c r="D35" s="553"/>
      <c r="E35" s="553"/>
      <c r="F35" s="1151" t="s">
        <v>2405</v>
      </c>
      <c r="G35" s="566">
        <f>'20-AandG'!E68</f>
        <v>-7105091</v>
      </c>
      <c r="H35" s="635"/>
      <c r="I35" s="550" t="s">
        <v>2812</v>
      </c>
      <c r="J35" s="14"/>
      <c r="K35" s="553"/>
      <c r="L35" s="553"/>
    </row>
    <row r="36" spans="1:12" x14ac:dyDescent="0.25">
      <c r="A36" s="518">
        <v>12</v>
      </c>
      <c r="B36" s="553"/>
      <c r="C36" s="553"/>
      <c r="D36" s="553"/>
      <c r="E36" s="553"/>
      <c r="F36" s="1151" t="s">
        <v>2813</v>
      </c>
      <c r="G36" s="566">
        <f>G34-G35</f>
        <v>7105091</v>
      </c>
      <c r="H36" s="635"/>
      <c r="I36" s="550" t="str">
        <f>"Line "&amp;A34&amp;" - Line "&amp;A35&amp;""</f>
        <v>Line 10 - Line 11</v>
      </c>
      <c r="J36" s="14"/>
      <c r="K36" s="553"/>
      <c r="L36" s="553"/>
    </row>
    <row r="37" spans="1:12" x14ac:dyDescent="0.25">
      <c r="A37" s="518">
        <v>13</v>
      </c>
      <c r="B37" s="553"/>
      <c r="C37" s="553"/>
      <c r="D37" s="553"/>
      <c r="E37" s="553"/>
      <c r="F37" s="1151" t="s">
        <v>2814</v>
      </c>
      <c r="G37" s="460" t="e">
        <f>'27-Allocators'!G15</f>
        <v>#DIV/0!</v>
      </c>
      <c r="H37" s="14"/>
      <c r="I37" s="550" t="str">
        <f>"27-Allocators, Line "&amp;'27-Allocators'!A15&amp;""</f>
        <v>27-Allocators, Line 9</v>
      </c>
      <c r="J37" s="14"/>
      <c r="K37" s="553"/>
      <c r="L37" s="553"/>
    </row>
    <row r="38" spans="1:12" x14ac:dyDescent="0.25">
      <c r="A38" s="518">
        <v>14</v>
      </c>
      <c r="B38" s="553"/>
      <c r="C38" s="553"/>
      <c r="D38" s="553"/>
      <c r="E38" s="553"/>
      <c r="F38" s="1151" t="s">
        <v>2815</v>
      </c>
      <c r="G38" s="566" t="e">
        <f>G36*G37</f>
        <v>#DIV/0!</v>
      </c>
      <c r="H38" s="635"/>
      <c r="I38" s="550" t="str">
        <f>"Line "&amp;A36&amp;" * Line "&amp;A37&amp;""</f>
        <v>Line 12 * Line 13</v>
      </c>
      <c r="J38" s="550"/>
      <c r="K38" s="553"/>
      <c r="L38" s="553"/>
    </row>
    <row r="39" spans="1:12" x14ac:dyDescent="0.25">
      <c r="A39" s="551"/>
      <c r="B39" s="551"/>
      <c r="C39" s="551"/>
      <c r="D39" s="551"/>
      <c r="E39" s="551"/>
      <c r="G39" s="551"/>
      <c r="H39" s="551"/>
      <c r="I39" s="551"/>
      <c r="K39" s="551"/>
      <c r="L39" s="551"/>
    </row>
    <row r="40" spans="1:12" x14ac:dyDescent="0.25">
      <c r="A40" s="531" t="s">
        <v>256</v>
      </c>
      <c r="B40" s="551"/>
      <c r="C40" s="551"/>
      <c r="D40" s="551"/>
      <c r="E40" s="551"/>
      <c r="F40" s="551"/>
      <c r="G40" s="551"/>
      <c r="H40" s="551"/>
      <c r="I40" s="551"/>
      <c r="J40" s="551"/>
      <c r="K40" s="551"/>
      <c r="L40" s="551"/>
    </row>
    <row r="41" spans="1:12" x14ac:dyDescent="0.25">
      <c r="A41" s="551" t="s">
        <v>2816</v>
      </c>
      <c r="B41" s="551"/>
      <c r="C41" s="551"/>
      <c r="D41" s="551"/>
      <c r="E41" s="551"/>
      <c r="F41" s="551"/>
      <c r="G41" s="551"/>
      <c r="H41" s="551"/>
      <c r="I41" s="551"/>
      <c r="J41" s="551"/>
      <c r="K41" s="551"/>
      <c r="L41" s="551"/>
    </row>
    <row r="42" spans="1:12" x14ac:dyDescent="0.25">
      <c r="A42" s="555" t="s">
        <v>2817</v>
      </c>
      <c r="B42" s="551"/>
      <c r="C42" s="551"/>
      <c r="D42" s="551"/>
      <c r="E42" s="551"/>
      <c r="F42" s="551"/>
      <c r="G42" s="551"/>
      <c r="H42" s="551"/>
      <c r="I42" s="551"/>
      <c r="J42" s="551"/>
      <c r="K42" s="551"/>
      <c r="L42" s="551"/>
    </row>
    <row r="43" spans="1:12" x14ac:dyDescent="0.25">
      <c r="A43" s="555" t="s">
        <v>2818</v>
      </c>
      <c r="B43" s="551"/>
      <c r="C43" s="551"/>
      <c r="D43" s="551"/>
      <c r="E43" s="551"/>
      <c r="F43" s="551"/>
      <c r="G43" s="551"/>
      <c r="H43" s="551"/>
      <c r="I43" s="551"/>
      <c r="J43" s="551"/>
      <c r="K43" s="551"/>
      <c r="L43" s="551"/>
    </row>
    <row r="44" spans="1:12" x14ac:dyDescent="0.25">
      <c r="A44" s="555"/>
      <c r="B44" s="551"/>
      <c r="C44" s="551"/>
      <c r="D44" s="551"/>
      <c r="E44" s="551"/>
      <c r="F44" s="551"/>
      <c r="G44" s="551"/>
      <c r="H44" s="551"/>
      <c r="I44" s="551"/>
      <c r="J44" s="551"/>
      <c r="K44" s="551"/>
      <c r="L44" s="551"/>
    </row>
    <row r="45" spans="1:12" x14ac:dyDescent="0.25">
      <c r="A45" s="555"/>
      <c r="B45" s="551"/>
      <c r="C45" s="551"/>
      <c r="D45" s="551"/>
      <c r="E45" s="551"/>
      <c r="F45" s="551"/>
      <c r="G45" s="551"/>
      <c r="H45" s="551"/>
      <c r="I45" s="1282" t="s">
        <v>2819</v>
      </c>
      <c r="J45" s="551"/>
      <c r="K45" s="551"/>
      <c r="L45" s="551"/>
    </row>
    <row r="46" spans="1:12" x14ac:dyDescent="0.25">
      <c r="A46" s="254"/>
      <c r="B46" s="551"/>
      <c r="C46" s="551"/>
      <c r="D46" s="551"/>
      <c r="E46" s="551"/>
      <c r="F46" s="551"/>
      <c r="G46" s="3" t="s">
        <v>212</v>
      </c>
      <c r="H46" s="398" t="s">
        <v>194</v>
      </c>
      <c r="I46" s="398" t="s">
        <v>224</v>
      </c>
      <c r="J46" s="551"/>
      <c r="K46" s="551"/>
      <c r="L46" s="551"/>
    </row>
    <row r="47" spans="1:12" x14ac:dyDescent="0.25">
      <c r="A47" s="254"/>
      <c r="B47" s="551" t="s">
        <v>2820</v>
      </c>
      <c r="C47" s="551"/>
      <c r="D47" s="551"/>
      <c r="E47" s="551"/>
      <c r="F47" s="551"/>
      <c r="G47" s="634"/>
      <c r="H47" s="590"/>
      <c r="I47" s="1284"/>
      <c r="J47" s="561"/>
      <c r="K47" s="561"/>
      <c r="L47" s="561"/>
    </row>
    <row r="48" spans="1:12" x14ac:dyDescent="0.25">
      <c r="A48" s="254"/>
      <c r="B48" s="571" t="s">
        <v>2821</v>
      </c>
      <c r="C48" s="551"/>
      <c r="D48" s="551"/>
      <c r="E48" s="551"/>
      <c r="F48" s="551"/>
      <c r="G48" s="634"/>
      <c r="H48" s="590"/>
      <c r="I48" s="1284"/>
      <c r="J48" s="561"/>
      <c r="K48" s="561"/>
      <c r="L48" s="561"/>
    </row>
    <row r="49" spans="1:14" x14ac:dyDescent="0.25">
      <c r="A49" s="254"/>
      <c r="B49" s="551"/>
      <c r="C49" s="551"/>
      <c r="D49" s="551"/>
      <c r="E49" s="551"/>
      <c r="F49" s="551"/>
      <c r="G49" s="634"/>
      <c r="H49" s="590"/>
      <c r="I49" s="1284"/>
      <c r="J49" s="561"/>
      <c r="K49" s="561"/>
      <c r="L49" s="561"/>
    </row>
    <row r="50" spans="1:14" x14ac:dyDescent="0.25">
      <c r="A50" s="254"/>
      <c r="B50" s="551"/>
      <c r="C50" s="551"/>
      <c r="D50" s="551"/>
      <c r="E50" s="551"/>
      <c r="F50" s="551"/>
      <c r="G50" s="634"/>
      <c r="H50" s="590"/>
      <c r="I50" s="1284"/>
      <c r="J50" s="561"/>
      <c r="K50" s="561"/>
      <c r="L50" s="561"/>
    </row>
    <row r="51" spans="1:14" x14ac:dyDescent="0.25">
      <c r="A51" s="254"/>
      <c r="B51" s="551"/>
      <c r="C51" s="551"/>
      <c r="D51" s="551"/>
      <c r="E51" s="551"/>
      <c r="F51" s="551"/>
      <c r="G51" s="634"/>
      <c r="H51" s="590"/>
      <c r="I51" s="1284"/>
      <c r="J51" s="561"/>
      <c r="K51" s="561"/>
      <c r="L51" s="561"/>
    </row>
    <row r="52" spans="1:14" x14ac:dyDescent="0.25">
      <c r="A52" s="254"/>
      <c r="B52" s="551"/>
      <c r="C52" s="551"/>
      <c r="D52" s="551"/>
      <c r="E52" s="551"/>
      <c r="F52" s="551"/>
      <c r="G52" s="634"/>
      <c r="H52" s="1285"/>
      <c r="I52" s="1286"/>
      <c r="J52" s="561"/>
      <c r="K52" s="561"/>
      <c r="L52" s="561"/>
    </row>
    <row r="53" spans="1:14" x14ac:dyDescent="0.25">
      <c r="A53" s="254"/>
      <c r="B53" s="551"/>
      <c r="C53" s="551"/>
      <c r="D53" s="551"/>
      <c r="E53" s="551"/>
      <c r="F53" s="551"/>
      <c r="G53" s="560"/>
      <c r="H53" s="558"/>
      <c r="I53" s="555"/>
      <c r="J53" s="551"/>
      <c r="K53" s="551"/>
      <c r="L53" s="551"/>
    </row>
    <row r="54" spans="1:14" x14ac:dyDescent="0.25">
      <c r="A54" s="555" t="s">
        <v>2822</v>
      </c>
      <c r="B54" s="551"/>
      <c r="C54" s="551"/>
      <c r="D54" s="551"/>
      <c r="E54" s="551"/>
      <c r="F54" s="551"/>
      <c r="G54" s="560"/>
      <c r="H54" s="558"/>
      <c r="I54" s="555"/>
      <c r="J54" s="551"/>
      <c r="K54" s="551"/>
      <c r="L54" s="551"/>
    </row>
    <row r="55" spans="1:14" x14ac:dyDescent="0.25">
      <c r="A55" s="254"/>
      <c r="B55" s="551"/>
      <c r="C55" s="551"/>
      <c r="D55" s="551"/>
      <c r="E55" s="551"/>
      <c r="F55" s="551"/>
      <c r="G55" s="560"/>
      <c r="H55" s="558"/>
      <c r="I55" s="555"/>
      <c r="J55" s="551"/>
      <c r="K55" s="551"/>
      <c r="L55" s="551"/>
    </row>
    <row r="56" spans="1:14" x14ac:dyDescent="0.25">
      <c r="A56" s="254"/>
      <c r="B56" s="551"/>
      <c r="C56" s="551"/>
      <c r="D56" s="551"/>
      <c r="E56" s="551"/>
      <c r="F56" s="551"/>
      <c r="G56" s="4" t="s">
        <v>2396</v>
      </c>
      <c r="H56" s="4" t="s">
        <v>2397</v>
      </c>
      <c r="I56" s="4" t="s">
        <v>2398</v>
      </c>
      <c r="J56" s="4" t="s">
        <v>2823</v>
      </c>
      <c r="K56" s="4" t="s">
        <v>2824</v>
      </c>
      <c r="L56" s="551"/>
    </row>
    <row r="57" spans="1:14" x14ac:dyDescent="0.25">
      <c r="A57" s="254"/>
      <c r="B57" s="551"/>
      <c r="C57" s="551"/>
      <c r="D57" s="551"/>
      <c r="E57" s="551"/>
      <c r="F57" s="551"/>
      <c r="G57" s="1287"/>
      <c r="H57" s="1287"/>
      <c r="J57" s="1287"/>
      <c r="K57" s="1287"/>
      <c r="L57" s="551"/>
    </row>
    <row r="58" spans="1:14" x14ac:dyDescent="0.25">
      <c r="A58" s="555"/>
      <c r="B58" s="551"/>
      <c r="C58" s="551"/>
      <c r="D58" s="551"/>
      <c r="E58" s="551"/>
      <c r="F58" s="551"/>
      <c r="G58" s="551"/>
      <c r="H58" s="551"/>
      <c r="I58" s="4" t="s">
        <v>1051</v>
      </c>
      <c r="J58" s="560" t="s">
        <v>2825</v>
      </c>
      <c r="K58" s="560" t="s">
        <v>2826</v>
      </c>
      <c r="L58" s="551"/>
    </row>
    <row r="59" spans="1:14" ht="14.4" x14ac:dyDescent="0.3">
      <c r="B59" s="551"/>
      <c r="C59" s="551"/>
      <c r="D59" s="551"/>
      <c r="E59" s="551"/>
      <c r="F59" s="553"/>
      <c r="G59" s="553"/>
      <c r="H59" s="551"/>
      <c r="I59" s="1282" t="s">
        <v>2406</v>
      </c>
      <c r="J59" s="424" t="s">
        <v>2827</v>
      </c>
      <c r="K59" s="254" t="s">
        <v>2406</v>
      </c>
      <c r="L59" s="551"/>
      <c r="N59" s="1288"/>
    </row>
    <row r="60" spans="1:14" ht="14.4" x14ac:dyDescent="0.3">
      <c r="A60" s="555"/>
      <c r="B60" s="551" t="s">
        <v>359</v>
      </c>
      <c r="C60" s="551"/>
      <c r="D60" s="551"/>
      <c r="E60" s="551"/>
      <c r="F60" s="254"/>
      <c r="G60" s="254" t="s">
        <v>2402</v>
      </c>
      <c r="H60" s="254" t="s">
        <v>2402</v>
      </c>
      <c r="I60" s="1282" t="s">
        <v>2407</v>
      </c>
      <c r="J60" s="424" t="s">
        <v>535</v>
      </c>
      <c r="K60" s="254" t="s">
        <v>2407</v>
      </c>
      <c r="L60" s="551"/>
    </row>
    <row r="61" spans="1:14" x14ac:dyDescent="0.25">
      <c r="A61" s="555"/>
      <c r="B61" s="551" t="s">
        <v>2408</v>
      </c>
      <c r="C61" s="551"/>
      <c r="D61" s="551"/>
      <c r="E61" s="551"/>
      <c r="F61" s="398" t="s">
        <v>212</v>
      </c>
      <c r="G61" s="398" t="s">
        <v>2404</v>
      </c>
      <c r="H61" s="398" t="s">
        <v>2403</v>
      </c>
      <c r="I61" s="3" t="s">
        <v>2403</v>
      </c>
      <c r="J61" s="3" t="s">
        <v>2403</v>
      </c>
      <c r="K61" s="398" t="s">
        <v>2403</v>
      </c>
      <c r="L61" s="551"/>
    </row>
    <row r="62" spans="1:14" x14ac:dyDescent="0.25">
      <c r="A62" s="555"/>
      <c r="B62" s="551" t="s">
        <v>2828</v>
      </c>
      <c r="C62" s="551"/>
      <c r="D62" s="551"/>
      <c r="E62" s="551"/>
      <c r="F62" s="844"/>
      <c r="G62" s="590"/>
      <c r="H62" s="590"/>
      <c r="I62" s="590"/>
      <c r="J62" s="65">
        <f>H62-I62</f>
        <v>0</v>
      </c>
      <c r="K62" s="558">
        <f>G62-J62</f>
        <v>0</v>
      </c>
      <c r="L62" s="551"/>
    </row>
    <row r="63" spans="1:14" x14ac:dyDescent="0.25">
      <c r="A63" s="555"/>
      <c r="B63" s="551"/>
      <c r="C63" s="551"/>
      <c r="D63" s="551"/>
      <c r="E63" s="551"/>
      <c r="F63" s="844"/>
      <c r="G63" s="590"/>
      <c r="H63" s="590"/>
      <c r="I63" s="590"/>
      <c r="J63" s="65">
        <f>H63-I63</f>
        <v>0</v>
      </c>
      <c r="K63" s="558">
        <f>G63-J63</f>
        <v>0</v>
      </c>
      <c r="L63" s="551"/>
    </row>
    <row r="64" spans="1:14" x14ac:dyDescent="0.25">
      <c r="A64" s="555"/>
      <c r="B64" s="551"/>
      <c r="C64" s="551"/>
      <c r="D64" s="551"/>
      <c r="E64" s="551"/>
      <c r="F64" s="634" t="s">
        <v>565</v>
      </c>
      <c r="G64" s="590"/>
      <c r="H64" s="590"/>
      <c r="I64" s="590"/>
      <c r="J64" s="14"/>
      <c r="K64" s="551"/>
      <c r="L64" s="551"/>
    </row>
    <row r="65" spans="1:12" ht="14.4" x14ac:dyDescent="0.3">
      <c r="A65" s="555"/>
      <c r="B65" s="551"/>
      <c r="C65" s="551"/>
      <c r="D65" s="551"/>
      <c r="E65" s="551"/>
      <c r="F65" s="843"/>
      <c r="G65" s="566"/>
      <c r="H65" s="1289"/>
      <c r="I65" s="1289"/>
      <c r="J65" s="845" t="s">
        <v>2829</v>
      </c>
      <c r="K65" s="558">
        <f>SUM(K62:K64)</f>
        <v>0</v>
      </c>
      <c r="L65" s="555" t="s">
        <v>2409</v>
      </c>
    </row>
    <row r="66" spans="1:12" x14ac:dyDescent="0.25">
      <c r="A66" s="555"/>
      <c r="B66" s="551"/>
      <c r="C66" s="551"/>
      <c r="D66" s="551"/>
      <c r="E66" s="551"/>
      <c r="F66" s="843"/>
      <c r="G66" s="553"/>
      <c r="H66" s="551"/>
      <c r="I66" s="551"/>
      <c r="J66" s="551"/>
      <c r="K66" s="551"/>
      <c r="L66" s="551"/>
    </row>
    <row r="67" spans="1:12" x14ac:dyDescent="0.25">
      <c r="A67" s="551" t="s">
        <v>2830</v>
      </c>
      <c r="B67" s="551"/>
      <c r="C67" s="551"/>
      <c r="D67" s="551"/>
      <c r="E67" s="551"/>
      <c r="F67" s="551"/>
      <c r="G67" s="551"/>
      <c r="H67" s="551"/>
      <c r="I67" s="551"/>
      <c r="J67" s="551"/>
      <c r="K67" s="551"/>
      <c r="L67" s="551"/>
    </row>
    <row r="68" spans="1:12" x14ac:dyDescent="0.25">
      <c r="A68" s="555" t="s">
        <v>2831</v>
      </c>
      <c r="B68" s="551"/>
      <c r="C68" s="551"/>
      <c r="D68" s="551"/>
      <c r="E68" s="551"/>
      <c r="F68" s="551"/>
      <c r="G68" s="551"/>
      <c r="H68" s="551"/>
      <c r="I68" s="551"/>
      <c r="J68" s="551"/>
      <c r="K68" s="551"/>
      <c r="L68" s="551"/>
    </row>
    <row r="69" spans="1:12" x14ac:dyDescent="0.25">
      <c r="A69" s="555" t="s">
        <v>2410</v>
      </c>
      <c r="B69" s="551"/>
      <c r="C69" s="551"/>
      <c r="D69" s="551"/>
      <c r="E69" s="551"/>
      <c r="F69" s="551"/>
      <c r="G69" s="551"/>
      <c r="H69" s="551"/>
      <c r="I69" s="551"/>
      <c r="J69" s="551"/>
      <c r="K69" s="551"/>
      <c r="L69" s="551"/>
    </row>
    <row r="70" spans="1:12" x14ac:dyDescent="0.25">
      <c r="A70" s="555" t="s">
        <v>2411</v>
      </c>
      <c r="B70" s="551"/>
      <c r="C70" s="551"/>
      <c r="D70" s="551"/>
      <c r="E70" s="551"/>
      <c r="F70" s="551"/>
      <c r="G70" s="551"/>
      <c r="H70" s="551"/>
      <c r="I70" s="551"/>
      <c r="J70" s="551"/>
      <c r="K70" s="551"/>
      <c r="L70" s="551"/>
    </row>
    <row r="71" spans="1:12" x14ac:dyDescent="0.25">
      <c r="A71" s="555" t="s">
        <v>2832</v>
      </c>
      <c r="B71" s="551"/>
      <c r="C71" s="551"/>
      <c r="D71" s="551"/>
      <c r="E71" s="551"/>
      <c r="F71" s="551"/>
      <c r="G71" s="551"/>
      <c r="H71" s="551"/>
      <c r="I71" s="551"/>
      <c r="J71" s="551"/>
      <c r="K71" s="551"/>
      <c r="L71" s="551"/>
    </row>
    <row r="72" spans="1:12" x14ac:dyDescent="0.25">
      <c r="A72" s="551"/>
      <c r="B72" s="551"/>
      <c r="C72" s="551"/>
      <c r="D72" s="551"/>
      <c r="E72" s="551"/>
      <c r="F72" s="551"/>
      <c r="G72" s="398" t="s">
        <v>194</v>
      </c>
      <c r="H72" s="398" t="s">
        <v>171</v>
      </c>
      <c r="I72" s="551"/>
      <c r="J72" s="551"/>
      <c r="K72" s="551"/>
      <c r="L72" s="551"/>
    </row>
    <row r="73" spans="1:12" x14ac:dyDescent="0.25">
      <c r="A73" s="254" t="s">
        <v>1936</v>
      </c>
      <c r="B73" s="551"/>
      <c r="C73" s="551"/>
      <c r="D73" s="551"/>
      <c r="E73" s="551"/>
      <c r="F73" s="549" t="s">
        <v>2412</v>
      </c>
      <c r="G73" s="558">
        <f>G80+G81</f>
        <v>0</v>
      </c>
      <c r="H73" s="555" t="s">
        <v>2413</v>
      </c>
      <c r="I73" s="551"/>
      <c r="J73" s="551"/>
      <c r="K73" s="551"/>
      <c r="L73" s="551"/>
    </row>
    <row r="74" spans="1:12" x14ac:dyDescent="0.25">
      <c r="A74" s="254" t="s">
        <v>1937</v>
      </c>
      <c r="B74" s="551"/>
      <c r="C74" s="551"/>
      <c r="D74" s="551"/>
      <c r="E74" s="551"/>
      <c r="F74" s="549" t="s">
        <v>2414</v>
      </c>
      <c r="G74" s="397">
        <f>H49+H50</f>
        <v>0</v>
      </c>
      <c r="H74" s="555" t="s">
        <v>2833</v>
      </c>
      <c r="I74" s="551"/>
      <c r="J74" s="551"/>
      <c r="K74" s="551"/>
      <c r="L74" s="551"/>
    </row>
    <row r="75" spans="1:12" x14ac:dyDescent="0.25">
      <c r="A75" s="254" t="s">
        <v>1938</v>
      </c>
      <c r="B75" s="551"/>
      <c r="C75" s="551"/>
      <c r="D75" s="551"/>
      <c r="E75" s="551"/>
      <c r="F75" s="549" t="s">
        <v>2834</v>
      </c>
      <c r="G75" s="558">
        <f xml:space="preserve"> G73-G74</f>
        <v>0</v>
      </c>
      <c r="H75" s="555" t="s">
        <v>2415</v>
      </c>
      <c r="I75" s="551"/>
      <c r="J75" s="551"/>
      <c r="K75" s="551"/>
      <c r="L75" s="551"/>
    </row>
    <row r="76" spans="1:12" x14ac:dyDescent="0.25">
      <c r="A76" s="254"/>
      <c r="B76" s="551"/>
      <c r="C76" s="551"/>
      <c r="D76" s="551"/>
      <c r="E76" s="551"/>
      <c r="F76" s="551"/>
      <c r="G76" s="551"/>
      <c r="H76" s="551"/>
      <c r="I76" s="551"/>
      <c r="J76" s="551"/>
      <c r="K76" s="551"/>
      <c r="L76" s="551"/>
    </row>
    <row r="77" spans="1:12" x14ac:dyDescent="0.25">
      <c r="A77" s="254"/>
      <c r="B77" s="551"/>
      <c r="C77" s="551"/>
      <c r="D77" s="551" t="s">
        <v>2416</v>
      </c>
      <c r="E77" s="551"/>
      <c r="F77" s="551"/>
      <c r="G77" s="551"/>
      <c r="H77" s="551"/>
      <c r="I77" s="551"/>
      <c r="J77" s="551"/>
      <c r="K77" s="551"/>
      <c r="L77" s="551"/>
    </row>
    <row r="78" spans="1:12" x14ac:dyDescent="0.25">
      <c r="A78" s="254"/>
      <c r="B78" s="551"/>
      <c r="C78" s="551"/>
      <c r="D78" s="551"/>
      <c r="E78" s="551"/>
      <c r="F78" s="254"/>
      <c r="G78" s="1282" t="s">
        <v>2835</v>
      </c>
      <c r="H78" s="551"/>
      <c r="I78" s="551"/>
      <c r="J78" s="551"/>
      <c r="K78" s="551"/>
      <c r="L78" s="551"/>
    </row>
    <row r="79" spans="1:12" x14ac:dyDescent="0.25">
      <c r="A79" s="254"/>
      <c r="B79" s="551"/>
      <c r="C79" s="551"/>
      <c r="D79" s="551"/>
      <c r="E79" s="551"/>
      <c r="F79" s="398" t="s">
        <v>212</v>
      </c>
      <c r="G79" s="398" t="s">
        <v>2404</v>
      </c>
      <c r="H79" s="551"/>
      <c r="I79" s="551"/>
      <c r="J79" s="551"/>
      <c r="K79" s="551"/>
      <c r="L79" s="551"/>
    </row>
    <row r="80" spans="1:12" x14ac:dyDescent="0.25">
      <c r="A80" s="254" t="s">
        <v>1939</v>
      </c>
      <c r="B80" s="551"/>
      <c r="C80" s="551"/>
      <c r="D80" s="551"/>
      <c r="E80" s="551"/>
      <c r="F80" s="844"/>
      <c r="G80" s="590"/>
      <c r="H80" s="551"/>
      <c r="I80" s="551"/>
      <c r="J80" s="551"/>
      <c r="K80" s="551"/>
      <c r="L80" s="551"/>
    </row>
    <row r="81" spans="1:15" x14ac:dyDescent="0.25">
      <c r="A81" s="254" t="s">
        <v>1940</v>
      </c>
      <c r="B81" s="551"/>
      <c r="C81" s="551"/>
      <c r="D81" s="551"/>
      <c r="E81" s="551"/>
      <c r="F81" s="844"/>
      <c r="G81" s="590"/>
      <c r="H81" s="551"/>
      <c r="I81" s="551"/>
      <c r="J81" s="551"/>
      <c r="K81" s="551"/>
      <c r="L81" s="551"/>
    </row>
    <row r="82" spans="1:15" x14ac:dyDescent="0.25">
      <c r="A82" s="254" t="s">
        <v>1941</v>
      </c>
      <c r="B82" s="551"/>
      <c r="C82" s="551"/>
      <c r="D82" s="551"/>
      <c r="E82" s="551"/>
      <c r="F82" s="844"/>
      <c r="G82" s="590"/>
      <c r="H82" s="551"/>
      <c r="I82" s="551"/>
      <c r="J82" s="551"/>
      <c r="K82" s="551"/>
      <c r="L82" s="551"/>
    </row>
    <row r="83" spans="1:15" x14ac:dyDescent="0.25">
      <c r="A83" s="254" t="s">
        <v>1943</v>
      </c>
      <c r="B83" s="551"/>
      <c r="C83" s="551"/>
      <c r="D83" s="551"/>
      <c r="E83" s="551"/>
      <c r="F83" s="844"/>
      <c r="G83" s="590"/>
      <c r="H83" s="551"/>
      <c r="I83" s="551"/>
      <c r="J83" s="551"/>
      <c r="K83" s="551"/>
      <c r="L83" s="551"/>
    </row>
    <row r="84" spans="1:15" x14ac:dyDescent="0.25">
      <c r="A84" s="254" t="s">
        <v>2225</v>
      </c>
      <c r="B84" s="551"/>
      <c r="C84" s="551"/>
      <c r="D84" s="551"/>
      <c r="E84" s="551"/>
      <c r="F84" s="844"/>
      <c r="G84" s="590"/>
      <c r="H84" s="551"/>
      <c r="I84" s="551"/>
      <c r="J84" s="551"/>
      <c r="K84" s="551"/>
      <c r="L84" s="551"/>
    </row>
    <row r="85" spans="1:15" x14ac:dyDescent="0.25">
      <c r="A85" s="254"/>
      <c r="B85" s="551"/>
      <c r="C85" s="551"/>
      <c r="D85" s="551"/>
      <c r="E85" s="551"/>
      <c r="F85" s="551"/>
      <c r="G85" s="551"/>
      <c r="H85" s="551"/>
      <c r="I85" s="551"/>
      <c r="J85" s="551"/>
      <c r="K85" s="551"/>
      <c r="L85" s="551"/>
    </row>
    <row r="86" spans="1:15" x14ac:dyDescent="0.25">
      <c r="A86" s="553"/>
      <c r="B86" s="553" t="s">
        <v>2836</v>
      </c>
      <c r="C86" s="553"/>
      <c r="D86" s="553"/>
      <c r="E86" s="553"/>
      <c r="F86" s="553"/>
      <c r="G86" s="553"/>
      <c r="H86" s="519" t="s">
        <v>171</v>
      </c>
      <c r="I86" s="553"/>
      <c r="J86" s="553"/>
      <c r="K86" s="553"/>
      <c r="L86" s="553"/>
    </row>
    <row r="87" spans="1:15" x14ac:dyDescent="0.25">
      <c r="A87" s="518" t="s">
        <v>2226</v>
      </c>
      <c r="B87" s="553" t="s">
        <v>2417</v>
      </c>
      <c r="C87" s="553"/>
      <c r="D87" s="553"/>
      <c r="E87" s="553"/>
      <c r="F87" s="553"/>
      <c r="G87" s="566">
        <f xml:space="preserve"> (G80+G81)*0.2</f>
        <v>0</v>
      </c>
      <c r="H87" s="550" t="s">
        <v>2424</v>
      </c>
      <c r="I87" s="553"/>
      <c r="J87" s="553"/>
      <c r="K87" s="553"/>
      <c r="L87" s="553"/>
    </row>
    <row r="88" spans="1:15" x14ac:dyDescent="0.25">
      <c r="A88" s="518"/>
      <c r="B88" s="553"/>
      <c r="C88" s="553"/>
      <c r="D88" s="553"/>
      <c r="E88" s="553"/>
      <c r="F88" s="553"/>
      <c r="G88" s="566"/>
      <c r="H88" s="550"/>
      <c r="I88" s="553"/>
      <c r="J88" s="553"/>
      <c r="K88" s="553"/>
      <c r="L88" s="553"/>
    </row>
    <row r="89" spans="1:15" x14ac:dyDescent="0.25">
      <c r="A89" s="1158" t="s">
        <v>2837</v>
      </c>
      <c r="B89" s="553"/>
      <c r="C89" s="553"/>
      <c r="D89" s="553"/>
      <c r="E89" s="553"/>
      <c r="F89" s="553"/>
      <c r="G89" s="566"/>
      <c r="H89" s="550"/>
      <c r="I89" s="553"/>
      <c r="J89" s="553"/>
      <c r="K89" s="553"/>
      <c r="L89" s="553"/>
      <c r="M89" s="14"/>
    </row>
    <row r="90" spans="1:15" x14ac:dyDescent="0.25">
      <c r="A90" s="530" t="s">
        <v>2838</v>
      </c>
      <c r="B90" s="553"/>
      <c r="C90" s="553"/>
      <c r="D90" s="553"/>
      <c r="E90" s="553"/>
      <c r="F90" s="553"/>
      <c r="G90" s="566"/>
      <c r="H90" s="550"/>
      <c r="I90" s="553"/>
      <c r="J90" s="553"/>
      <c r="K90" s="553"/>
      <c r="L90" s="553"/>
      <c r="M90" s="14"/>
    </row>
    <row r="91" spans="1:15" x14ac:dyDescent="0.25">
      <c r="A91" s="530" t="s">
        <v>2839</v>
      </c>
      <c r="B91" s="14"/>
      <c r="C91" s="14"/>
      <c r="D91" s="14"/>
      <c r="E91" s="553"/>
      <c r="F91" s="14"/>
      <c r="G91" s="14"/>
      <c r="H91" s="14"/>
      <c r="I91" s="14"/>
      <c r="J91" s="14"/>
      <c r="K91" s="14"/>
      <c r="L91" s="14"/>
      <c r="M91" s="14"/>
    </row>
    <row r="92" spans="1:15" x14ac:dyDescent="0.25">
      <c r="A92" s="530"/>
      <c r="B92" s="14"/>
      <c r="C92" s="14"/>
      <c r="D92" s="14"/>
      <c r="E92" s="14"/>
      <c r="F92" s="14"/>
      <c r="G92" s="14"/>
      <c r="H92" s="14"/>
      <c r="I92" s="14"/>
      <c r="J92" s="14"/>
      <c r="K92" s="14"/>
      <c r="L92" s="14"/>
    </row>
    <row r="93" spans="1:15" ht="13.8" x14ac:dyDescent="0.25">
      <c r="A93" s="1240" t="s">
        <v>420</v>
      </c>
      <c r="B93" s="261"/>
      <c r="C93" s="261"/>
      <c r="D93" s="261"/>
      <c r="E93" s="261"/>
      <c r="F93" s="261"/>
      <c r="G93" s="261"/>
      <c r="H93" s="261"/>
      <c r="I93" s="261"/>
      <c r="J93" s="261"/>
      <c r="K93" s="261"/>
      <c r="L93" s="261"/>
      <c r="M93" s="1290"/>
    </row>
    <row r="94" spans="1:15" ht="14.4" x14ac:dyDescent="0.3">
      <c r="A94" s="550" t="s">
        <v>2840</v>
      </c>
      <c r="B94" s="261"/>
      <c r="C94" s="261"/>
      <c r="D94" s="261"/>
      <c r="E94" s="261"/>
      <c r="F94" s="261"/>
      <c r="G94" s="261"/>
      <c r="H94" s="261"/>
      <c r="I94" s="261"/>
      <c r="J94" s="261"/>
      <c r="K94" s="261"/>
      <c r="L94" s="261"/>
      <c r="M94" s="1291"/>
      <c r="O94" s="400"/>
    </row>
    <row r="95" spans="1:15" ht="13.8" x14ac:dyDescent="0.25">
      <c r="A95" s="1154" t="s">
        <v>2841</v>
      </c>
      <c r="B95" s="261"/>
      <c r="C95" s="261"/>
      <c r="D95" s="261"/>
      <c r="E95" s="261"/>
      <c r="F95" s="261"/>
      <c r="G95" s="261"/>
      <c r="H95" s="261"/>
      <c r="I95" s="261"/>
      <c r="J95" s="261"/>
      <c r="K95" s="261"/>
      <c r="L95" s="261"/>
      <c r="M95" s="1291"/>
    </row>
    <row r="96" spans="1:15" ht="13.8" x14ac:dyDescent="0.25">
      <c r="A96" s="1154" t="s">
        <v>2842</v>
      </c>
      <c r="B96" s="261"/>
      <c r="C96" s="261"/>
      <c r="D96" s="261"/>
      <c r="E96" s="261"/>
      <c r="F96" s="261"/>
      <c r="G96" s="261"/>
      <c r="H96" s="261"/>
      <c r="I96" s="261"/>
      <c r="J96" s="261"/>
      <c r="K96" s="261"/>
      <c r="L96" s="261"/>
      <c r="M96" s="1291"/>
    </row>
    <row r="97" spans="1:13" ht="13.8" x14ac:dyDescent="0.25">
      <c r="A97" s="1154" t="s">
        <v>2843</v>
      </c>
      <c r="B97" s="261"/>
      <c r="C97" s="261"/>
      <c r="D97" s="261"/>
      <c r="E97" s="261"/>
      <c r="F97" s="261"/>
      <c r="G97" s="261"/>
      <c r="H97" s="261"/>
      <c r="I97" s="261"/>
      <c r="J97" s="261"/>
      <c r="K97" s="261"/>
      <c r="L97" s="261"/>
      <c r="M97" s="1291"/>
    </row>
    <row r="98" spans="1:13" ht="13.8" x14ac:dyDescent="0.25">
      <c r="A98" s="1154" t="s">
        <v>2844</v>
      </c>
      <c r="B98" s="261"/>
      <c r="C98" s="261"/>
      <c r="D98" s="261"/>
      <c r="E98" s="261"/>
      <c r="F98" s="261"/>
      <c r="G98" s="261"/>
      <c r="H98" s="261"/>
      <c r="I98" s="261"/>
      <c r="J98" s="261"/>
      <c r="K98" s="261"/>
      <c r="L98" s="261"/>
      <c r="M98" s="1291"/>
    </row>
    <row r="99" spans="1:13" ht="13.8" x14ac:dyDescent="0.25">
      <c r="A99" s="579" t="s">
        <v>2845</v>
      </c>
      <c r="B99" s="261"/>
      <c r="C99" s="261"/>
      <c r="D99" s="261"/>
      <c r="E99" s="261"/>
      <c r="F99" s="261"/>
      <c r="G99" s="261"/>
      <c r="H99" s="261"/>
      <c r="I99" s="261"/>
      <c r="J99" s="261"/>
      <c r="K99" s="261"/>
      <c r="L99" s="261"/>
      <c r="M99" s="1291"/>
    </row>
    <row r="100" spans="1:13" ht="13.8" x14ac:dyDescent="0.25">
      <c r="A100" s="1154" t="s">
        <v>2846</v>
      </c>
      <c r="B100" s="251"/>
      <c r="C100" s="1292"/>
      <c r="D100" s="1292"/>
      <c r="E100" s="1292"/>
      <c r="F100" s="1292"/>
      <c r="G100" s="1292"/>
      <c r="H100" s="1292"/>
      <c r="I100" s="1292"/>
      <c r="J100" s="1292"/>
      <c r="K100" s="1292"/>
      <c r="L100" s="261"/>
      <c r="M100" s="1291"/>
    </row>
    <row r="101" spans="1:13" ht="13.8" x14ac:dyDescent="0.25">
      <c r="A101" s="1154" t="s">
        <v>2847</v>
      </c>
      <c r="B101" s="251"/>
      <c r="C101" s="1292"/>
      <c r="D101" s="1292"/>
      <c r="E101" s="1292"/>
      <c r="F101" s="1292"/>
      <c r="G101" s="1292"/>
      <c r="H101" s="1292"/>
      <c r="I101" s="1292"/>
      <c r="J101" s="1292"/>
      <c r="K101" s="1292"/>
      <c r="L101" s="261"/>
      <c r="M101" s="1291"/>
    </row>
    <row r="102" spans="1:13" ht="13.8" x14ac:dyDescent="0.25">
      <c r="A102" s="550" t="s">
        <v>2848</v>
      </c>
      <c r="B102" s="251"/>
      <c r="C102" s="261"/>
      <c r="D102" s="261"/>
      <c r="E102" s="261"/>
      <c r="F102" s="261"/>
      <c r="G102" s="261"/>
      <c r="H102" s="261"/>
      <c r="I102" s="261"/>
      <c r="J102" s="261"/>
      <c r="K102" s="261"/>
      <c r="L102" s="261"/>
      <c r="M102" s="1291"/>
    </row>
    <row r="103" spans="1:13" ht="13.8" x14ac:dyDescent="0.25">
      <c r="A103" s="1154" t="s">
        <v>2849</v>
      </c>
      <c r="B103" s="251"/>
      <c r="C103" s="261"/>
      <c r="D103" s="261"/>
      <c r="E103" s="261"/>
      <c r="F103" s="261"/>
      <c r="G103" s="261"/>
      <c r="H103" s="261"/>
      <c r="I103" s="261"/>
      <c r="J103" s="261"/>
      <c r="K103" s="261"/>
      <c r="L103" s="261"/>
      <c r="M103" s="1291"/>
    </row>
    <row r="104" spans="1:13" ht="13.8" x14ac:dyDescent="0.25">
      <c r="A104" s="1154" t="s">
        <v>2850</v>
      </c>
      <c r="B104" s="251"/>
      <c r="C104" s="261"/>
      <c r="D104" s="261"/>
      <c r="E104" s="261"/>
      <c r="F104" s="261"/>
      <c r="G104" s="261"/>
      <c r="H104" s="261"/>
      <c r="I104" s="261"/>
      <c r="J104" s="261"/>
      <c r="K104" s="261"/>
      <c r="L104" s="261"/>
      <c r="M104" s="1291"/>
    </row>
    <row r="105" spans="1:13" ht="13.8" x14ac:dyDescent="0.25">
      <c r="A105" s="1154" t="s">
        <v>2851</v>
      </c>
      <c r="B105" s="1292"/>
      <c r="C105" s="261"/>
      <c r="D105" s="261"/>
      <c r="E105" s="261"/>
      <c r="F105" s="261"/>
      <c r="G105" s="261"/>
      <c r="H105" s="261"/>
      <c r="I105" s="261"/>
      <c r="J105" s="261"/>
      <c r="K105" s="261"/>
      <c r="L105" s="261"/>
      <c r="M105" s="1291"/>
    </row>
    <row r="106" spans="1:13" ht="13.8" x14ac:dyDescent="0.25">
      <c r="A106" s="1154" t="s">
        <v>2852</v>
      </c>
      <c r="B106" s="261"/>
      <c r="C106" s="261"/>
      <c r="D106" s="261"/>
      <c r="E106" s="261"/>
      <c r="F106" s="261"/>
      <c r="G106" s="261"/>
      <c r="H106" s="261"/>
      <c r="I106" s="261"/>
      <c r="J106" s="261"/>
      <c r="K106" s="261"/>
      <c r="L106" s="261"/>
      <c r="M106" s="1291"/>
    </row>
    <row r="107" spans="1:13" ht="13.8" x14ac:dyDescent="0.25">
      <c r="A107" s="1154" t="s">
        <v>2853</v>
      </c>
      <c r="B107" s="261"/>
      <c r="C107" s="261"/>
      <c r="D107" s="261"/>
      <c r="E107" s="261"/>
      <c r="F107" s="261"/>
      <c r="G107" s="261"/>
      <c r="H107" s="261"/>
      <c r="I107" s="261"/>
      <c r="J107" s="261"/>
      <c r="K107" s="261"/>
      <c r="L107" s="261"/>
      <c r="M107" s="1291"/>
    </row>
    <row r="108" spans="1:13" ht="13.8" x14ac:dyDescent="0.25">
      <c r="A108" s="1293"/>
      <c r="B108" s="1291"/>
      <c r="C108" s="1291"/>
      <c r="D108" s="1291"/>
      <c r="E108" s="1291"/>
      <c r="F108" s="1291"/>
      <c r="G108" s="1291"/>
      <c r="H108" s="1291"/>
      <c r="I108" s="1291"/>
      <c r="J108" s="1291"/>
      <c r="K108" s="1291"/>
      <c r="L108" s="1291"/>
      <c r="M108" s="1291"/>
    </row>
    <row r="109" spans="1:13" x14ac:dyDescent="0.25">
      <c r="B109" s="14"/>
      <c r="C109" s="14"/>
      <c r="D109" s="14"/>
      <c r="E109" s="14"/>
      <c r="F109" s="14"/>
      <c r="G109" s="14"/>
      <c r="H109" s="14"/>
      <c r="I109" s="14"/>
      <c r="J109" s="14"/>
      <c r="K109" s="14"/>
      <c r="L109" s="14"/>
      <c r="M109" s="14"/>
    </row>
    <row r="110" spans="1:13" x14ac:dyDescent="0.25">
      <c r="B110" s="14"/>
      <c r="C110" s="14"/>
      <c r="D110" s="14"/>
      <c r="E110" s="14"/>
      <c r="F110" s="14"/>
      <c r="G110" s="14"/>
      <c r="H110" s="14"/>
      <c r="I110" s="14"/>
      <c r="J110" s="14"/>
      <c r="K110" s="14"/>
      <c r="L110" s="14"/>
      <c r="M110" s="14"/>
    </row>
    <row r="111" spans="1:13" x14ac:dyDescent="0.25">
      <c r="B111" s="14"/>
      <c r="C111" s="14"/>
      <c r="D111" s="14"/>
      <c r="E111" s="14"/>
      <c r="F111" s="14"/>
      <c r="G111" s="14"/>
      <c r="H111" s="14"/>
      <c r="I111" s="14"/>
      <c r="J111" s="14"/>
      <c r="K111" s="14"/>
      <c r="L111" s="14"/>
      <c r="M111" s="14"/>
    </row>
    <row r="112" spans="1:13" x14ac:dyDescent="0.25">
      <c r="B112" s="14"/>
    </row>
    <row r="113" spans="2:2" x14ac:dyDescent="0.25">
      <c r="B113" s="14"/>
    </row>
    <row r="114" spans="2:2" x14ac:dyDescent="0.25">
      <c r="B114" s="14"/>
    </row>
  </sheetData>
  <pageMargins left="0.7" right="0.7" top="0.75" bottom="0.75" header="0.3" footer="0.3"/>
  <pageSetup scale="60" orientation="portrait" cellComments="asDisplayed" verticalDpi="0" r:id="rId1"/>
  <headerFooter>
    <oddHeader>&amp;CSchedule 35
PBOPs
&amp;"Arial,Bold"Attachment 5</oddHeader>
    <oddFooter>&amp;R35-PBOPs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7"/>
  <sheetViews>
    <sheetView zoomScale="90" zoomScaleNormal="90" zoomScalePageLayoutView="85" workbookViewId="0">
      <selection activeCell="I4" sqref="I4"/>
    </sheetView>
  </sheetViews>
  <sheetFormatPr defaultRowHeight="13.2" x14ac:dyDescent="0.25"/>
  <cols>
    <col min="1" max="1" width="4.6640625" customWidth="1"/>
    <col min="8" max="9" width="25.6640625" customWidth="1"/>
    <col min="10" max="10" width="2.6640625" customWidth="1"/>
    <col min="11" max="11" width="16.6640625" customWidth="1"/>
    <col min="14" max="15" width="8.88671875" customWidth="1"/>
  </cols>
  <sheetData>
    <row r="1" spans="1:12" x14ac:dyDescent="0.25">
      <c r="A1" s="1" t="s">
        <v>185</v>
      </c>
    </row>
    <row r="2" spans="1:12" x14ac:dyDescent="0.25">
      <c r="I2" s="105" t="s">
        <v>332</v>
      </c>
      <c r="J2" s="105"/>
      <c r="K2" s="14"/>
      <c r="L2" s="14"/>
    </row>
    <row r="3" spans="1:12" x14ac:dyDescent="0.25">
      <c r="A3" s="1" t="s">
        <v>186</v>
      </c>
      <c r="L3" s="14"/>
    </row>
    <row r="4" spans="1:12" x14ac:dyDescent="0.25">
      <c r="H4" s="2"/>
      <c r="I4" s="2" t="s">
        <v>188</v>
      </c>
      <c r="K4" s="274"/>
    </row>
    <row r="5" spans="1:12" x14ac:dyDescent="0.25">
      <c r="A5" s="55" t="s">
        <v>350</v>
      </c>
      <c r="H5" s="3" t="s">
        <v>187</v>
      </c>
      <c r="I5" s="3" t="s">
        <v>189</v>
      </c>
      <c r="K5" s="3" t="s">
        <v>190</v>
      </c>
    </row>
    <row r="7" spans="1:12" x14ac:dyDescent="0.25">
      <c r="A7" s="10" t="s">
        <v>195</v>
      </c>
      <c r="B7" s="11"/>
      <c r="C7" s="11"/>
      <c r="D7" s="11"/>
      <c r="E7" s="11"/>
      <c r="F7" s="11"/>
      <c r="G7" s="11"/>
      <c r="H7" s="9"/>
      <c r="I7" s="9"/>
      <c r="J7" s="9"/>
      <c r="K7" s="9"/>
    </row>
    <row r="9" spans="1:12" x14ac:dyDescent="0.25">
      <c r="A9" s="2">
        <v>1</v>
      </c>
      <c r="B9" s="52" t="s">
        <v>1147</v>
      </c>
      <c r="I9" s="15" t="str">
        <f>"6-PlantInService, Line "&amp;'6-PlantInService'!A43&amp;""</f>
        <v>6-PlantInService, Line 19</v>
      </c>
      <c r="K9" s="7">
        <f>'6-PlantInService'!D43</f>
        <v>0</v>
      </c>
    </row>
    <row r="10" spans="1:12" x14ac:dyDescent="0.25">
      <c r="A10" s="2">
        <f>A9+1</f>
        <v>2</v>
      </c>
      <c r="B10" s="52" t="s">
        <v>348</v>
      </c>
      <c r="I10" s="15" t="str">
        <f>"6-PlantInService, Line "&amp;'6-PlantInService'!A63&amp;""</f>
        <v>6-PlantInService, Line 27</v>
      </c>
      <c r="K10" s="7" t="e">
        <f>'6-PlantInService'!F63</f>
        <v>#DIV/0!</v>
      </c>
    </row>
    <row r="11" spans="1:12" x14ac:dyDescent="0.25">
      <c r="A11" s="2">
        <f>A10+1</f>
        <v>3</v>
      </c>
      <c r="B11" s="52" t="s">
        <v>174</v>
      </c>
      <c r="I11" s="15" t="str">
        <f>"11-PHFU, Line "&amp;'11-PHFU'!A38&amp;""</f>
        <v>11-PHFU, Line 8</v>
      </c>
      <c r="K11" s="7" t="e">
        <f>'11-PHFU'!E38</f>
        <v>#DIV/0!</v>
      </c>
    </row>
    <row r="12" spans="1:12" x14ac:dyDescent="0.25">
      <c r="A12" s="2">
        <f>A11+1</f>
        <v>4</v>
      </c>
      <c r="B12" s="120" t="s">
        <v>343</v>
      </c>
      <c r="C12" s="14"/>
      <c r="D12" s="14"/>
      <c r="E12" s="14"/>
      <c r="F12" s="14"/>
      <c r="G12" s="14"/>
      <c r="H12" s="14"/>
      <c r="I12" s="15" t="str">
        <f>"12-AbandonedPlant, Line "&amp;'12-AbandonedPlant'!A20&amp;""</f>
        <v>12-AbandonedPlant, Line 3</v>
      </c>
      <c r="K12" s="7">
        <f>'12-AbandonedPlant'!G20</f>
        <v>0</v>
      </c>
    </row>
    <row r="13" spans="1:12" x14ac:dyDescent="0.25">
      <c r="A13" s="2"/>
      <c r="B13" s="120"/>
      <c r="C13" s="14"/>
      <c r="D13" s="14"/>
      <c r="E13" s="14"/>
      <c r="F13" s="14"/>
      <c r="G13" s="14"/>
      <c r="H13" s="14"/>
      <c r="I13" s="14"/>
      <c r="K13" s="7"/>
    </row>
    <row r="14" spans="1:12" x14ac:dyDescent="0.25">
      <c r="A14" s="2"/>
      <c r="B14" s="46" t="s">
        <v>269</v>
      </c>
      <c r="C14" s="14"/>
      <c r="D14" s="14"/>
      <c r="E14" s="14"/>
      <c r="F14" s="14"/>
      <c r="G14" s="14"/>
      <c r="H14" s="14"/>
      <c r="I14" s="14"/>
      <c r="K14" s="7"/>
    </row>
    <row r="15" spans="1:12" x14ac:dyDescent="0.25">
      <c r="A15" s="2">
        <f>A12+1</f>
        <v>5</v>
      </c>
      <c r="B15" s="13" t="s">
        <v>102</v>
      </c>
      <c r="I15" s="15" t="str">
        <f>"13-WorkCap, Line "&amp;'13-WorkCap'!A26&amp;""</f>
        <v>13-WorkCap, Line 16</v>
      </c>
      <c r="K15" s="7" t="e">
        <f>'13-WorkCap'!F26</f>
        <v>#DIV/0!</v>
      </c>
    </row>
    <row r="16" spans="1:12" x14ac:dyDescent="0.25">
      <c r="A16" s="2">
        <f>A15+1</f>
        <v>6</v>
      </c>
      <c r="B16" s="16" t="s">
        <v>103</v>
      </c>
      <c r="I16" s="15" t="str">
        <f>"13-WorkCap, Line "&amp;'13-WorkCap'!A55&amp;""</f>
        <v>13-WorkCap, Line 36</v>
      </c>
      <c r="K16" s="7" t="e">
        <f>'13-WorkCap'!F55</f>
        <v>#DIV/0!</v>
      </c>
    </row>
    <row r="17" spans="1:11" x14ac:dyDescent="0.25">
      <c r="A17" s="2">
        <f>A16+1</f>
        <v>7</v>
      </c>
      <c r="B17" s="13" t="s">
        <v>191</v>
      </c>
      <c r="I17" s="15" t="str">
        <f>"(Line "&amp;A124&amp;" + Line "&amp;A125&amp;") / 16"</f>
        <v>(Line 65 + Line 66) / 16</v>
      </c>
      <c r="K17" s="112" t="e">
        <f>(K124+K125)/16</f>
        <v>#DIV/0!</v>
      </c>
    </row>
    <row r="18" spans="1:11" x14ac:dyDescent="0.25">
      <c r="A18" s="2">
        <f>A17+1</f>
        <v>8</v>
      </c>
      <c r="B18" s="13" t="s">
        <v>101</v>
      </c>
      <c r="I18" s="15" t="str">
        <f>"Line "&amp;A15&amp;" + Line "&amp;A16&amp;" + Line "&amp;A17&amp;""</f>
        <v>Line 5 + Line 6 + Line 7</v>
      </c>
      <c r="K18" s="7" t="e">
        <f>SUM(K15:K17)</f>
        <v>#DIV/0!</v>
      </c>
    </row>
    <row r="19" spans="1:11" x14ac:dyDescent="0.25">
      <c r="A19" s="2"/>
      <c r="B19" s="13"/>
      <c r="I19" s="14"/>
      <c r="K19" s="7"/>
    </row>
    <row r="20" spans="1:11" x14ac:dyDescent="0.25">
      <c r="A20" s="2"/>
      <c r="B20" s="83" t="s">
        <v>184</v>
      </c>
      <c r="I20" s="14"/>
      <c r="K20" s="7"/>
    </row>
    <row r="21" spans="1:11" x14ac:dyDescent="0.25">
      <c r="A21" s="2">
        <f>A18+1</f>
        <v>9</v>
      </c>
      <c r="B21" s="13" t="s">
        <v>1150</v>
      </c>
      <c r="H21" t="s">
        <v>168</v>
      </c>
      <c r="I21" s="15" t="str">
        <f>"8-AccDep, Line "&amp;'8-AccDep'!A24&amp;", Col. 12"</f>
        <v>8-AccDep, Line 13, Col. 12</v>
      </c>
      <c r="K21" s="7">
        <f>-'8-AccDep'!N24</f>
        <v>0</v>
      </c>
    </row>
    <row r="22" spans="1:11" x14ac:dyDescent="0.25">
      <c r="A22" s="2">
        <f>A21+1</f>
        <v>10</v>
      </c>
      <c r="B22" s="13" t="s">
        <v>1151</v>
      </c>
      <c r="H22" t="s">
        <v>168</v>
      </c>
      <c r="I22" s="15" t="str">
        <f>"8-AccDep, Line "&amp;'8-AccDep'!A34&amp;", Col. 5"</f>
        <v>8-AccDep, Line 16, Col. 5</v>
      </c>
      <c r="K22" s="7">
        <f>-'8-AccDep'!G34</f>
        <v>0</v>
      </c>
    </row>
    <row r="23" spans="1:11" x14ac:dyDescent="0.25">
      <c r="A23" s="2">
        <f>A22+1</f>
        <v>11</v>
      </c>
      <c r="B23" s="13" t="s">
        <v>339</v>
      </c>
      <c r="C23" s="22"/>
      <c r="H23" t="s">
        <v>168</v>
      </c>
      <c r="I23" s="15" t="str">
        <f>"8-AccDep, Line "&amp;'8-AccDep'!A60&amp;""</f>
        <v>8-AccDep, Line 26</v>
      </c>
      <c r="K23" s="59" t="e">
        <f>-'8-AccDep'!F60</f>
        <v>#DIV/0!</v>
      </c>
    </row>
    <row r="24" spans="1:11" x14ac:dyDescent="0.25">
      <c r="A24" s="2">
        <f>A23+1</f>
        <v>12</v>
      </c>
      <c r="B24" s="84" t="s">
        <v>181</v>
      </c>
      <c r="C24" s="22"/>
      <c r="I24" s="15" t="str">
        <f>"Line "&amp;A21&amp;" + Line "&amp;A22&amp;" + Line "&amp;A23&amp;""</f>
        <v>Line 9 + Line 10 + Line 11</v>
      </c>
      <c r="K24" s="7" t="e">
        <f>SUM(K21:K23)</f>
        <v>#DIV/0!</v>
      </c>
    </row>
    <row r="25" spans="1:11" x14ac:dyDescent="0.25">
      <c r="B25" s="12"/>
      <c r="I25" s="14"/>
      <c r="K25" s="7"/>
    </row>
    <row r="26" spans="1:11" x14ac:dyDescent="0.25">
      <c r="A26" s="2">
        <f>A24+1</f>
        <v>13</v>
      </c>
      <c r="B26" s="67" t="s">
        <v>182</v>
      </c>
      <c r="H26" t="s">
        <v>168</v>
      </c>
      <c r="I26" s="15" t="str">
        <f>"9-ADIT, Line "&amp;'9-ADIT'!A14&amp;", Col. 2"</f>
        <v>9-ADIT, Line 5, Col. 2</v>
      </c>
      <c r="K26" s="7" t="e">
        <f>'9-ADIT'!D14</f>
        <v>#DIV/0!</v>
      </c>
    </row>
    <row r="27" spans="1:11" x14ac:dyDescent="0.25">
      <c r="A27" s="2"/>
      <c r="B27" s="67"/>
      <c r="I27" s="14"/>
    </row>
    <row r="28" spans="1:11" x14ac:dyDescent="0.25">
      <c r="A28" s="2">
        <f>A26+1</f>
        <v>14</v>
      </c>
      <c r="B28" s="52" t="s">
        <v>266</v>
      </c>
      <c r="I28" s="15" t="str">
        <f>"14-IncentivePlant, L "&amp;'14-IncentivePlant'!A37&amp;", Col 1"</f>
        <v>14-IncentivePlant, L 12, Col 1</v>
      </c>
      <c r="K28" s="7">
        <f>'14-IncentivePlant'!E37</f>
        <v>0</v>
      </c>
    </row>
    <row r="29" spans="1:11" x14ac:dyDescent="0.25">
      <c r="A29" s="2"/>
      <c r="B29" s="52"/>
      <c r="I29" s="14"/>
      <c r="K29" s="7"/>
    </row>
    <row r="30" spans="1:11" x14ac:dyDescent="0.25">
      <c r="A30" s="2">
        <f>A28+1</f>
        <v>15</v>
      </c>
      <c r="B30" s="52" t="s">
        <v>398</v>
      </c>
      <c r="I30" s="15" t="str">
        <f>"23-RegAssets, Line "&amp;'23-RegAssets'!A17&amp;""</f>
        <v>23-RegAssets, Line 14</v>
      </c>
      <c r="K30" s="65">
        <f>'23-RegAssets'!E17</f>
        <v>0</v>
      </c>
    </row>
    <row r="31" spans="1:11" x14ac:dyDescent="0.25">
      <c r="A31" s="121" t="s">
        <v>903</v>
      </c>
      <c r="B31" s="1148" t="s">
        <v>2425</v>
      </c>
      <c r="C31" s="14"/>
      <c r="D31" s="14"/>
      <c r="E31" s="14"/>
      <c r="F31" s="14"/>
      <c r="G31" s="14"/>
      <c r="H31" s="14"/>
      <c r="I31" s="15" t="str">
        <f>"34-UnfundedReserves, Line "&amp;'34-UnfundedReserves'!A9&amp;""</f>
        <v>34-UnfundedReserves, Line 6</v>
      </c>
      <c r="J31" s="14"/>
      <c r="K31" s="65" t="e">
        <f>'34-UnfundedReserves'!K9</f>
        <v>#DIV/0!</v>
      </c>
    </row>
    <row r="32" spans="1:11" x14ac:dyDescent="0.25">
      <c r="A32" s="121">
        <f>A30+1</f>
        <v>16</v>
      </c>
      <c r="B32" s="1148" t="s">
        <v>64</v>
      </c>
      <c r="C32" s="14"/>
      <c r="D32" s="14"/>
      <c r="E32" s="14"/>
      <c r="F32" s="14"/>
      <c r="G32" s="14"/>
      <c r="H32" s="14" t="s">
        <v>168</v>
      </c>
      <c r="I32" s="15" t="str">
        <f>"22-NUCs, Line "&amp;'22-NUCs'!A12&amp;""</f>
        <v>22-NUCs, Line 5</v>
      </c>
      <c r="J32" s="14"/>
      <c r="K32" s="65">
        <f>-'22-NUCs'!E12</f>
        <v>0</v>
      </c>
    </row>
    <row r="33" spans="1:11" x14ac:dyDescent="0.25">
      <c r="A33" s="121"/>
      <c r="B33" s="1148"/>
      <c r="C33" s="14"/>
      <c r="D33" s="14"/>
      <c r="E33" s="14"/>
      <c r="F33" s="14"/>
      <c r="G33" s="14"/>
      <c r="H33" s="14"/>
      <c r="I33" s="14"/>
      <c r="J33" s="14"/>
      <c r="K33" s="14"/>
    </row>
    <row r="34" spans="1:11" x14ac:dyDescent="0.25">
      <c r="A34" s="121">
        <f>A32+1</f>
        <v>17</v>
      </c>
      <c r="B34" s="14" t="s">
        <v>192</v>
      </c>
      <c r="C34" s="14"/>
      <c r="D34" s="14"/>
      <c r="E34" s="14"/>
      <c r="F34" s="14"/>
      <c r="G34" s="14"/>
      <c r="H34" s="14"/>
      <c r="I34" s="15" t="str">
        <f>"L"&amp;A9&amp;" + L"&amp;A10&amp;" + L"&amp;A11&amp;" + L"&amp;A12&amp;" + L"&amp;A18&amp;" + L"&amp;A24&amp;" +"</f>
        <v>L1 + L2 + L3 + L4 + L8 + L12 +</v>
      </c>
      <c r="J34" s="14"/>
      <c r="K34" s="65" t="e">
        <f>K9+K10+K11+K12+K18+K24+K26+K28+K30+K31+K32</f>
        <v>#DIV/0!</v>
      </c>
    </row>
    <row r="35" spans="1:11" x14ac:dyDescent="0.25">
      <c r="A35" s="121"/>
      <c r="B35" s="14"/>
      <c r="C35" s="14"/>
      <c r="D35" s="14"/>
      <c r="E35" s="14"/>
      <c r="F35" s="14"/>
      <c r="G35" s="14"/>
      <c r="H35" s="14"/>
      <c r="I35" s="120" t="str">
        <f>"L"&amp;A26&amp;" + L"&amp;A28&amp;"+ L"&amp;A30&amp;"+ L"&amp;A31&amp;" + L"&amp;A32&amp;""</f>
        <v>L13 + L14+ L15+ L15a + L16</v>
      </c>
      <c r="J35" s="14"/>
      <c r="K35" s="65"/>
    </row>
    <row r="37" spans="1:11" x14ac:dyDescent="0.25">
      <c r="A37" s="10" t="s">
        <v>277</v>
      </c>
      <c r="B37" s="11"/>
      <c r="C37" s="11"/>
      <c r="D37" s="11"/>
      <c r="E37" s="11"/>
      <c r="F37" s="11"/>
      <c r="G37" s="11"/>
      <c r="H37" s="9"/>
      <c r="I37" s="9"/>
      <c r="J37" s="9"/>
      <c r="K37" s="9"/>
    </row>
    <row r="39" spans="1:11" x14ac:dyDescent="0.25">
      <c r="A39" s="2">
        <f>A34+1</f>
        <v>18</v>
      </c>
      <c r="B39" s="553" t="s">
        <v>2064</v>
      </c>
      <c r="C39" s="14"/>
      <c r="D39" s="14"/>
      <c r="H39" s="561" t="s">
        <v>2784</v>
      </c>
      <c r="I39" s="12" t="s">
        <v>556</v>
      </c>
      <c r="K39" s="6"/>
    </row>
    <row r="40" spans="1:11" x14ac:dyDescent="0.25">
      <c r="A40" s="2">
        <f>A39+1</f>
        <v>19</v>
      </c>
      <c r="B40" s="124" t="s">
        <v>66</v>
      </c>
      <c r="C40" s="14"/>
      <c r="D40" s="14"/>
      <c r="I40" s="15" t="str">
        <f>"27-Allocators, Line "&amp;'27-Allocators'!A28&amp;""</f>
        <v>27-Allocators, Line 22</v>
      </c>
      <c r="K40" s="8" t="e">
        <f>'27-Allocators'!G28</f>
        <v>#DIV/0!</v>
      </c>
    </row>
    <row r="41" spans="1:11" x14ac:dyDescent="0.25">
      <c r="A41" s="2">
        <f>A40+1</f>
        <v>20</v>
      </c>
      <c r="B41" s="14" t="s">
        <v>70</v>
      </c>
      <c r="C41" s="14"/>
      <c r="D41" s="14"/>
      <c r="I41" s="15" t="str">
        <f>"Line "&amp;A39&amp;" * Line "&amp;A40&amp;""</f>
        <v>Line 18 * Line 19</v>
      </c>
      <c r="K41" s="7" t="e">
        <f>K39*K40</f>
        <v>#DIV/0!</v>
      </c>
    </row>
    <row r="42" spans="1:11" x14ac:dyDescent="0.25">
      <c r="A42" s="2" t="s">
        <v>359</v>
      </c>
      <c r="B42" s="14"/>
      <c r="C42" s="14"/>
      <c r="D42" s="14"/>
      <c r="H42" s="12"/>
      <c r="I42" s="14"/>
      <c r="K42" s="8"/>
    </row>
    <row r="43" spans="1:11" x14ac:dyDescent="0.25">
      <c r="A43" s="2">
        <f>A41+1</f>
        <v>21</v>
      </c>
      <c r="B43" s="15" t="s">
        <v>278</v>
      </c>
      <c r="C43" s="14"/>
      <c r="D43" s="14"/>
      <c r="I43" s="14"/>
      <c r="K43" s="8"/>
    </row>
    <row r="44" spans="1:11" x14ac:dyDescent="0.25">
      <c r="A44" s="2">
        <f t="shared" ref="A44:A56" si="0">A43+1</f>
        <v>22</v>
      </c>
      <c r="B44" s="124" t="s">
        <v>16</v>
      </c>
      <c r="C44" s="14"/>
      <c r="D44" s="14"/>
      <c r="E44" s="1"/>
      <c r="F44" s="1"/>
      <c r="G44" s="1"/>
      <c r="I44" s="15" t="str">
        <f>"Line "&amp;A45&amp;" + Line "&amp;A46&amp;"+ Line "&amp;A47&amp;""</f>
        <v>Line 23 + Line 24+ Line 25</v>
      </c>
      <c r="K44" s="65">
        <f>SUM(K45:K47)</f>
        <v>0</v>
      </c>
    </row>
    <row r="45" spans="1:11" x14ac:dyDescent="0.25">
      <c r="A45" s="2">
        <f t="shared" si="0"/>
        <v>23</v>
      </c>
      <c r="B45" s="409" t="s">
        <v>46</v>
      </c>
      <c r="C45" s="14"/>
      <c r="D45" s="14"/>
      <c r="E45" s="1"/>
      <c r="F45" s="1"/>
      <c r="G45" s="1"/>
      <c r="H45" s="561" t="s">
        <v>2784</v>
      </c>
      <c r="I45" s="15" t="s">
        <v>557</v>
      </c>
      <c r="K45" s="6"/>
    </row>
    <row r="46" spans="1:11" x14ac:dyDescent="0.25">
      <c r="A46" s="2">
        <f t="shared" si="0"/>
        <v>24</v>
      </c>
      <c r="B46" s="409" t="s">
        <v>47</v>
      </c>
      <c r="C46" s="14"/>
      <c r="D46" s="14"/>
      <c r="E46" s="1"/>
      <c r="F46" s="1"/>
      <c r="G46" s="1"/>
      <c r="H46" s="561" t="s">
        <v>2784</v>
      </c>
      <c r="I46" s="15" t="s">
        <v>557</v>
      </c>
      <c r="K46" s="6"/>
    </row>
    <row r="47" spans="1:11" x14ac:dyDescent="0.25">
      <c r="A47" s="2">
        <f t="shared" si="0"/>
        <v>25</v>
      </c>
      <c r="B47" s="409" t="s">
        <v>48</v>
      </c>
      <c r="C47" s="14"/>
      <c r="D47" s="14"/>
      <c r="E47" s="1"/>
      <c r="F47" s="1"/>
      <c r="G47" s="1"/>
      <c r="H47" s="561" t="s">
        <v>2784</v>
      </c>
      <c r="I47" s="15" t="s">
        <v>557</v>
      </c>
      <c r="K47" s="6"/>
    </row>
    <row r="48" spans="1:11" x14ac:dyDescent="0.25">
      <c r="A48" s="2">
        <f t="shared" si="0"/>
        <v>26</v>
      </c>
      <c r="B48" s="550" t="s">
        <v>2065</v>
      </c>
      <c r="C48" s="14"/>
      <c r="D48" s="14"/>
      <c r="H48" s="561" t="s">
        <v>2784</v>
      </c>
      <c r="I48" s="15" t="s">
        <v>557</v>
      </c>
      <c r="K48" s="6"/>
    </row>
    <row r="49" spans="1:11" x14ac:dyDescent="0.25">
      <c r="A49" s="2">
        <f t="shared" si="0"/>
        <v>27</v>
      </c>
      <c r="B49" s="124" t="s">
        <v>2066</v>
      </c>
      <c r="C49" s="14"/>
      <c r="D49" s="14"/>
      <c r="H49" s="561" t="s">
        <v>2784</v>
      </c>
      <c r="I49" s="15" t="s">
        <v>557</v>
      </c>
      <c r="K49" s="6"/>
    </row>
    <row r="50" spans="1:11" x14ac:dyDescent="0.25">
      <c r="A50" s="657">
        <f t="shared" si="0"/>
        <v>28</v>
      </c>
      <c r="B50" s="124" t="s">
        <v>1865</v>
      </c>
      <c r="C50" s="14"/>
      <c r="D50" s="14"/>
      <c r="H50" s="561" t="s">
        <v>2784</v>
      </c>
      <c r="I50" s="553" t="s">
        <v>1866</v>
      </c>
      <c r="K50" s="6"/>
    </row>
    <row r="51" spans="1:11" x14ac:dyDescent="0.25">
      <c r="A51" s="657">
        <f t="shared" si="0"/>
        <v>29</v>
      </c>
      <c r="B51" s="124" t="s">
        <v>2067</v>
      </c>
      <c r="C51" s="14"/>
      <c r="D51" s="14"/>
      <c r="H51" s="561" t="s">
        <v>2784</v>
      </c>
      <c r="I51" s="553" t="s">
        <v>1866</v>
      </c>
      <c r="K51" s="6"/>
    </row>
    <row r="52" spans="1:11" x14ac:dyDescent="0.25">
      <c r="A52" s="657">
        <f t="shared" si="0"/>
        <v>30</v>
      </c>
      <c r="B52" t="s">
        <v>71</v>
      </c>
      <c r="I52" s="15" t="str">
        <f>"Line "&amp;A44&amp;" + (Line "&amp;A48&amp;" to Line "&amp;A51&amp;")"</f>
        <v>Line 22 + (Line 26 to Line 29)</v>
      </c>
      <c r="K52" s="7">
        <f>K44+K48+K49+K50+K51</f>
        <v>0</v>
      </c>
    </row>
    <row r="53" spans="1:11" x14ac:dyDescent="0.25">
      <c r="A53" s="657">
        <f t="shared" si="0"/>
        <v>31</v>
      </c>
      <c r="B53" s="553" t="s">
        <v>1867</v>
      </c>
      <c r="C53" s="14"/>
      <c r="D53" s="14"/>
      <c r="E53" s="14"/>
      <c r="F53" s="14"/>
      <c r="G53" s="14"/>
      <c r="H53" s="553"/>
      <c r="I53" s="553" t="str">
        <f>"26-TaxRates, Line "&amp;'26-TaxRates'!A57&amp;""</f>
        <v>26-TaxRates, Line 51</v>
      </c>
      <c r="K53" s="255">
        <f>'26-TaxRates'!F57</f>
        <v>0</v>
      </c>
    </row>
    <row r="54" spans="1:11" x14ac:dyDescent="0.25">
      <c r="A54" s="657">
        <f t="shared" si="0"/>
        <v>32</v>
      </c>
      <c r="B54" s="14" t="s">
        <v>1503</v>
      </c>
      <c r="C54" s="14"/>
      <c r="D54" s="14"/>
      <c r="E54" s="14"/>
      <c r="F54" s="14"/>
      <c r="G54" s="14"/>
      <c r="I54" s="15" t="str">
        <f>"Line "&amp;A52&amp;" - Line "&amp;A53&amp;""</f>
        <v>Line 30 - Line 31</v>
      </c>
      <c r="K54" s="7">
        <f>K52-K53</f>
        <v>0</v>
      </c>
    </row>
    <row r="55" spans="1:11" x14ac:dyDescent="0.25">
      <c r="A55" s="657">
        <f t="shared" si="0"/>
        <v>33</v>
      </c>
      <c r="B55" s="13" t="s">
        <v>104</v>
      </c>
      <c r="I55" s="15" t="str">
        <f>"27-Allocators, Line "&amp;'27-Allocators'!A15&amp;""</f>
        <v>27-Allocators, Line 9</v>
      </c>
      <c r="K55" s="8" t="e">
        <f>'27-Allocators'!G15</f>
        <v>#DIV/0!</v>
      </c>
    </row>
    <row r="56" spans="1:11" x14ac:dyDescent="0.25">
      <c r="A56" s="657">
        <f t="shared" si="0"/>
        <v>34</v>
      </c>
      <c r="B56" s="52" t="s">
        <v>278</v>
      </c>
      <c r="I56" s="15" t="str">
        <f>"Line "&amp;A54&amp;" * Line "&amp;A55&amp;""</f>
        <v>Line 32 * Line 33</v>
      </c>
      <c r="K56" s="7" t="e">
        <f>K54*K55</f>
        <v>#DIV/0!</v>
      </c>
    </row>
    <row r="57" spans="1:11" x14ac:dyDescent="0.25">
      <c r="A57" s="2"/>
      <c r="K57" s="7"/>
    </row>
    <row r="58" spans="1:11" x14ac:dyDescent="0.25">
      <c r="A58" s="2">
        <f>A56+1</f>
        <v>35</v>
      </c>
      <c r="B58" s="12" t="s">
        <v>89</v>
      </c>
      <c r="I58" s="12" t="str">
        <f>"Line "&amp;A41&amp;" + Line "&amp;A56&amp;""</f>
        <v>Line 20 + Line 34</v>
      </c>
      <c r="K58" s="7" t="e">
        <f>K41+K56</f>
        <v>#DIV/0!</v>
      </c>
    </row>
    <row r="60" spans="1:11" x14ac:dyDescent="0.25">
      <c r="A60" s="10" t="s">
        <v>196</v>
      </c>
      <c r="B60" s="11"/>
      <c r="C60" s="11"/>
      <c r="D60" s="11"/>
      <c r="E60" s="11"/>
      <c r="F60" s="11"/>
      <c r="G60" s="11"/>
      <c r="H60" s="9"/>
      <c r="I60" s="9"/>
      <c r="J60" s="9"/>
      <c r="K60" s="9"/>
    </row>
    <row r="61" spans="1:11" x14ac:dyDescent="0.25">
      <c r="A61" s="45"/>
      <c r="B61" s="15"/>
      <c r="C61" s="15"/>
      <c r="D61" s="15"/>
      <c r="E61" s="15"/>
      <c r="F61" s="15"/>
      <c r="G61" s="15"/>
      <c r="H61" s="15"/>
      <c r="I61" s="15"/>
      <c r="J61" s="15"/>
      <c r="K61" s="15"/>
    </row>
    <row r="62" spans="1:11" x14ac:dyDescent="0.25">
      <c r="A62" s="116"/>
      <c r="B62" s="46" t="s">
        <v>26</v>
      </c>
      <c r="C62" s="15"/>
      <c r="D62" s="15"/>
      <c r="E62" s="15"/>
      <c r="F62" s="15"/>
      <c r="G62" s="15"/>
      <c r="H62" s="15"/>
      <c r="I62" s="15"/>
      <c r="J62" s="15"/>
      <c r="K62" s="15"/>
    </row>
    <row r="63" spans="1:11" x14ac:dyDescent="0.25">
      <c r="A63" s="121">
        <f>A58+1</f>
        <v>36</v>
      </c>
      <c r="B63" s="15" t="s">
        <v>228</v>
      </c>
      <c r="C63" s="15"/>
      <c r="D63" s="15"/>
      <c r="E63" s="15"/>
      <c r="F63" s="15"/>
      <c r="G63" s="15"/>
      <c r="H63" s="15"/>
      <c r="I63" s="15" t="str">
        <f>"5-ROR-1, Line "&amp;'5-ROR-1'!A16&amp;""</f>
        <v>5-ROR-1, Line 8</v>
      </c>
      <c r="J63" s="15"/>
      <c r="K63" s="48">
        <f>'5-ROR-1'!L16</f>
        <v>0</v>
      </c>
    </row>
    <row r="64" spans="1:11" x14ac:dyDescent="0.25">
      <c r="A64" s="2">
        <f>A63+1</f>
        <v>37</v>
      </c>
      <c r="B64" s="15" t="s">
        <v>279</v>
      </c>
      <c r="C64" s="15"/>
      <c r="D64" s="15"/>
      <c r="E64" s="15"/>
      <c r="F64" s="15"/>
      <c r="G64" s="15"/>
      <c r="H64" s="15"/>
      <c r="I64" s="15" t="str">
        <f>"5-ROR-1, Line "&amp;'5-ROR-1'!A27&amp;""</f>
        <v>5-ROR-1, Line 16</v>
      </c>
      <c r="J64" s="15"/>
      <c r="K64" s="48">
        <f>'5-ROR-1'!L27</f>
        <v>0</v>
      </c>
    </row>
    <row r="65" spans="1:11" x14ac:dyDescent="0.25">
      <c r="A65" s="2">
        <f>A64+1</f>
        <v>38</v>
      </c>
      <c r="B65" s="15" t="s">
        <v>280</v>
      </c>
      <c r="C65" s="15"/>
      <c r="D65" s="15"/>
      <c r="E65" s="15"/>
      <c r="F65" s="15"/>
      <c r="G65" s="15"/>
      <c r="I65" s="15" t="str">
        <f>"5-ROR-1, Line "&amp;'5-ROR-1'!A29&amp;""</f>
        <v>5-ROR-1, Line 17</v>
      </c>
      <c r="J65" s="15"/>
      <c r="K65" s="49" t="e">
        <f>'5-ROR-1'!L29</f>
        <v>#DIV/0!</v>
      </c>
    </row>
    <row r="66" spans="1:11" x14ac:dyDescent="0.25">
      <c r="A66" s="121"/>
      <c r="B66" s="15"/>
      <c r="C66" s="15"/>
      <c r="D66" s="15"/>
      <c r="E66" s="15"/>
      <c r="F66" s="15"/>
      <c r="G66" s="15"/>
      <c r="I66" s="15"/>
      <c r="J66" s="15"/>
      <c r="K66" s="49"/>
    </row>
    <row r="67" spans="1:11" x14ac:dyDescent="0.25">
      <c r="A67" s="121"/>
      <c r="B67" s="46" t="s">
        <v>27</v>
      </c>
      <c r="C67" s="15"/>
      <c r="D67" s="15"/>
      <c r="E67" s="15"/>
      <c r="F67" s="15"/>
      <c r="G67" s="15"/>
      <c r="H67" s="15"/>
      <c r="I67" s="15"/>
      <c r="J67" s="15"/>
      <c r="K67" s="15"/>
    </row>
    <row r="68" spans="1:11" x14ac:dyDescent="0.25">
      <c r="A68" s="121">
        <f>A65+1</f>
        <v>39</v>
      </c>
      <c r="B68" s="553" t="s">
        <v>56</v>
      </c>
      <c r="C68" s="15"/>
      <c r="D68" s="15"/>
      <c r="E68" s="15"/>
      <c r="F68" s="15"/>
      <c r="G68" s="15"/>
      <c r="H68" s="15"/>
      <c r="I68" s="15" t="str">
        <f>"5-ROR-1, Line "&amp;'5-ROR-1'!A35&amp;""</f>
        <v>5-ROR-1, Line 21</v>
      </c>
      <c r="J68" s="15"/>
      <c r="K68" s="48">
        <f>'5-ROR-1'!L35</f>
        <v>0</v>
      </c>
    </row>
    <row r="69" spans="1:11" x14ac:dyDescent="0.25">
      <c r="A69" s="2">
        <f>A68+1</f>
        <v>40</v>
      </c>
      <c r="B69" s="553" t="s">
        <v>25</v>
      </c>
      <c r="C69" s="15"/>
      <c r="D69" s="15"/>
      <c r="E69" s="15"/>
      <c r="F69" s="15"/>
      <c r="G69" s="15"/>
      <c r="H69" s="15"/>
      <c r="I69" s="15" t="str">
        <f>"5-ROR-1, Line "&amp;'5-ROR-1'!A41&amp;""</f>
        <v>5-ROR-1, Line 25</v>
      </c>
      <c r="J69" s="15"/>
      <c r="K69" s="48">
        <f>'5-ROR-1'!L41</f>
        <v>0</v>
      </c>
    </row>
    <row r="70" spans="1:11" x14ac:dyDescent="0.25">
      <c r="A70" s="2">
        <f>A69+1</f>
        <v>41</v>
      </c>
      <c r="B70" s="553" t="s">
        <v>52</v>
      </c>
      <c r="C70" s="15"/>
      <c r="D70" s="15"/>
      <c r="E70" s="15"/>
      <c r="F70" s="15"/>
      <c r="G70" s="15"/>
      <c r="I70" s="15" t="str">
        <f>"5-ROR-1, Line "&amp;'5-ROR-1'!A43&amp;""</f>
        <v>5-ROR-1, Line 26</v>
      </c>
      <c r="J70" s="15"/>
      <c r="K70" s="49" t="e">
        <f>'5-ROR-1'!L43</f>
        <v>#DIV/0!</v>
      </c>
    </row>
    <row r="71" spans="1:11" x14ac:dyDescent="0.25">
      <c r="A71" s="121"/>
      <c r="B71" s="15"/>
      <c r="C71" s="15"/>
      <c r="D71" s="15"/>
      <c r="E71" s="15"/>
      <c r="F71" s="15"/>
      <c r="G71" s="15"/>
      <c r="I71" s="15"/>
      <c r="J71" s="15"/>
      <c r="K71" s="49"/>
    </row>
    <row r="72" spans="1:11" x14ac:dyDescent="0.25">
      <c r="A72" s="121"/>
      <c r="B72" s="46" t="s">
        <v>28</v>
      </c>
      <c r="C72" s="15"/>
      <c r="D72" s="15"/>
      <c r="E72" s="15"/>
      <c r="F72" s="15"/>
      <c r="G72" s="15"/>
      <c r="H72" s="15"/>
      <c r="I72" s="15"/>
      <c r="J72" s="15"/>
      <c r="K72" s="15"/>
    </row>
    <row r="73" spans="1:11" x14ac:dyDescent="0.25">
      <c r="A73" s="121">
        <f>A70+1</f>
        <v>42</v>
      </c>
      <c r="B73" s="15" t="s">
        <v>53</v>
      </c>
      <c r="C73" s="15"/>
      <c r="D73" s="15"/>
      <c r="E73" s="15"/>
      <c r="F73" s="15"/>
      <c r="G73" s="15"/>
      <c r="H73" s="15"/>
      <c r="I73" s="15" t="str">
        <f>"5-ROR-1, Line "&amp;'5-ROR-1'!A51&amp;""</f>
        <v>5-ROR-1, Line 32</v>
      </c>
      <c r="J73" s="15"/>
      <c r="K73" s="48">
        <f>'5-ROR-1'!L51</f>
        <v>0</v>
      </c>
    </row>
    <row r="74" spans="1:11" x14ac:dyDescent="0.25">
      <c r="A74" s="121"/>
      <c r="B74" s="15"/>
      <c r="C74" s="15"/>
      <c r="D74" s="15"/>
      <c r="E74" s="15"/>
      <c r="F74" s="15"/>
      <c r="G74" s="15"/>
      <c r="H74" s="15"/>
      <c r="I74" s="66"/>
      <c r="J74" s="15"/>
      <c r="K74" s="15"/>
    </row>
    <row r="75" spans="1:11" x14ac:dyDescent="0.25">
      <c r="A75" s="2">
        <f>A73+1</f>
        <v>43</v>
      </c>
      <c r="B75" s="15" t="s">
        <v>55</v>
      </c>
      <c r="C75" s="15"/>
      <c r="D75" s="15"/>
      <c r="E75" s="15"/>
      <c r="F75" s="15"/>
      <c r="G75" s="15"/>
      <c r="H75" s="15"/>
      <c r="I75" s="12" t="str">
        <f>"Line "&amp;A63&amp;" + Line "&amp;A68&amp;" + Line "&amp;A73&amp;""</f>
        <v>Line 36 + Line 39 + Line 42</v>
      </c>
      <c r="J75" s="15"/>
      <c r="K75" s="48">
        <f>K63+K68+K73</f>
        <v>0</v>
      </c>
    </row>
    <row r="76" spans="1:11" x14ac:dyDescent="0.25">
      <c r="A76" s="121"/>
      <c r="B76" s="47"/>
      <c r="C76" s="15"/>
      <c r="D76" s="15"/>
      <c r="E76" s="15"/>
      <c r="F76" s="15"/>
      <c r="G76" s="15"/>
      <c r="I76" s="15"/>
      <c r="J76" s="15"/>
      <c r="K76" s="48"/>
    </row>
    <row r="77" spans="1:11" x14ac:dyDescent="0.25">
      <c r="A77" s="121"/>
      <c r="B77" s="46" t="s">
        <v>57</v>
      </c>
      <c r="C77" s="15"/>
      <c r="D77" s="15"/>
      <c r="E77" s="15"/>
      <c r="F77" s="15"/>
      <c r="G77" s="15"/>
      <c r="H77" s="15"/>
      <c r="I77" s="15"/>
      <c r="J77" s="15"/>
      <c r="K77" s="15"/>
    </row>
    <row r="78" spans="1:11" x14ac:dyDescent="0.25">
      <c r="A78" s="121">
        <f>A75+1</f>
        <v>44</v>
      </c>
      <c r="B78" s="15" t="s">
        <v>281</v>
      </c>
      <c r="C78" s="15"/>
      <c r="D78" s="15"/>
      <c r="E78" s="15"/>
      <c r="F78" s="15"/>
      <c r="G78" s="15"/>
      <c r="H78" s="15"/>
      <c r="I78" s="12" t="str">
        <f>"Line "&amp;A63&amp;" / Line "&amp;A75&amp;""</f>
        <v>Line 36 / Line 43</v>
      </c>
      <c r="J78" s="15"/>
      <c r="K78" s="49" t="e">
        <f>K63/K75</f>
        <v>#DIV/0!</v>
      </c>
    </row>
    <row r="79" spans="1:11" x14ac:dyDescent="0.25">
      <c r="A79" s="2">
        <f>A78+1</f>
        <v>45</v>
      </c>
      <c r="B79" s="553" t="s">
        <v>282</v>
      </c>
      <c r="C79" s="15"/>
      <c r="D79" s="15"/>
      <c r="E79" s="15"/>
      <c r="F79" s="15"/>
      <c r="G79" s="15"/>
      <c r="H79" s="15"/>
      <c r="I79" s="12" t="str">
        <f>"Line "&amp;A68&amp;" / Line "&amp;A75&amp;""</f>
        <v>Line 39 / Line 43</v>
      </c>
      <c r="J79" s="15"/>
      <c r="K79" s="49" t="e">
        <f>K68/K75</f>
        <v>#DIV/0!</v>
      </c>
    </row>
    <row r="80" spans="1:11" x14ac:dyDescent="0.25">
      <c r="A80" s="2">
        <f>A79+1</f>
        <v>46</v>
      </c>
      <c r="B80" s="15" t="s">
        <v>58</v>
      </c>
      <c r="C80" s="15"/>
      <c r="D80" s="15"/>
      <c r="E80" s="15"/>
      <c r="F80" s="15"/>
      <c r="G80" s="15"/>
      <c r="H80" s="15"/>
      <c r="I80" s="12" t="str">
        <f>"Line "&amp;A73&amp;" / Line "&amp;A75&amp;""</f>
        <v>Line 42 / Line 43</v>
      </c>
      <c r="J80" s="15"/>
      <c r="K80" s="50" t="e">
        <f>K73/K75</f>
        <v>#DIV/0!</v>
      </c>
    </row>
    <row r="81" spans="1:11" x14ac:dyDescent="0.25">
      <c r="A81" s="121"/>
      <c r="B81" s="15"/>
      <c r="C81" s="15"/>
      <c r="D81" s="15"/>
      <c r="E81" s="15"/>
      <c r="F81" s="15"/>
      <c r="G81" s="15"/>
      <c r="H81" s="15"/>
      <c r="I81" s="12" t="str">
        <f>"Line "&amp;A78&amp;" + Line "&amp;A79&amp;"+ Line "&amp;A80&amp;""</f>
        <v>Line 44 + Line 45+ Line 46</v>
      </c>
      <c r="J81" s="15"/>
      <c r="K81" s="49" t="e">
        <f>SUM(K78:K80)</f>
        <v>#DIV/0!</v>
      </c>
    </row>
    <row r="82" spans="1:11" x14ac:dyDescent="0.25">
      <c r="A82" s="121"/>
      <c r="B82" s="46" t="s">
        <v>244</v>
      </c>
      <c r="C82" s="15"/>
      <c r="D82" s="15"/>
      <c r="E82" s="15"/>
      <c r="F82" s="15"/>
      <c r="G82" s="15"/>
      <c r="H82" s="15"/>
      <c r="I82" s="15"/>
      <c r="J82" s="15"/>
      <c r="K82" s="49"/>
    </row>
    <row r="83" spans="1:11" x14ac:dyDescent="0.25">
      <c r="A83" s="121">
        <f>A80+1</f>
        <v>47</v>
      </c>
      <c r="B83" s="15" t="s">
        <v>280</v>
      </c>
      <c r="C83" s="15"/>
      <c r="D83" s="15"/>
      <c r="E83" s="15"/>
      <c r="F83" s="15"/>
      <c r="G83" s="15"/>
      <c r="I83" s="12" t="str">
        <f>"Line "&amp;A65&amp;""</f>
        <v>Line 38</v>
      </c>
      <c r="J83" s="15"/>
      <c r="K83" s="49" t="e">
        <f>K65</f>
        <v>#DIV/0!</v>
      </c>
    </row>
    <row r="84" spans="1:11" x14ac:dyDescent="0.25">
      <c r="A84" s="2">
        <f>A83+1</f>
        <v>48</v>
      </c>
      <c r="B84" s="553" t="s">
        <v>52</v>
      </c>
      <c r="C84" s="15"/>
      <c r="D84" s="15"/>
      <c r="E84" s="15"/>
      <c r="F84" s="15"/>
      <c r="G84" s="15"/>
      <c r="I84" s="12" t="str">
        <f>"Line "&amp;A70&amp;""</f>
        <v>Line 41</v>
      </c>
      <c r="J84" s="15"/>
      <c r="K84" s="49" t="e">
        <f>K70</f>
        <v>#DIV/0!</v>
      </c>
    </row>
    <row r="85" spans="1:11" x14ac:dyDescent="0.25">
      <c r="A85" s="2">
        <f>A84+1</f>
        <v>49</v>
      </c>
      <c r="B85" s="553" t="s">
        <v>1989</v>
      </c>
      <c r="C85" s="15"/>
      <c r="D85" s="15"/>
      <c r="E85" s="15"/>
      <c r="F85" s="15"/>
      <c r="G85" s="15"/>
      <c r="H85" s="12" t="s">
        <v>395</v>
      </c>
      <c r="I85" s="15" t="s">
        <v>237</v>
      </c>
      <c r="J85" s="15"/>
      <c r="K85" s="1274">
        <v>9.8000000000000004E-2</v>
      </c>
    </row>
    <row r="86" spans="1:11" x14ac:dyDescent="0.25">
      <c r="A86" s="121"/>
      <c r="B86" s="15"/>
      <c r="C86" s="15"/>
      <c r="D86" s="15"/>
      <c r="E86" s="15"/>
      <c r="F86" s="15"/>
      <c r="G86" s="15"/>
      <c r="I86" s="75"/>
      <c r="J86" s="15"/>
      <c r="K86" s="49"/>
    </row>
    <row r="87" spans="1:11" x14ac:dyDescent="0.25">
      <c r="A87" s="121"/>
      <c r="B87" s="46" t="s">
        <v>285</v>
      </c>
      <c r="C87" s="15"/>
      <c r="D87" s="15"/>
      <c r="E87" s="15"/>
      <c r="F87" s="15"/>
      <c r="G87" s="15"/>
      <c r="H87" s="15"/>
      <c r="I87" s="15"/>
      <c r="J87" s="15"/>
      <c r="K87" s="15"/>
    </row>
    <row r="88" spans="1:11" x14ac:dyDescent="0.25">
      <c r="A88" s="121">
        <f>A85+1</f>
        <v>50</v>
      </c>
      <c r="B88" s="15" t="s">
        <v>59</v>
      </c>
      <c r="C88" s="15"/>
      <c r="D88" s="15"/>
      <c r="E88" s="15"/>
      <c r="F88" s="15"/>
      <c r="G88" s="15"/>
      <c r="I88" s="12" t="str">
        <f>"Line "&amp;A65&amp;" * Line "&amp;A78&amp;""</f>
        <v>Line 38 * Line 44</v>
      </c>
      <c r="J88" s="15"/>
      <c r="K88" s="49" t="e">
        <f>K65*K78</f>
        <v>#DIV/0!</v>
      </c>
    </row>
    <row r="89" spans="1:11" x14ac:dyDescent="0.25">
      <c r="A89" s="2">
        <f>A88+1</f>
        <v>51</v>
      </c>
      <c r="B89" s="553" t="s">
        <v>60</v>
      </c>
      <c r="C89" s="15"/>
      <c r="D89" s="15"/>
      <c r="E89" s="15"/>
      <c r="F89" s="15"/>
      <c r="G89" s="15"/>
      <c r="I89" s="12" t="str">
        <f>"Line "&amp;A70&amp;" * Line "&amp;A79&amp;""</f>
        <v>Line 41 * Line 45</v>
      </c>
      <c r="J89" s="15"/>
      <c r="K89" s="49" t="e">
        <f>K70*K79</f>
        <v>#DIV/0!</v>
      </c>
    </row>
    <row r="90" spans="1:11" x14ac:dyDescent="0.25">
      <c r="A90" s="2">
        <f>A89+1</f>
        <v>52</v>
      </c>
      <c r="B90" s="15" t="s">
        <v>61</v>
      </c>
      <c r="C90" s="15"/>
      <c r="D90" s="15"/>
      <c r="E90" s="15"/>
      <c r="F90" s="15"/>
      <c r="G90" s="15"/>
      <c r="I90" s="12" t="str">
        <f>"Line "&amp;A80&amp;" * Line "&amp;A85&amp;""</f>
        <v>Line 46 * Line 49</v>
      </c>
      <c r="J90" s="15"/>
      <c r="K90" s="50" t="e">
        <f>K80*K85</f>
        <v>#DIV/0!</v>
      </c>
    </row>
    <row r="91" spans="1:11" x14ac:dyDescent="0.25">
      <c r="A91" s="2">
        <f>A90+1</f>
        <v>53</v>
      </c>
      <c r="B91" s="47" t="s">
        <v>62</v>
      </c>
      <c r="C91" s="15"/>
      <c r="D91" s="15"/>
      <c r="E91" s="15"/>
      <c r="F91" s="15"/>
      <c r="G91" s="15"/>
      <c r="I91" s="12" t="str">
        <f>"Line "&amp;A88&amp;" + Line "&amp;A89&amp;" + Line "&amp;A90&amp;""</f>
        <v>Line 50 + Line 51 + Line 52</v>
      </c>
      <c r="J91" s="15"/>
      <c r="K91" s="49" t="e">
        <f>SUM(K88:K90)</f>
        <v>#DIV/0!</v>
      </c>
    </row>
    <row r="92" spans="1:11" x14ac:dyDescent="0.25">
      <c r="A92" s="121"/>
      <c r="B92" s="47"/>
      <c r="C92" s="15"/>
      <c r="D92" s="15"/>
      <c r="E92" s="15"/>
      <c r="F92" s="15"/>
      <c r="G92" s="15"/>
      <c r="I92" s="15"/>
      <c r="J92" s="15"/>
      <c r="K92" s="49"/>
    </row>
    <row r="93" spans="1:11" x14ac:dyDescent="0.25">
      <c r="A93" s="2">
        <f>A91+1</f>
        <v>54</v>
      </c>
      <c r="B93" s="1150" t="s">
        <v>1990</v>
      </c>
      <c r="C93" s="15"/>
      <c r="D93" s="15"/>
      <c r="E93" s="15"/>
      <c r="F93" s="15"/>
      <c r="G93" s="15"/>
      <c r="H93" s="15" t="s">
        <v>239</v>
      </c>
      <c r="I93" s="12" t="str">
        <f>"Line "&amp;A89&amp;" + Line "&amp;A90&amp;""</f>
        <v>Line 51 + Line 52</v>
      </c>
      <c r="J93" s="15"/>
      <c r="K93" s="49" t="e">
        <f>K89+K90</f>
        <v>#DIV/0!</v>
      </c>
    </row>
    <row r="94" spans="1:11" x14ac:dyDescent="0.25">
      <c r="A94" s="121"/>
      <c r="B94" s="15"/>
      <c r="C94" s="15"/>
      <c r="D94" s="15"/>
      <c r="E94" s="15"/>
      <c r="F94" s="15"/>
      <c r="G94" s="15"/>
      <c r="I94" s="15"/>
      <c r="J94" s="15"/>
      <c r="K94" s="49"/>
    </row>
    <row r="95" spans="1:11" x14ac:dyDescent="0.25">
      <c r="A95" s="2">
        <f>A93+1</f>
        <v>55</v>
      </c>
      <c r="B95" s="15" t="s">
        <v>63</v>
      </c>
      <c r="C95" s="15"/>
      <c r="D95" s="15"/>
      <c r="E95" s="15"/>
      <c r="F95" s="15"/>
      <c r="G95" s="15"/>
      <c r="I95" s="12" t="str">
        <f>"Line "&amp;A34&amp;" * Line "&amp;A91&amp;""</f>
        <v>Line 17 * Line 53</v>
      </c>
      <c r="J95" s="15"/>
      <c r="K95" s="48" t="e">
        <f>K34*K91</f>
        <v>#DIV/0!</v>
      </c>
    </row>
    <row r="96" spans="1:11" x14ac:dyDescent="0.25">
      <c r="A96" s="95"/>
      <c r="B96" s="12"/>
      <c r="C96" s="12"/>
      <c r="D96" s="12"/>
      <c r="E96" s="12"/>
      <c r="F96" s="12"/>
      <c r="G96" s="12"/>
      <c r="H96" s="12"/>
      <c r="I96" s="12"/>
      <c r="J96" s="12"/>
      <c r="K96" s="12"/>
    </row>
    <row r="97" spans="1:11" x14ac:dyDescent="0.25">
      <c r="A97" s="12"/>
      <c r="B97" s="12"/>
      <c r="C97" s="12"/>
      <c r="D97" s="12"/>
      <c r="E97" s="12"/>
      <c r="F97" s="12"/>
      <c r="G97" s="12"/>
      <c r="H97" s="12"/>
      <c r="I97" s="12"/>
      <c r="J97" s="12"/>
      <c r="K97" s="12"/>
    </row>
    <row r="98" spans="1:11" x14ac:dyDescent="0.25">
      <c r="A98" s="10" t="s">
        <v>197</v>
      </c>
      <c r="B98" s="11"/>
      <c r="C98" s="11"/>
      <c r="D98" s="11"/>
      <c r="E98" s="11"/>
      <c r="F98" s="11"/>
      <c r="G98" s="11"/>
      <c r="H98" s="9"/>
      <c r="I98" s="9"/>
      <c r="J98" s="9"/>
      <c r="K98" s="9"/>
    </row>
    <row r="100" spans="1:11" x14ac:dyDescent="0.25">
      <c r="A100" s="121">
        <f>A95+1</f>
        <v>56</v>
      </c>
      <c r="B100" t="s">
        <v>238</v>
      </c>
      <c r="I100" s="14" t="str">
        <f>"26-Tax Rates, Line "&amp;'26-TaxRates'!A7&amp;""</f>
        <v>26-Tax Rates, Line 1</v>
      </c>
      <c r="K100" s="72">
        <f>'26-TaxRates'!D7</f>
        <v>0</v>
      </c>
    </row>
    <row r="101" spans="1:11" x14ac:dyDescent="0.25">
      <c r="A101" s="2">
        <f>A100+1</f>
        <v>57</v>
      </c>
      <c r="B101" s="12" t="s">
        <v>284</v>
      </c>
      <c r="I101" s="14" t="str">
        <f>"26-Tax Rates, Line "&amp;'26-TaxRates'!A14&amp;""</f>
        <v>26-Tax Rates, Line 8</v>
      </c>
      <c r="K101" s="72">
        <f>'26-TaxRates'!D14</f>
        <v>0</v>
      </c>
    </row>
    <row r="102" spans="1:11" x14ac:dyDescent="0.25">
      <c r="A102" s="2">
        <f>A101+1</f>
        <v>58</v>
      </c>
      <c r="B102" s="12" t="s">
        <v>283</v>
      </c>
      <c r="H102" s="54" t="s">
        <v>1887</v>
      </c>
      <c r="I102" s="12" t="str">
        <f>"(L"&amp;A100&amp;" + L"&amp;A101&amp;") - (L"&amp;A100&amp;" * L"&amp;A101&amp;")"</f>
        <v>(L56 + L57) - (L56 * L57)</v>
      </c>
      <c r="K102" s="8">
        <f>(K100+K101)-(K100*K101)</f>
        <v>0</v>
      </c>
    </row>
    <row r="103" spans="1:11" x14ac:dyDescent="0.25">
      <c r="A103" s="2"/>
      <c r="K103" s="8"/>
    </row>
    <row r="104" spans="1:11" x14ac:dyDescent="0.25">
      <c r="A104" s="2"/>
      <c r="B104" s="82" t="s">
        <v>286</v>
      </c>
      <c r="K104" s="8"/>
    </row>
    <row r="105" spans="1:11" x14ac:dyDescent="0.25">
      <c r="A105" s="121">
        <f>A102+1</f>
        <v>59</v>
      </c>
      <c r="B105" s="650" t="s">
        <v>2195</v>
      </c>
      <c r="C105" s="14"/>
      <c r="D105" s="14"/>
      <c r="E105" s="14"/>
      <c r="F105" s="14"/>
      <c r="G105" s="14"/>
      <c r="H105" s="12" t="s">
        <v>396</v>
      </c>
      <c r="I105" s="14"/>
      <c r="K105" s="65">
        <v>200</v>
      </c>
    </row>
    <row r="106" spans="1:11" x14ac:dyDescent="0.25">
      <c r="A106" s="2">
        <f>A105+1</f>
        <v>60</v>
      </c>
      <c r="B106" s="650" t="s">
        <v>2196</v>
      </c>
      <c r="C106" s="14"/>
      <c r="D106" s="14"/>
      <c r="E106" s="14"/>
      <c r="F106" s="14"/>
      <c r="G106" s="14"/>
      <c r="H106" s="12" t="s">
        <v>396</v>
      </c>
      <c r="I106" s="14"/>
      <c r="K106" s="65">
        <v>-520000</v>
      </c>
    </row>
    <row r="107" spans="1:11" x14ac:dyDescent="0.25">
      <c r="A107" s="2">
        <f>A106+1</f>
        <v>61</v>
      </c>
      <c r="B107" s="650" t="s">
        <v>2197</v>
      </c>
      <c r="C107" s="14"/>
      <c r="D107" s="14"/>
      <c r="E107" s="14"/>
      <c r="F107" s="14"/>
      <c r="G107" s="14"/>
      <c r="H107" s="12" t="s">
        <v>396</v>
      </c>
      <c r="I107" s="14"/>
      <c r="K107" s="122">
        <v>2606000</v>
      </c>
    </row>
    <row r="108" spans="1:11" x14ac:dyDescent="0.25">
      <c r="A108" s="689">
        <f>A107+1</f>
        <v>62</v>
      </c>
      <c r="B108" s="13" t="s">
        <v>287</v>
      </c>
      <c r="I108" s="551" t="str">
        <f>"Line "&amp;A105&amp;" + Line "&amp;A106&amp;"+ Line "&amp;A107&amp;""</f>
        <v>Line 59 + Line 60+ Line 61</v>
      </c>
      <c r="K108" s="65">
        <f>SUM(K105:K107)</f>
        <v>2086200</v>
      </c>
    </row>
    <row r="109" spans="1:11" x14ac:dyDescent="0.25">
      <c r="A109" s="121"/>
    </row>
    <row r="110" spans="1:11" x14ac:dyDescent="0.25">
      <c r="A110" s="121">
        <f>A108+1</f>
        <v>63</v>
      </c>
      <c r="B110" s="12" t="s">
        <v>288</v>
      </c>
      <c r="I110" t="str">
        <f>"Formula on Line "&amp;A112&amp;""</f>
        <v>Formula on Line 64</v>
      </c>
      <c r="K110" s="65" t="e">
        <f>(((K34*K93) + K119)*(K102/(1-K102)))+(K108/(1-K102))</f>
        <v>#DIV/0!</v>
      </c>
    </row>
    <row r="111" spans="1:11" x14ac:dyDescent="0.25">
      <c r="A111" s="121"/>
    </row>
    <row r="112" spans="1:11" x14ac:dyDescent="0.25">
      <c r="A112" s="121">
        <f>A110+1</f>
        <v>64</v>
      </c>
      <c r="B112" s="553" t="s">
        <v>2764</v>
      </c>
      <c r="C112" s="553"/>
      <c r="D112" s="553"/>
      <c r="E112" s="553"/>
      <c r="F112" s="553"/>
      <c r="G112" s="553"/>
    </row>
    <row r="113" spans="1:11" x14ac:dyDescent="0.25">
      <c r="A113" s="63"/>
      <c r="I113" s="12"/>
    </row>
    <row r="114" spans="1:11" x14ac:dyDescent="0.25">
      <c r="A114" s="63"/>
      <c r="C114" t="s">
        <v>240</v>
      </c>
    </row>
    <row r="115" spans="1:11" x14ac:dyDescent="0.25">
      <c r="A115" s="63"/>
      <c r="C115" s="124" t="s">
        <v>241</v>
      </c>
      <c r="D115" s="14"/>
      <c r="E115" s="14"/>
      <c r="F115" s="14"/>
      <c r="G115" s="14"/>
      <c r="H115" s="14"/>
      <c r="I115" s="15" t="str">
        <f>"Line "&amp;A34&amp;""</f>
        <v>Line 17</v>
      </c>
    </row>
    <row r="116" spans="1:11" x14ac:dyDescent="0.25">
      <c r="A116" s="63"/>
      <c r="C116" s="550" t="s">
        <v>1991</v>
      </c>
      <c r="D116" s="14"/>
      <c r="E116" s="14"/>
      <c r="F116" s="14"/>
      <c r="G116" s="14"/>
      <c r="H116" s="14"/>
      <c r="I116" s="15" t="str">
        <f>"Line "&amp;A93&amp;""</f>
        <v>Line 54</v>
      </c>
    </row>
    <row r="117" spans="1:11" x14ac:dyDescent="0.25">
      <c r="A117" s="63"/>
      <c r="C117" s="124" t="s">
        <v>242</v>
      </c>
      <c r="D117" s="14"/>
      <c r="E117" s="14"/>
      <c r="F117" s="14"/>
      <c r="G117" s="14"/>
      <c r="H117" s="14"/>
      <c r="I117" s="15" t="str">
        <f>"Line "&amp;A102&amp;""</f>
        <v>Line 58</v>
      </c>
    </row>
    <row r="118" spans="1:11" x14ac:dyDescent="0.25">
      <c r="A118" s="63"/>
      <c r="C118" s="124" t="s">
        <v>243</v>
      </c>
      <c r="D118" s="14"/>
      <c r="E118" s="14"/>
      <c r="F118" s="14"/>
      <c r="G118" s="14"/>
      <c r="H118" s="14"/>
      <c r="I118" s="15" t="str">
        <f>"Line "&amp;A108&amp;""</f>
        <v>Line 62</v>
      </c>
    </row>
    <row r="119" spans="1:11" x14ac:dyDescent="0.25">
      <c r="A119" s="574"/>
      <c r="C119" s="124" t="s">
        <v>1988</v>
      </c>
      <c r="D119" s="14"/>
      <c r="E119" s="14"/>
      <c r="F119" s="14"/>
      <c r="G119" s="14"/>
      <c r="H119" s="14"/>
      <c r="I119" s="14" t="s">
        <v>33</v>
      </c>
      <c r="K119" s="590"/>
    </row>
    <row r="121" spans="1:11" x14ac:dyDescent="0.25">
      <c r="A121" s="10" t="s">
        <v>72</v>
      </c>
      <c r="B121" s="11"/>
      <c r="C121" s="11"/>
      <c r="D121" s="11"/>
      <c r="E121" s="11"/>
      <c r="F121" s="11"/>
      <c r="G121" s="11"/>
      <c r="H121" s="9"/>
      <c r="I121" s="9"/>
      <c r="J121" s="9"/>
      <c r="K121" s="9"/>
    </row>
    <row r="123" spans="1:11" x14ac:dyDescent="0.25">
      <c r="B123" s="82" t="s">
        <v>289</v>
      </c>
    </row>
    <row r="124" spans="1:11" x14ac:dyDescent="0.25">
      <c r="A124" s="121">
        <f>A112+1</f>
        <v>65</v>
      </c>
      <c r="B124" t="s">
        <v>112</v>
      </c>
      <c r="H124" s="16"/>
      <c r="I124" s="14" t="str">
        <f>"19-OandM, Line "&amp;'19-OandM'!A170&amp;", Col. 6"</f>
        <v>19-OandM, Line 137, Col. 6</v>
      </c>
      <c r="K124" s="65" t="e">
        <f>'19-OandM'!G170</f>
        <v>#DIV/0!</v>
      </c>
    </row>
    <row r="125" spans="1:11" x14ac:dyDescent="0.25">
      <c r="A125" s="121">
        <f t="shared" ref="A125:A139" si="1">A124+1</f>
        <v>66</v>
      </c>
      <c r="B125" s="12" t="s">
        <v>290</v>
      </c>
      <c r="H125" s="16"/>
      <c r="I125" s="14" t="str">
        <f>"20-AandG, Line "&amp;'20-AandG'!A30&amp;""</f>
        <v>20-AandG, Line 23</v>
      </c>
      <c r="K125" s="65" t="e">
        <f>'20-AandG'!F30</f>
        <v>#DIV/0!</v>
      </c>
    </row>
    <row r="126" spans="1:11" x14ac:dyDescent="0.25">
      <c r="A126" s="121">
        <f t="shared" si="1"/>
        <v>67</v>
      </c>
      <c r="B126" t="s">
        <v>65</v>
      </c>
      <c r="H126" s="16"/>
      <c r="I126" s="15" t="str">
        <f>"22-NUCs, Line "&amp;'22-NUCs'!A19&amp;""</f>
        <v>22-NUCs, Line 10</v>
      </c>
      <c r="K126" s="7">
        <f>'22-NUCs'!E19</f>
        <v>0</v>
      </c>
    </row>
    <row r="127" spans="1:11" x14ac:dyDescent="0.25">
      <c r="A127" s="121">
        <f t="shared" si="1"/>
        <v>68</v>
      </c>
      <c r="B127" s="12" t="s">
        <v>276</v>
      </c>
      <c r="H127" s="16"/>
      <c r="I127" s="14" t="str">
        <f>"17-Depreciation, Line "&amp;'17-Depreciation'!A95&amp;""</f>
        <v>17-Depreciation, Line 70</v>
      </c>
      <c r="K127" s="7" t="e">
        <f>'17-Depreciation'!F95</f>
        <v>#DIV/0!</v>
      </c>
    </row>
    <row r="128" spans="1:11" x14ac:dyDescent="0.25">
      <c r="A128" s="121">
        <f t="shared" si="1"/>
        <v>69</v>
      </c>
      <c r="B128" s="12" t="s">
        <v>322</v>
      </c>
      <c r="H128" s="16"/>
      <c r="I128" s="14" t="str">
        <f>"12-AbandonedPlant, Line "&amp;'12-AbandonedPlant'!A18&amp;""</f>
        <v>12-AbandonedPlant, Line 1</v>
      </c>
      <c r="K128" s="7">
        <f>'12-AbandonedPlant'!G18</f>
        <v>0</v>
      </c>
    </row>
    <row r="129" spans="1:11" x14ac:dyDescent="0.25">
      <c r="A129" s="121">
        <f t="shared" si="1"/>
        <v>70</v>
      </c>
      <c r="B129" s="12" t="s">
        <v>89</v>
      </c>
      <c r="H129" s="16"/>
      <c r="I129" s="14" t="str">
        <f>"Line "&amp;A58&amp;""</f>
        <v>Line 35</v>
      </c>
      <c r="K129" s="7" t="e">
        <f>K58</f>
        <v>#DIV/0!</v>
      </c>
    </row>
    <row r="130" spans="1:11" x14ac:dyDescent="0.25">
      <c r="A130" s="121">
        <f t="shared" si="1"/>
        <v>71</v>
      </c>
      <c r="B130" t="s">
        <v>11</v>
      </c>
      <c r="H130" s="47" t="s">
        <v>168</v>
      </c>
      <c r="I130" s="14" t="str">
        <f>"21-Revenue Credits, Line "&amp;'21-RevenueCredits'!A216&amp;""</f>
        <v>21-Revenue Credits, Line 44</v>
      </c>
      <c r="K130" s="7">
        <f>-'21-RevenueCredits'!E216</f>
        <v>0</v>
      </c>
    </row>
    <row r="131" spans="1:11" x14ac:dyDescent="0.25">
      <c r="A131" s="121">
        <f t="shared" si="1"/>
        <v>72</v>
      </c>
      <c r="B131" t="s">
        <v>97</v>
      </c>
      <c r="H131" s="16"/>
      <c r="I131" s="14" t="str">
        <f>"Line "&amp;A95&amp;""</f>
        <v>Line 55</v>
      </c>
      <c r="K131" s="7" t="e">
        <f>K95</f>
        <v>#DIV/0!</v>
      </c>
    </row>
    <row r="132" spans="1:11" x14ac:dyDescent="0.25">
      <c r="A132" s="121">
        <f t="shared" si="1"/>
        <v>73</v>
      </c>
      <c r="B132" t="s">
        <v>5</v>
      </c>
      <c r="H132" s="16"/>
      <c r="I132" s="14" t="str">
        <f>"Line "&amp;A110&amp;""</f>
        <v>Line 63</v>
      </c>
      <c r="K132" s="111" t="e">
        <f>K110</f>
        <v>#DIV/0!</v>
      </c>
    </row>
    <row r="133" spans="1:11" x14ac:dyDescent="0.25">
      <c r="A133" s="121">
        <f t="shared" si="1"/>
        <v>74</v>
      </c>
      <c r="B133" t="s">
        <v>1043</v>
      </c>
      <c r="H133" s="13" t="s">
        <v>1287</v>
      </c>
      <c r="I133" s="15" t="str">
        <f>"11-PHFU, Line "&amp;'11-PHFU'!A46&amp;""</f>
        <v>11-PHFU, Line 10</v>
      </c>
      <c r="K133" s="48">
        <f>-'11-PHFU'!E46</f>
        <v>0</v>
      </c>
    </row>
    <row r="134" spans="1:11" x14ac:dyDescent="0.25">
      <c r="A134" s="121">
        <f t="shared" si="1"/>
        <v>75</v>
      </c>
      <c r="B134" s="705" t="s">
        <v>1972</v>
      </c>
      <c r="C134" s="847"/>
      <c r="D134" s="14"/>
      <c r="E134" s="14"/>
      <c r="H134" s="16"/>
      <c r="I134" s="15" t="str">
        <f>"23-RegAssets, Line "&amp;'23-RegAssets'!A19&amp;""</f>
        <v>23-RegAssets, Line 16</v>
      </c>
      <c r="K134" s="48">
        <f>'23-RegAssets'!E19</f>
        <v>0</v>
      </c>
    </row>
    <row r="135" spans="1:11" x14ac:dyDescent="0.25">
      <c r="A135" s="121">
        <f t="shared" si="1"/>
        <v>76</v>
      </c>
      <c r="B135" s="12" t="s">
        <v>291</v>
      </c>
      <c r="H135" s="16"/>
      <c r="I135" s="14" t="str">
        <f>"15-IncentiveAdder, Line "&amp;'15-IncentiveAdder'!A44&amp;""</f>
        <v>15-IncentiveAdder, Line 14</v>
      </c>
      <c r="K135" s="99" t="e">
        <f>'15-IncentiveAdder'!G44</f>
        <v>#DIV/0!</v>
      </c>
    </row>
    <row r="136" spans="1:11" x14ac:dyDescent="0.25">
      <c r="A136" s="121">
        <f t="shared" si="1"/>
        <v>77</v>
      </c>
      <c r="B136" s="12" t="s">
        <v>1634</v>
      </c>
      <c r="H136" s="16"/>
      <c r="I136" s="14" t="str">
        <f>"Sum of Lines "&amp;A124&amp;" to "&amp;A135&amp;""</f>
        <v>Sum of Lines 65 to 76</v>
      </c>
      <c r="K136" s="7" t="e">
        <f>SUM(K124:K135)</f>
        <v>#DIV/0!</v>
      </c>
    </row>
    <row r="137" spans="1:11" x14ac:dyDescent="0.25">
      <c r="A137" s="121"/>
      <c r="B137" s="12"/>
      <c r="H137" s="16"/>
      <c r="I137" s="14"/>
      <c r="K137" s="7"/>
    </row>
    <row r="138" spans="1:11" x14ac:dyDescent="0.25">
      <c r="A138" s="121">
        <f>A136+1</f>
        <v>78</v>
      </c>
      <c r="B138" s="12" t="s">
        <v>316</v>
      </c>
      <c r="I138" s="14" t="str">
        <f>"L "&amp;A136&amp;" * FF Factor (28-FFU, L "&amp;'28-FFU'!A22&amp;")"</f>
        <v>L 77 * FF Factor (28-FFU, L 5)</v>
      </c>
      <c r="J138" s="14"/>
      <c r="K138" s="7" t="e">
        <f>'28-FFU'!D22*K136</f>
        <v>#DIV/0!</v>
      </c>
    </row>
    <row r="139" spans="1:11" x14ac:dyDescent="0.25">
      <c r="A139" s="121">
        <f t="shared" si="1"/>
        <v>79</v>
      </c>
      <c r="B139" s="12" t="s">
        <v>315</v>
      </c>
      <c r="I139" s="14" t="str">
        <f>"L "&amp;A136&amp;" * U Factor (28-FFU, L "&amp;'28-FFU'!A22&amp;")"</f>
        <v>L 77 * U Factor (28-FFU, L 5)</v>
      </c>
      <c r="J139" s="14"/>
      <c r="K139" s="7" t="e">
        <f>'28-FFU'!E22*K136</f>
        <v>#DIV/0!</v>
      </c>
    </row>
    <row r="140" spans="1:11" x14ac:dyDescent="0.25">
      <c r="A140" s="121"/>
      <c r="B140" s="12"/>
      <c r="K140" s="7"/>
    </row>
    <row r="141" spans="1:11" x14ac:dyDescent="0.25">
      <c r="A141" s="121">
        <f>A139+1</f>
        <v>80</v>
      </c>
      <c r="B141" s="12" t="s">
        <v>106</v>
      </c>
      <c r="I141" t="str">
        <f>"Line "&amp;A136&amp;" + Line "&amp;A138&amp;"+ Line "&amp;A139&amp;""</f>
        <v>Line 77 + Line 78+ Line 79</v>
      </c>
      <c r="K141" s="7" t="e">
        <f>K136+K138+K139</f>
        <v>#DIV/0!</v>
      </c>
    </row>
    <row r="143" spans="1:11" x14ac:dyDescent="0.25">
      <c r="A143" s="10" t="s">
        <v>292</v>
      </c>
      <c r="B143" s="11"/>
      <c r="C143" s="11"/>
      <c r="D143" s="11"/>
      <c r="E143" s="11"/>
      <c r="F143" s="11"/>
      <c r="G143" s="11"/>
      <c r="H143" s="9"/>
      <c r="I143" s="9"/>
      <c r="J143" s="9"/>
      <c r="K143" s="9"/>
    </row>
    <row r="145" spans="1:11" x14ac:dyDescent="0.25">
      <c r="B145" s="82" t="s">
        <v>1870</v>
      </c>
    </row>
    <row r="146" spans="1:11" x14ac:dyDescent="0.25">
      <c r="A146" s="121">
        <f>A141+1</f>
        <v>81</v>
      </c>
      <c r="B146" t="s">
        <v>106</v>
      </c>
      <c r="I146" t="str">
        <f>"Line "&amp;A141&amp;""</f>
        <v>Line 80</v>
      </c>
      <c r="K146" s="7" t="e">
        <f>K141</f>
        <v>#DIV/0!</v>
      </c>
    </row>
    <row r="147" spans="1:11" x14ac:dyDescent="0.25">
      <c r="A147" s="121">
        <f>A146+1</f>
        <v>82</v>
      </c>
      <c r="B147" t="s">
        <v>349</v>
      </c>
      <c r="I147" s="15" t="str">
        <f>"2-IFPTRR, Line "&amp;'2-IFPTRR'!A91&amp;""</f>
        <v>2-IFPTRR, Line 82</v>
      </c>
      <c r="K147" s="7" t="e">
        <f>'2-IFPTRR'!D91</f>
        <v>#DIV/0!</v>
      </c>
    </row>
    <row r="148" spans="1:11" x14ac:dyDescent="0.25">
      <c r="A148" s="121">
        <f>A147+1</f>
        <v>83</v>
      </c>
      <c r="B148" s="12" t="s">
        <v>29</v>
      </c>
      <c r="H148" s="12" t="s">
        <v>1294</v>
      </c>
      <c r="I148" s="15" t="str">
        <f>"3-TrueUpAdjust, Line "&amp;'3-TrueUpAdjust'!A75&amp;""</f>
        <v>3-TrueUpAdjust, Line 62</v>
      </c>
      <c r="K148" s="111">
        <f>IF(E149="Yes",0,'3-TrueUpAdjust'!E75)</f>
        <v>7.4505805969238281E-9</v>
      </c>
    </row>
    <row r="149" spans="1:11" x14ac:dyDescent="0.25">
      <c r="A149" s="121">
        <f t="shared" ref="A149:A150" si="2">A148+1</f>
        <v>84</v>
      </c>
      <c r="B149" s="12"/>
      <c r="D149" s="102" t="s">
        <v>1345</v>
      </c>
      <c r="E149" s="561"/>
      <c r="F149" s="12" t="s">
        <v>1346</v>
      </c>
      <c r="I149" s="15"/>
      <c r="K149" s="111"/>
    </row>
    <row r="150" spans="1:11" x14ac:dyDescent="0.25">
      <c r="A150" s="121">
        <f t="shared" si="2"/>
        <v>85</v>
      </c>
      <c r="B150" s="553" t="s">
        <v>2298</v>
      </c>
      <c r="C150" s="14"/>
      <c r="H150" s="12" t="s">
        <v>1309</v>
      </c>
      <c r="I150" s="14"/>
      <c r="K150" s="130"/>
    </row>
    <row r="151" spans="1:11" x14ac:dyDescent="0.25">
      <c r="A151" s="121"/>
      <c r="I151" s="14"/>
      <c r="K151" s="7"/>
    </row>
    <row r="152" spans="1:11" x14ac:dyDescent="0.25">
      <c r="A152" s="121">
        <f>A150+1</f>
        <v>86</v>
      </c>
      <c r="B152" s="551" t="s">
        <v>1868</v>
      </c>
      <c r="H152" s="12" t="s">
        <v>293</v>
      </c>
      <c r="I152" s="14" t="str">
        <f>"L "&amp;A146&amp;" + L "&amp;A147&amp;" + L "&amp;A148&amp;" + L "&amp;A150&amp;""</f>
        <v>L 81 + L 82 + L 83 + L 85</v>
      </c>
      <c r="K152" s="7" t="e">
        <f>K146+K147+K148+K150</f>
        <v>#DIV/0!</v>
      </c>
    </row>
    <row r="153" spans="1:11" x14ac:dyDescent="0.25">
      <c r="A153" s="121"/>
      <c r="I153" s="14"/>
      <c r="K153" s="7"/>
    </row>
    <row r="154" spans="1:11" x14ac:dyDescent="0.25">
      <c r="A154" s="121"/>
      <c r="B154" s="82" t="s">
        <v>1869</v>
      </c>
      <c r="I154" s="14"/>
      <c r="K154" s="7"/>
    </row>
    <row r="155" spans="1:11" x14ac:dyDescent="0.25">
      <c r="A155" s="121">
        <f>A152+1</f>
        <v>87</v>
      </c>
      <c r="B155" t="s">
        <v>1557</v>
      </c>
      <c r="I155" s="14" t="str">
        <f>"Line "&amp;A152&amp;""</f>
        <v>Line 86</v>
      </c>
      <c r="K155" s="7" t="e">
        <f>K152</f>
        <v>#DIV/0!</v>
      </c>
    </row>
    <row r="156" spans="1:11" x14ac:dyDescent="0.25">
      <c r="A156" s="121">
        <f>A155+1</f>
        <v>88</v>
      </c>
      <c r="B156" t="s">
        <v>1556</v>
      </c>
      <c r="I156" s="15" t="str">
        <f>"25-WholesaleDifference, Line "&amp;'25-WholesaleDifference'!A92&amp;""</f>
        <v>25-WholesaleDifference, Line 44</v>
      </c>
      <c r="K156" s="99" t="e">
        <f>'25-WholesaleDifference'!H92</f>
        <v>#DIV/0!</v>
      </c>
    </row>
    <row r="157" spans="1:11" x14ac:dyDescent="0.25">
      <c r="A157" s="121">
        <f>A156+1</f>
        <v>89</v>
      </c>
      <c r="B157" t="s">
        <v>1869</v>
      </c>
      <c r="I157" t="str">
        <f>"Line "&amp;A155&amp;" + Line "&amp;A156&amp;""</f>
        <v>Line 87 + Line 88</v>
      </c>
      <c r="K157" s="7" t="e">
        <f>K155+K156</f>
        <v>#DIV/0!</v>
      </c>
    </row>
    <row r="158" spans="1:11" x14ac:dyDescent="0.25">
      <c r="A158" s="14"/>
      <c r="H158" s="12"/>
    </row>
    <row r="160" spans="1:11" x14ac:dyDescent="0.25">
      <c r="B160" s="53" t="s">
        <v>256</v>
      </c>
    </row>
    <row r="161" spans="2:11" x14ac:dyDescent="0.25">
      <c r="B161" s="553" t="s">
        <v>2790</v>
      </c>
      <c r="C161" s="14"/>
      <c r="D161" s="14"/>
      <c r="E161" s="14"/>
      <c r="F161" s="14"/>
      <c r="G161" s="14"/>
      <c r="H161" s="14"/>
      <c r="I161" s="14"/>
      <c r="J161" s="14"/>
      <c r="K161" s="14"/>
    </row>
    <row r="162" spans="2:11" x14ac:dyDescent="0.25">
      <c r="B162" s="551" t="s">
        <v>1893</v>
      </c>
    </row>
    <row r="163" spans="2:11" x14ac:dyDescent="0.25">
      <c r="B163" s="553" t="s">
        <v>2187</v>
      </c>
      <c r="C163" s="14"/>
      <c r="D163" s="14"/>
      <c r="E163" s="14"/>
      <c r="F163" s="14"/>
      <c r="G163" s="14"/>
      <c r="H163" s="14"/>
      <c r="I163" s="14"/>
      <c r="J163" s="14"/>
      <c r="K163" s="14"/>
    </row>
    <row r="164" spans="2:11" x14ac:dyDescent="0.25">
      <c r="B164" s="553"/>
      <c r="C164" s="14" t="s">
        <v>2186</v>
      </c>
      <c r="D164" s="14"/>
      <c r="E164" s="14"/>
      <c r="F164" s="105"/>
      <c r="G164" s="105"/>
      <c r="H164" s="105"/>
      <c r="I164" s="14"/>
      <c r="J164" s="14"/>
      <c r="K164" s="14"/>
    </row>
    <row r="165" spans="2:11" x14ac:dyDescent="0.25">
      <c r="B165" s="551" t="s">
        <v>2198</v>
      </c>
      <c r="C165" s="14"/>
      <c r="D165" s="14"/>
      <c r="E165" s="14"/>
      <c r="F165" s="14"/>
      <c r="G165" s="14"/>
      <c r="H165" s="14"/>
      <c r="I165" s="14"/>
    </row>
    <row r="166" spans="2:11" x14ac:dyDescent="0.25">
      <c r="B166" s="12" t="s">
        <v>1618</v>
      </c>
    </row>
    <row r="167" spans="2:11" x14ac:dyDescent="0.25">
      <c r="B167" s="553" t="s">
        <v>2760</v>
      </c>
    </row>
  </sheetData>
  <phoneticPr fontId="12" type="noConversion"/>
  <pageMargins left="0.75" right="0.75" top="1" bottom="1" header="0.5" footer="0.5"/>
  <pageSetup scale="68" orientation="portrait" cellComments="asDisplayed" r:id="rId1"/>
  <headerFooter alignWithMargins="0">
    <oddHeader>&amp;CSchedule 1
Base TRR
&amp;"Arial,Bold"Attachment 5</oddHeader>
    <oddFooter>&amp;R&amp;A</oddFooter>
  </headerFooter>
  <rowBreaks count="2" manualBreakCount="2">
    <brk id="59" max="16383" man="1"/>
    <brk id="120" max="16383" man="1"/>
  </rowBreaks>
  <colBreaks count="1" manualBreakCount="1">
    <brk id="11"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1"/>
  <sheetViews>
    <sheetView zoomScale="90" zoomScaleNormal="90" workbookViewId="0"/>
  </sheetViews>
  <sheetFormatPr defaultRowHeight="13.2" x14ac:dyDescent="0.25"/>
  <cols>
    <col min="1" max="1" width="4.6640625" customWidth="1"/>
    <col min="2" max="2" width="20.6640625" customWidth="1"/>
    <col min="3" max="4" width="16.6640625" customWidth="1"/>
    <col min="5" max="5" width="24.6640625" customWidth="1"/>
    <col min="6" max="6" width="9.109375" customWidth="1"/>
    <col min="10" max="10" width="18.5546875" customWidth="1"/>
    <col min="11" max="11" width="20.88671875" customWidth="1"/>
  </cols>
  <sheetData>
    <row r="1" spans="1:6" x14ac:dyDescent="0.25">
      <c r="A1" s="1" t="s">
        <v>1186</v>
      </c>
    </row>
    <row r="2" spans="1:6" x14ac:dyDescent="0.25">
      <c r="A2" s="1"/>
    </row>
    <row r="3" spans="1:6" x14ac:dyDescent="0.25">
      <c r="B3" s="12" t="s">
        <v>454</v>
      </c>
    </row>
    <row r="4" spans="1:6" x14ac:dyDescent="0.25">
      <c r="A4" s="1"/>
      <c r="B4" s="13" t="s">
        <v>372</v>
      </c>
    </row>
    <row r="5" spans="1:6" x14ac:dyDescent="0.25">
      <c r="A5" s="1"/>
      <c r="B5" s="13" t="s">
        <v>373</v>
      </c>
    </row>
    <row r="7" spans="1:6" x14ac:dyDescent="0.25">
      <c r="B7" s="1" t="s">
        <v>1096</v>
      </c>
    </row>
    <row r="8" spans="1:6" x14ac:dyDescent="0.25">
      <c r="E8" s="16"/>
    </row>
    <row r="9" spans="1:6" x14ac:dyDescent="0.25">
      <c r="A9" s="53" t="s">
        <v>360</v>
      </c>
      <c r="B9" s="76" t="s">
        <v>1185</v>
      </c>
    </row>
    <row r="10" spans="1:6" x14ac:dyDescent="0.25">
      <c r="A10" s="2">
        <v>1</v>
      </c>
    </row>
    <row r="11" spans="1:6" x14ac:dyDescent="0.25">
      <c r="A11" s="2">
        <f>A10+1</f>
        <v>2</v>
      </c>
      <c r="B11" s="408" t="s">
        <v>1624</v>
      </c>
      <c r="C11" s="14"/>
      <c r="D11" s="14"/>
      <c r="E11" s="14"/>
      <c r="F11" s="14"/>
    </row>
    <row r="12" spans="1:6" x14ac:dyDescent="0.25">
      <c r="A12" s="2">
        <f t="shared" ref="A12:A87" si="0">A11+1</f>
        <v>3</v>
      </c>
      <c r="B12" s="408" t="s">
        <v>1145</v>
      </c>
      <c r="C12" s="14"/>
      <c r="D12" s="14"/>
      <c r="E12" s="14"/>
      <c r="F12" s="14"/>
    </row>
    <row r="13" spans="1:6" x14ac:dyDescent="0.25">
      <c r="A13" s="2">
        <f t="shared" si="0"/>
        <v>4</v>
      </c>
      <c r="B13" s="408"/>
      <c r="C13" s="14"/>
      <c r="D13" s="14"/>
      <c r="E13" s="14"/>
      <c r="F13" s="14"/>
    </row>
    <row r="14" spans="1:6" x14ac:dyDescent="0.25">
      <c r="A14" s="2">
        <f t="shared" si="0"/>
        <v>5</v>
      </c>
      <c r="B14" s="1154" t="s">
        <v>2791</v>
      </c>
      <c r="C14" s="14"/>
      <c r="D14" s="14"/>
      <c r="E14" s="14"/>
      <c r="F14" s="14"/>
    </row>
    <row r="15" spans="1:6" x14ac:dyDescent="0.25">
      <c r="A15" s="2">
        <f t="shared" si="0"/>
        <v>6</v>
      </c>
      <c r="B15" s="409"/>
      <c r="C15" s="14"/>
      <c r="D15" s="14"/>
      <c r="E15" s="14"/>
      <c r="F15" s="14"/>
    </row>
    <row r="16" spans="1:6" x14ac:dyDescent="0.25">
      <c r="A16" s="2">
        <f t="shared" si="0"/>
        <v>7</v>
      </c>
      <c r="B16" s="408" t="s">
        <v>399</v>
      </c>
      <c r="C16" s="14"/>
      <c r="D16" s="14"/>
      <c r="E16" s="14"/>
      <c r="F16" s="406"/>
    </row>
    <row r="17" spans="1:6" x14ac:dyDescent="0.25">
      <c r="A17" s="2">
        <f t="shared" si="0"/>
        <v>8</v>
      </c>
      <c r="B17" s="410" t="s">
        <v>1141</v>
      </c>
      <c r="C17" s="14"/>
      <c r="D17" s="14"/>
      <c r="E17" s="14"/>
      <c r="F17" s="72"/>
    </row>
    <row r="18" spans="1:6" x14ac:dyDescent="0.25">
      <c r="A18" s="2">
        <f t="shared" si="0"/>
        <v>9</v>
      </c>
      <c r="B18" s="410" t="s">
        <v>1142</v>
      </c>
      <c r="C18" s="14"/>
      <c r="D18" s="14"/>
      <c r="E18" s="14"/>
      <c r="F18" s="72"/>
    </row>
    <row r="19" spans="1:6" x14ac:dyDescent="0.25">
      <c r="A19" s="2">
        <f t="shared" si="0"/>
        <v>10</v>
      </c>
      <c r="B19" s="410" t="s">
        <v>242</v>
      </c>
      <c r="C19" s="14"/>
      <c r="D19" s="14"/>
      <c r="E19" s="393"/>
      <c r="F19" s="65"/>
    </row>
    <row r="20" spans="1:6" x14ac:dyDescent="0.25">
      <c r="A20" s="2">
        <f t="shared" si="0"/>
        <v>11</v>
      </c>
      <c r="B20" s="45"/>
      <c r="C20" s="14"/>
      <c r="D20" s="393"/>
      <c r="E20" s="135" t="s">
        <v>224</v>
      </c>
      <c r="F20" s="14"/>
    </row>
    <row r="21" spans="1:6" x14ac:dyDescent="0.25">
      <c r="A21" s="2">
        <f t="shared" si="0"/>
        <v>12</v>
      </c>
      <c r="C21" s="393" t="s">
        <v>1200</v>
      </c>
      <c r="D21" s="407" t="e">
        <f>'1-BaseTRR'!K88</f>
        <v>#DIV/0!</v>
      </c>
      <c r="E21" s="47" t="str">
        <f>"1-BaseTRR, Line "&amp;'1-BaseTRR'!A88&amp;""</f>
        <v>1-BaseTRR, Line 50</v>
      </c>
      <c r="F21" s="14"/>
    </row>
    <row r="22" spans="1:6" x14ac:dyDescent="0.25">
      <c r="A22" s="2">
        <f t="shared" si="0"/>
        <v>13</v>
      </c>
      <c r="C22" s="393" t="s">
        <v>1201</v>
      </c>
      <c r="D22" s="407" t="e">
        <f>'1-BaseTRR'!K93</f>
        <v>#DIV/0!</v>
      </c>
      <c r="E22" s="47" t="str">
        <f>"1-BaseTRR, Line "&amp;'1-BaseTRR'!A93&amp;""</f>
        <v>1-BaseTRR, Line 54</v>
      </c>
      <c r="F22" s="14"/>
    </row>
    <row r="23" spans="1:6" x14ac:dyDescent="0.25">
      <c r="A23" s="2">
        <f t="shared" si="0"/>
        <v>14</v>
      </c>
      <c r="C23" s="393" t="s">
        <v>1144</v>
      </c>
      <c r="D23" s="407">
        <f>'1-BaseTRR'!K102</f>
        <v>0</v>
      </c>
      <c r="E23" s="47" t="str">
        <f>"1-BaseTRR, Line "&amp;'1-BaseTRR'!A102&amp;""</f>
        <v>1-BaseTRR, Line 58</v>
      </c>
      <c r="F23" s="14"/>
    </row>
    <row r="24" spans="1:6" x14ac:dyDescent="0.25">
      <c r="A24" s="2">
        <f t="shared" si="0"/>
        <v>15</v>
      </c>
      <c r="B24" s="15"/>
      <c r="C24" s="14"/>
      <c r="D24" s="407"/>
      <c r="E24" s="47"/>
      <c r="F24" s="14"/>
    </row>
    <row r="25" spans="1:6" x14ac:dyDescent="0.25">
      <c r="A25" s="2">
        <f t="shared" si="0"/>
        <v>16</v>
      </c>
      <c r="C25" s="393" t="s">
        <v>1143</v>
      </c>
      <c r="D25" s="407" t="e">
        <f>D21 + (D22*(1/(1-D23)))</f>
        <v>#DIV/0!</v>
      </c>
      <c r="E25" s="47" t="str">
        <f>"Line "&amp;A21&amp;" + (Line "&amp;A22&amp;" * (1/(1 - Line "&amp;A23&amp;")))"</f>
        <v>Line 12 + (Line 13 * (1/(1 - Line 14)))</v>
      </c>
      <c r="F25" s="14"/>
    </row>
    <row r="26" spans="1:6" x14ac:dyDescent="0.25">
      <c r="A26" s="2">
        <f t="shared" si="0"/>
        <v>17</v>
      </c>
      <c r="B26" s="15"/>
      <c r="C26" s="14"/>
      <c r="D26" s="393"/>
      <c r="E26" s="47"/>
      <c r="F26" s="14"/>
    </row>
    <row r="27" spans="1:6" x14ac:dyDescent="0.25">
      <c r="A27" s="2">
        <f t="shared" si="0"/>
        <v>18</v>
      </c>
      <c r="B27" s="76" t="s">
        <v>1094</v>
      </c>
      <c r="C27" s="14"/>
      <c r="D27" s="393"/>
      <c r="E27" s="47"/>
      <c r="F27" s="14"/>
    </row>
    <row r="28" spans="1:6" x14ac:dyDescent="0.25">
      <c r="A28" s="2">
        <f t="shared" si="0"/>
        <v>19</v>
      </c>
      <c r="B28" s="15"/>
      <c r="C28" s="14"/>
      <c r="D28" s="393"/>
      <c r="E28" s="47"/>
      <c r="F28" s="14"/>
    </row>
    <row r="29" spans="1:6" x14ac:dyDescent="0.25">
      <c r="A29" s="2">
        <f t="shared" si="0"/>
        <v>20</v>
      </c>
      <c r="B29" s="408" t="s">
        <v>1202</v>
      </c>
      <c r="C29" s="14"/>
      <c r="D29" s="393"/>
      <c r="E29" s="47"/>
      <c r="F29" s="14"/>
    </row>
    <row r="30" spans="1:6" x14ac:dyDescent="0.25">
      <c r="A30" s="2">
        <f t="shared" si="0"/>
        <v>21</v>
      </c>
      <c r="B30" s="408" t="s">
        <v>1203</v>
      </c>
      <c r="C30" s="14"/>
      <c r="D30" s="393"/>
      <c r="E30" s="47"/>
      <c r="F30" s="14"/>
    </row>
    <row r="31" spans="1:6" x14ac:dyDescent="0.25">
      <c r="A31" s="2">
        <f t="shared" si="0"/>
        <v>22</v>
      </c>
      <c r="C31" s="14"/>
      <c r="D31" s="393"/>
      <c r="E31" s="47"/>
      <c r="F31" s="14"/>
    </row>
    <row r="32" spans="1:6" x14ac:dyDescent="0.25">
      <c r="A32" s="2">
        <f t="shared" si="0"/>
        <v>23</v>
      </c>
      <c r="B32" s="410" t="s">
        <v>1146</v>
      </c>
      <c r="C32" s="14"/>
      <c r="D32" s="393"/>
      <c r="E32" s="47"/>
      <c r="F32" s="14"/>
    </row>
    <row r="33" spans="1:11" x14ac:dyDescent="0.25">
      <c r="A33" s="2">
        <f t="shared" si="0"/>
        <v>24</v>
      </c>
      <c r="F33" s="14"/>
    </row>
    <row r="34" spans="1:11" x14ac:dyDescent="0.25">
      <c r="A34" s="2">
        <f t="shared" si="0"/>
        <v>25</v>
      </c>
      <c r="B34" s="76" t="s">
        <v>1184</v>
      </c>
      <c r="F34" s="14"/>
    </row>
    <row r="35" spans="1:11" x14ac:dyDescent="0.25">
      <c r="A35" s="2">
        <f t="shared" si="0"/>
        <v>26</v>
      </c>
      <c r="B35" s="12"/>
      <c r="E35" s="3" t="s">
        <v>224</v>
      </c>
      <c r="F35" s="14"/>
    </row>
    <row r="36" spans="1:11" x14ac:dyDescent="0.25">
      <c r="A36" s="2">
        <f t="shared" si="0"/>
        <v>27</v>
      </c>
      <c r="C36" s="102" t="s">
        <v>1152</v>
      </c>
      <c r="D36" s="111">
        <f>'6-PlantInService'!M23</f>
        <v>0</v>
      </c>
      <c r="E36" s="47" t="str">
        <f>"6-PlantInService, Line "&amp;'6-PlantInService'!A23&amp;""</f>
        <v>6-PlantInService, Line 13</v>
      </c>
      <c r="F36" s="14"/>
      <c r="G36" s="14"/>
    </row>
    <row r="37" spans="1:11" x14ac:dyDescent="0.25">
      <c r="A37" s="2">
        <f t="shared" si="0"/>
        <v>28</v>
      </c>
      <c r="C37" s="102" t="s">
        <v>1153</v>
      </c>
      <c r="D37" s="111">
        <f>'6-PlantInService'!F35</f>
        <v>0</v>
      </c>
      <c r="E37" s="47" t="str">
        <f>"6-PlantInService, Line "&amp;'6-PlantInService'!A35&amp;""</f>
        <v>6-PlantInService, Line 16</v>
      </c>
      <c r="F37" s="14"/>
      <c r="G37" s="14"/>
    </row>
    <row r="38" spans="1:11" x14ac:dyDescent="0.25">
      <c r="A38" s="2">
        <f t="shared" si="0"/>
        <v>29</v>
      </c>
      <c r="C38" s="102" t="s">
        <v>1182</v>
      </c>
      <c r="D38" s="111">
        <f>'8-AccDep'!N24</f>
        <v>0</v>
      </c>
      <c r="E38" s="47" t="str">
        <f>"8-AccDep, Line "&amp;'8-AccDep'!A24&amp;""</f>
        <v>8-AccDep, Line 13</v>
      </c>
      <c r="F38" s="14"/>
      <c r="G38" s="14"/>
    </row>
    <row r="39" spans="1:11" x14ac:dyDescent="0.25">
      <c r="A39" s="2">
        <f t="shared" si="0"/>
        <v>30</v>
      </c>
      <c r="C39" s="102" t="s">
        <v>1183</v>
      </c>
      <c r="D39" s="99">
        <f>'8-AccDep'!G34</f>
        <v>0</v>
      </c>
      <c r="E39" s="47" t="str">
        <f>"8-AccDep, Line "&amp;'8-AccDep'!A34&amp;""</f>
        <v>8-AccDep, Line 16</v>
      </c>
      <c r="F39" s="14"/>
      <c r="G39" s="14"/>
    </row>
    <row r="40" spans="1:11" x14ac:dyDescent="0.25">
      <c r="A40" s="2">
        <f t="shared" si="0"/>
        <v>31</v>
      </c>
      <c r="C40" s="102" t="s">
        <v>1095</v>
      </c>
      <c r="D40" s="7">
        <f>(D36+D37)-(D38+D39)</f>
        <v>0</v>
      </c>
      <c r="E40" s="47" t="str">
        <f>"(L"&amp;A36&amp;" + L"&amp;A37&amp;") - (L"&amp;A38&amp;" + L"&amp;A39&amp;")"</f>
        <v>(L27 + L28) - (L29 + L30)</v>
      </c>
      <c r="F40" s="14"/>
      <c r="G40" s="14"/>
    </row>
    <row r="41" spans="1:11" x14ac:dyDescent="0.25">
      <c r="A41" s="2">
        <f t="shared" si="0"/>
        <v>32</v>
      </c>
      <c r="C41" s="102"/>
      <c r="D41" s="7"/>
      <c r="E41" s="47"/>
      <c r="F41" s="14"/>
      <c r="G41" s="14"/>
    </row>
    <row r="42" spans="1:11" x14ac:dyDescent="0.25">
      <c r="A42" s="2">
        <f t="shared" si="0"/>
        <v>33</v>
      </c>
      <c r="B42" s="76" t="s">
        <v>1604</v>
      </c>
      <c r="E42" s="14"/>
      <c r="F42" s="14"/>
      <c r="G42" s="14"/>
    </row>
    <row r="43" spans="1:11" x14ac:dyDescent="0.25">
      <c r="A43" s="537">
        <f t="shared" si="0"/>
        <v>34</v>
      </c>
      <c r="B43" s="76"/>
      <c r="E43" s="14"/>
      <c r="F43" s="14"/>
      <c r="G43" s="14"/>
    </row>
    <row r="44" spans="1:11" x14ac:dyDescent="0.25">
      <c r="A44" s="537">
        <f t="shared" si="0"/>
        <v>35</v>
      </c>
      <c r="B44" s="76" t="s">
        <v>1605</v>
      </c>
      <c r="E44" s="14"/>
      <c r="F44" s="14"/>
      <c r="G44" s="14"/>
    </row>
    <row r="45" spans="1:11" x14ac:dyDescent="0.25">
      <c r="A45" s="537">
        <f t="shared" si="0"/>
        <v>36</v>
      </c>
      <c r="B45" s="57" t="s">
        <v>1606</v>
      </c>
      <c r="E45" s="14"/>
      <c r="F45" s="14"/>
      <c r="G45" s="14"/>
    </row>
    <row r="46" spans="1:11" x14ac:dyDescent="0.25">
      <c r="A46" s="537">
        <f t="shared" si="0"/>
        <v>37</v>
      </c>
      <c r="B46" s="76"/>
      <c r="C46" s="102" t="s">
        <v>1625</v>
      </c>
      <c r="D46" s="111">
        <f>'10-CWIP'!D25</f>
        <v>0</v>
      </c>
      <c r="E46" s="47" t="str">
        <f>"10-CWIP, L "&amp;'10-CWIP'!A25&amp;" C1"</f>
        <v>10-CWIP, L 13 C1</v>
      </c>
      <c r="F46" s="14"/>
      <c r="G46" s="14"/>
      <c r="K46" s="7"/>
    </row>
    <row r="47" spans="1:11" x14ac:dyDescent="0.25">
      <c r="A47" s="537">
        <f t="shared" si="0"/>
        <v>38</v>
      </c>
      <c r="B47" s="76"/>
      <c r="C47" s="102" t="s">
        <v>387</v>
      </c>
      <c r="D47" s="136" t="e">
        <f>D25</f>
        <v>#DIV/0!</v>
      </c>
      <c r="E47" s="47" t="str">
        <f>"Line "&amp;A25&amp;""</f>
        <v>Line 16</v>
      </c>
      <c r="F47" s="14"/>
      <c r="G47" s="14"/>
      <c r="K47" s="7"/>
    </row>
    <row r="48" spans="1:11" x14ac:dyDescent="0.25">
      <c r="A48" s="537">
        <f t="shared" si="0"/>
        <v>39</v>
      </c>
      <c r="B48" s="76"/>
      <c r="C48" s="102" t="s">
        <v>1599</v>
      </c>
      <c r="D48" s="111" t="e">
        <f>D46*D47</f>
        <v>#DIV/0!</v>
      </c>
      <c r="E48" s="47" t="str">
        <f>"Line "&amp;A46&amp;" * Line "&amp;A47&amp;""</f>
        <v>Line 37 * Line 38</v>
      </c>
      <c r="F48" s="14"/>
      <c r="G48" s="14"/>
      <c r="K48" s="7"/>
    </row>
    <row r="49" spans="1:11" x14ac:dyDescent="0.25">
      <c r="A49" s="537">
        <f t="shared" si="0"/>
        <v>40</v>
      </c>
      <c r="B49" s="76"/>
      <c r="C49" s="102"/>
      <c r="D49" s="111"/>
      <c r="E49" s="47"/>
      <c r="F49" s="14"/>
      <c r="G49" s="14"/>
      <c r="K49" s="7"/>
    </row>
    <row r="50" spans="1:11" x14ac:dyDescent="0.25">
      <c r="A50" s="537">
        <f t="shared" si="0"/>
        <v>41</v>
      </c>
      <c r="B50" s="57" t="s">
        <v>1607</v>
      </c>
      <c r="E50" s="14"/>
      <c r="F50" s="14"/>
      <c r="G50" s="14"/>
      <c r="K50" s="7"/>
    </row>
    <row r="51" spans="1:11" x14ac:dyDescent="0.25">
      <c r="A51" s="537">
        <f t="shared" si="0"/>
        <v>42</v>
      </c>
      <c r="B51" s="76"/>
      <c r="C51" s="102" t="s">
        <v>1613</v>
      </c>
      <c r="D51" s="111" t="e">
        <f>'15-IncentiveAdder'!G17</f>
        <v>#DIV/0!</v>
      </c>
      <c r="E51" s="124" t="str">
        <f>"15-IncentiveAdder, Line "&amp;'15-IncentiveAdder'!A17&amp;""</f>
        <v>15-IncentiveAdder, Line 3</v>
      </c>
      <c r="F51" s="14"/>
      <c r="G51" s="14"/>
      <c r="K51" s="7"/>
    </row>
    <row r="52" spans="1:11" x14ac:dyDescent="0.25">
      <c r="A52" s="537">
        <f t="shared" si="0"/>
        <v>43</v>
      </c>
      <c r="B52" s="76"/>
      <c r="C52" s="102"/>
      <c r="E52" s="14"/>
      <c r="F52" s="14"/>
      <c r="G52" s="14"/>
      <c r="K52" s="7"/>
    </row>
    <row r="53" spans="1:11" x14ac:dyDescent="0.25">
      <c r="A53" s="537">
        <f t="shared" si="0"/>
        <v>44</v>
      </c>
      <c r="B53" s="76"/>
      <c r="C53" s="102" t="s">
        <v>1586</v>
      </c>
      <c r="D53" s="7">
        <f>'10-CWIP'!E25</f>
        <v>0</v>
      </c>
      <c r="E53" s="47" t="str">
        <f>"10-CWIP, Line "&amp;'10-CWIP'!A25&amp;""</f>
        <v>10-CWIP, Line 13</v>
      </c>
      <c r="F53" s="15"/>
      <c r="G53" s="14"/>
      <c r="K53" s="7"/>
    </row>
    <row r="54" spans="1:11" x14ac:dyDescent="0.25">
      <c r="A54" s="537">
        <f t="shared" si="0"/>
        <v>45</v>
      </c>
      <c r="B54" s="76"/>
      <c r="C54" s="102" t="s">
        <v>1610</v>
      </c>
      <c r="D54" s="43">
        <f>'15-IncentiveAdder'!E26</f>
        <v>0</v>
      </c>
      <c r="E54" s="124" t="str">
        <f>"15-IncentiveAdder, Line "&amp;'15-IncentiveAdder'!A26&amp;""</f>
        <v>15-IncentiveAdder, Line 5</v>
      </c>
      <c r="F54" s="15"/>
      <c r="G54" s="14"/>
      <c r="K54" s="7"/>
    </row>
    <row r="55" spans="1:11" x14ac:dyDescent="0.25">
      <c r="A55" s="537">
        <f t="shared" si="0"/>
        <v>46</v>
      </c>
      <c r="B55" s="76"/>
      <c r="C55" s="102" t="s">
        <v>1609</v>
      </c>
      <c r="D55" s="7" t="e">
        <f>(D53/1000000)*($D$51*(D54/0.01))</f>
        <v>#DIV/0!</v>
      </c>
      <c r="E55" s="550" t="str">
        <f>"Formula on Line "&amp;A61&amp;""</f>
        <v>Formula on Line 52</v>
      </c>
      <c r="F55" s="14"/>
      <c r="G55" s="14"/>
      <c r="K55" s="7"/>
    </row>
    <row r="56" spans="1:11" x14ac:dyDescent="0.25">
      <c r="A56" s="537">
        <f t="shared" si="0"/>
        <v>47</v>
      </c>
      <c r="B56" s="76"/>
      <c r="C56" s="102"/>
      <c r="E56" s="65"/>
      <c r="F56" s="14"/>
      <c r="G56" s="14"/>
      <c r="K56" s="7"/>
    </row>
    <row r="57" spans="1:11" x14ac:dyDescent="0.25">
      <c r="A57" s="537">
        <f t="shared" si="0"/>
        <v>48</v>
      </c>
      <c r="C57" s="102" t="s">
        <v>1608</v>
      </c>
      <c r="D57" s="7">
        <f>'10-CWIP'!F25</f>
        <v>0</v>
      </c>
      <c r="E57" s="47" t="str">
        <f>"10-CWIP, Line "&amp;'10-CWIP'!A25&amp;""</f>
        <v>10-CWIP, Line 13</v>
      </c>
      <c r="F57" s="14"/>
      <c r="G57" s="14"/>
      <c r="K57" s="7"/>
    </row>
    <row r="58" spans="1:11" x14ac:dyDescent="0.25">
      <c r="A58" s="537">
        <f t="shared" si="0"/>
        <v>49</v>
      </c>
      <c r="C58" s="102" t="s">
        <v>1611</v>
      </c>
      <c r="D58" s="43">
        <f>'15-IncentiveAdder'!E27</f>
        <v>0</v>
      </c>
      <c r="E58" s="124" t="str">
        <f>"15-IncentiveAdder, Line "&amp;'15-IncentiveAdder'!A27&amp;""</f>
        <v>15-IncentiveAdder, Line 6</v>
      </c>
      <c r="F58" s="14"/>
      <c r="G58" s="14"/>
      <c r="K58" s="7"/>
    </row>
    <row r="59" spans="1:11" x14ac:dyDescent="0.25">
      <c r="A59" s="537">
        <f t="shared" si="0"/>
        <v>50</v>
      </c>
      <c r="C59" s="102" t="s">
        <v>1612</v>
      </c>
      <c r="D59" s="7" t="e">
        <f>(D57/1000000)*($D$51*(D58/0.01))</f>
        <v>#DIV/0!</v>
      </c>
      <c r="E59" s="47" t="str">
        <f>"Formula on Line "&amp;A61&amp;""</f>
        <v>Formula on Line 52</v>
      </c>
      <c r="F59" s="14"/>
      <c r="G59" s="14"/>
      <c r="K59" s="7"/>
    </row>
    <row r="60" spans="1:11" x14ac:dyDescent="0.25">
      <c r="A60" s="537">
        <f t="shared" si="0"/>
        <v>51</v>
      </c>
      <c r="C60" s="102"/>
      <c r="D60" s="7"/>
      <c r="E60" s="47"/>
      <c r="F60" s="14"/>
      <c r="G60" s="14"/>
      <c r="K60" s="7"/>
    </row>
    <row r="61" spans="1:11" x14ac:dyDescent="0.25">
      <c r="A61" s="537">
        <f t="shared" si="0"/>
        <v>52</v>
      </c>
      <c r="C61" s="52" t="s">
        <v>1588</v>
      </c>
      <c r="D61" s="7"/>
      <c r="E61" s="47"/>
      <c r="F61" s="14"/>
      <c r="G61" s="14"/>
      <c r="K61" s="7"/>
    </row>
    <row r="62" spans="1:11" x14ac:dyDescent="0.25">
      <c r="A62" s="537">
        <f t="shared" si="0"/>
        <v>53</v>
      </c>
      <c r="E62" s="14"/>
      <c r="F62" s="14"/>
      <c r="G62" s="14"/>
      <c r="K62" s="7"/>
    </row>
    <row r="63" spans="1:11" x14ac:dyDescent="0.25">
      <c r="A63" s="537">
        <f t="shared" si="0"/>
        <v>54</v>
      </c>
      <c r="C63" s="549" t="s">
        <v>1651</v>
      </c>
      <c r="D63" s="111" t="e">
        <f>D48+D55+D59</f>
        <v>#DIV/0!</v>
      </c>
      <c r="E63" s="47" t="str">
        <f>"Line "&amp;A48&amp;" + Line "&amp;A55&amp;" + Line "&amp;A59&amp;""</f>
        <v>Line 39 + Line 46 + Line 50</v>
      </c>
      <c r="F63" s="14"/>
      <c r="G63" s="14"/>
      <c r="K63" s="7"/>
    </row>
    <row r="64" spans="1:11" x14ac:dyDescent="0.25">
      <c r="A64" s="548">
        <f t="shared" si="0"/>
        <v>55</v>
      </c>
      <c r="C64" s="549" t="s">
        <v>1650</v>
      </c>
      <c r="D64" s="99" t="e">
        <f>('28-FFU'!D22+'28-FFU'!E22)*D63</f>
        <v>#DIV/0!</v>
      </c>
      <c r="E64" s="550" t="str">
        <f>"(28-FFU, L"&amp;'28-FFU'!A22&amp;" FF Factor + U Factor) * L"&amp;A63&amp;""</f>
        <v>(28-FFU, L5 FF Factor + U Factor) * L54</v>
      </c>
      <c r="F64" s="14"/>
      <c r="G64" s="14"/>
      <c r="K64" s="7"/>
    </row>
    <row r="65" spans="1:11" x14ac:dyDescent="0.25">
      <c r="A65" s="548">
        <f t="shared" si="0"/>
        <v>56</v>
      </c>
      <c r="C65" s="549" t="s">
        <v>1652</v>
      </c>
      <c r="D65" s="111" t="e">
        <f>SUM(D63:D64)</f>
        <v>#DIV/0!</v>
      </c>
      <c r="E65" s="47" t="str">
        <f>"Line "&amp;A63&amp;" + Line "&amp;A64&amp;""</f>
        <v>Line 54 + Line 55</v>
      </c>
      <c r="F65" s="14"/>
      <c r="K65" s="7"/>
    </row>
    <row r="66" spans="1:11" x14ac:dyDescent="0.25">
      <c r="A66" s="548">
        <f t="shared" si="0"/>
        <v>57</v>
      </c>
      <c r="C66" s="102"/>
      <c r="D66" s="111"/>
      <c r="E66" s="47"/>
      <c r="F66" s="14"/>
      <c r="K66" s="7"/>
    </row>
    <row r="67" spans="1:11" x14ac:dyDescent="0.25">
      <c r="A67" s="548">
        <f t="shared" si="0"/>
        <v>58</v>
      </c>
      <c r="B67" s="76" t="s">
        <v>1614</v>
      </c>
      <c r="C67" s="102"/>
      <c r="D67" s="111"/>
      <c r="E67" s="47"/>
      <c r="F67" s="14"/>
      <c r="K67" s="7"/>
    </row>
    <row r="68" spans="1:11" x14ac:dyDescent="0.25">
      <c r="A68" s="548">
        <f t="shared" si="0"/>
        <v>59</v>
      </c>
      <c r="F68" s="14"/>
      <c r="K68" s="7"/>
    </row>
    <row r="69" spans="1:11" x14ac:dyDescent="0.25">
      <c r="A69" s="121">
        <f t="shared" si="0"/>
        <v>60</v>
      </c>
      <c r="B69" s="14"/>
      <c r="C69" s="1151" t="s">
        <v>1651</v>
      </c>
      <c r="D69" s="48" t="e">
        <f>D63</f>
        <v>#DIV/0!</v>
      </c>
      <c r="E69" s="47" t="str">
        <f>"Line "&amp;A63&amp;""</f>
        <v>Line 54</v>
      </c>
      <c r="F69" s="14"/>
      <c r="K69" s="7"/>
    </row>
    <row r="70" spans="1:11" x14ac:dyDescent="0.25">
      <c r="A70" s="121">
        <f t="shared" si="0"/>
        <v>61</v>
      </c>
      <c r="B70" s="14"/>
      <c r="C70" s="1151" t="s">
        <v>1983</v>
      </c>
      <c r="D70" s="48" t="e">
        <f>'1-BaseTRR'!K136</f>
        <v>#DIV/0!</v>
      </c>
      <c r="E70" s="47" t="str">
        <f>"1-BaseTRR, Line "&amp;'1-BaseTRR'!A136&amp;""</f>
        <v>1-BaseTRR, Line 77</v>
      </c>
      <c r="F70" s="14"/>
      <c r="K70" s="7"/>
    </row>
    <row r="71" spans="1:11" x14ac:dyDescent="0.25">
      <c r="A71" s="121">
        <f t="shared" si="0"/>
        <v>62</v>
      </c>
      <c r="B71" s="14"/>
      <c r="C71" s="393" t="s">
        <v>1626</v>
      </c>
      <c r="D71" s="48" t="e">
        <f>D70-D69</f>
        <v>#DIV/0!</v>
      </c>
      <c r="E71" s="47" t="str">
        <f>"Line "&amp;A70&amp;" - Line "&amp;A69&amp;""</f>
        <v>Line 61 - Line 60</v>
      </c>
      <c r="F71" s="14"/>
      <c r="K71" s="7"/>
    </row>
    <row r="72" spans="1:11" x14ac:dyDescent="0.25">
      <c r="A72" s="121">
        <f t="shared" si="0"/>
        <v>63</v>
      </c>
      <c r="B72" s="14"/>
      <c r="C72" s="1152" t="s">
        <v>2217</v>
      </c>
      <c r="D72" s="65" t="e">
        <f>('1-BaseTRR'!K124+'1-BaseTRR'!K125)*0.75</f>
        <v>#DIV/0!</v>
      </c>
      <c r="E72" s="47" t="str">
        <f>"(1-BaseTRR, Line "&amp;'1-BaseTRR'!A124&amp;" + Line "&amp;'1-BaseTRR'!A125&amp;") * .75"</f>
        <v>(1-BaseTRR, Line 65 + Line 66) * .75</v>
      </c>
      <c r="F72" s="14"/>
      <c r="K72" s="7"/>
    </row>
    <row r="73" spans="1:11" x14ac:dyDescent="0.25">
      <c r="A73" s="121">
        <f t="shared" si="0"/>
        <v>64</v>
      </c>
      <c r="B73" s="14"/>
      <c r="C73" s="393" t="s">
        <v>299</v>
      </c>
      <c r="D73" s="1149" t="e">
        <f xml:space="preserve"> (D71-D72)/D40</f>
        <v>#DIV/0!</v>
      </c>
      <c r="E73" s="47" t="str">
        <f>"(Line "&amp;A71&amp;" - Line "&amp;A72&amp;") / Line "&amp;A40&amp;""</f>
        <v>(Line 62 - Line 63) / Line 31</v>
      </c>
      <c r="F73" s="14"/>
      <c r="K73" s="7"/>
    </row>
    <row r="74" spans="1:11" x14ac:dyDescent="0.25">
      <c r="A74" s="121">
        <f t="shared" si="0"/>
        <v>65</v>
      </c>
      <c r="B74" s="14"/>
      <c r="C74" s="14"/>
      <c r="D74" s="65"/>
      <c r="E74" s="47"/>
      <c r="F74" s="14"/>
    </row>
    <row r="75" spans="1:11" x14ac:dyDescent="0.25">
      <c r="A75" s="121">
        <f t="shared" si="0"/>
        <v>66</v>
      </c>
      <c r="B75" s="45" t="s">
        <v>385</v>
      </c>
      <c r="C75" s="14"/>
      <c r="D75" s="14"/>
      <c r="E75" s="14"/>
      <c r="F75" s="14"/>
    </row>
    <row r="76" spans="1:11" x14ac:dyDescent="0.25">
      <c r="A76" s="121">
        <f t="shared" si="0"/>
        <v>67</v>
      </c>
      <c r="B76" s="14"/>
      <c r="C76" s="14"/>
      <c r="D76" s="14"/>
      <c r="E76" s="14"/>
      <c r="F76" s="14"/>
    </row>
    <row r="77" spans="1:11" x14ac:dyDescent="0.25">
      <c r="A77" s="121">
        <f t="shared" si="0"/>
        <v>68</v>
      </c>
      <c r="B77" s="14"/>
      <c r="C77" s="14"/>
      <c r="D77" s="14"/>
      <c r="E77" s="135" t="s">
        <v>224</v>
      </c>
      <c r="F77" s="14"/>
      <c r="I77" s="1"/>
    </row>
    <row r="78" spans="1:11" x14ac:dyDescent="0.25">
      <c r="A78" s="121">
        <f t="shared" si="0"/>
        <v>69</v>
      </c>
      <c r="B78" s="14"/>
      <c r="C78" s="393" t="s">
        <v>298</v>
      </c>
      <c r="D78" s="65" t="e">
        <f>'16-PlantAdditions'!N37</f>
        <v>#DIV/0!</v>
      </c>
      <c r="E78" s="47" t="str">
        <f>"16-PlantAdditions, L "&amp;'16-PlantAdditions'!A37&amp;", C10"</f>
        <v>16-PlantAdditions, L 25, C10</v>
      </c>
      <c r="F78" s="14"/>
      <c r="K78" s="7"/>
    </row>
    <row r="79" spans="1:11" x14ac:dyDescent="0.25">
      <c r="A79" s="121">
        <f t="shared" si="0"/>
        <v>70</v>
      </c>
      <c r="B79" s="14"/>
      <c r="C79" s="393" t="s">
        <v>299</v>
      </c>
      <c r="D79" s="1153" t="e">
        <f>D73</f>
        <v>#DIV/0!</v>
      </c>
      <c r="E79" s="47" t="str">
        <f>"Line "&amp;A73&amp;""</f>
        <v>Line 64</v>
      </c>
      <c r="F79" s="14"/>
      <c r="K79" s="842"/>
    </row>
    <row r="80" spans="1:11" x14ac:dyDescent="0.25">
      <c r="A80" s="121">
        <f t="shared" si="0"/>
        <v>71</v>
      </c>
      <c r="B80" s="14"/>
      <c r="C80" s="393" t="s">
        <v>386</v>
      </c>
      <c r="D80" s="65" t="e">
        <f>D78*D79</f>
        <v>#DIV/0!</v>
      </c>
      <c r="E80" s="47" t="str">
        <f>"Line "&amp;A78&amp;" * Line "&amp;A79&amp;""</f>
        <v>Line 69 * Line 70</v>
      </c>
      <c r="F80" s="14"/>
      <c r="K80" s="7"/>
    </row>
    <row r="81" spans="1:11" x14ac:dyDescent="0.25">
      <c r="A81" s="121">
        <f t="shared" si="0"/>
        <v>72</v>
      </c>
      <c r="B81" s="14"/>
      <c r="C81" s="14"/>
      <c r="D81" s="14"/>
      <c r="E81" s="14"/>
      <c r="F81" s="14"/>
      <c r="K81" s="7"/>
    </row>
    <row r="82" spans="1:11" x14ac:dyDescent="0.25">
      <c r="A82" s="121">
        <f t="shared" si="0"/>
        <v>73</v>
      </c>
      <c r="B82" s="14"/>
      <c r="C82" s="393" t="s">
        <v>389</v>
      </c>
      <c r="D82" s="65">
        <f>'10-CWIP'!K79</f>
        <v>0</v>
      </c>
      <c r="E82" s="47" t="str">
        <f>"10-CWIP, L "&amp;'10-CWIP'!A79&amp;", C8"</f>
        <v>10-CWIP, L 54, C8</v>
      </c>
      <c r="F82" s="14"/>
      <c r="K82" s="7"/>
    </row>
    <row r="83" spans="1:11" x14ac:dyDescent="0.25">
      <c r="A83" s="121">
        <f t="shared" si="0"/>
        <v>74</v>
      </c>
      <c r="B83" s="14"/>
      <c r="C83" s="393" t="s">
        <v>387</v>
      </c>
      <c r="D83" s="1153" t="e">
        <f>D25</f>
        <v>#DIV/0!</v>
      </c>
      <c r="E83" s="47" t="str">
        <f>"Line "&amp;A25&amp;""</f>
        <v>Line 16</v>
      </c>
      <c r="F83" s="14"/>
      <c r="K83" s="842"/>
    </row>
    <row r="84" spans="1:11" x14ac:dyDescent="0.25">
      <c r="A84" s="121">
        <f t="shared" si="0"/>
        <v>75</v>
      </c>
      <c r="B84" s="14"/>
      <c r="C84" s="393" t="s">
        <v>388</v>
      </c>
      <c r="D84" s="65" t="e">
        <f>D82*D83</f>
        <v>#DIV/0!</v>
      </c>
      <c r="E84" s="47" t="str">
        <f>"Line "&amp;A82&amp;" * Line "&amp;A83&amp;""</f>
        <v>Line 73 * Line 74</v>
      </c>
      <c r="F84" s="14"/>
      <c r="K84" s="7"/>
    </row>
    <row r="85" spans="1:11" x14ac:dyDescent="0.25">
      <c r="A85" s="121">
        <f t="shared" si="0"/>
        <v>76</v>
      </c>
      <c r="B85" s="14"/>
      <c r="C85" s="14"/>
      <c r="D85" s="14"/>
      <c r="E85" s="14"/>
      <c r="F85" s="14"/>
      <c r="K85" s="7"/>
    </row>
    <row r="86" spans="1:11" x14ac:dyDescent="0.25">
      <c r="A86" s="121">
        <f t="shared" si="0"/>
        <v>77</v>
      </c>
      <c r="B86" s="14"/>
      <c r="C86" s="393" t="s">
        <v>1635</v>
      </c>
      <c r="D86" s="65" t="e">
        <f>D80+D84</f>
        <v>#DIV/0!</v>
      </c>
      <c r="E86" s="47" t="str">
        <f>"Line "&amp;A80&amp;" + Line "&amp;A84&amp;""</f>
        <v>Line 71 + Line 75</v>
      </c>
      <c r="F86" s="14"/>
      <c r="K86" s="7"/>
    </row>
    <row r="87" spans="1:11" x14ac:dyDescent="0.25">
      <c r="A87" s="121">
        <f t="shared" si="0"/>
        <v>78</v>
      </c>
      <c r="B87" s="14"/>
      <c r="C87" s="14"/>
      <c r="D87" s="14"/>
      <c r="E87" s="14"/>
      <c r="F87" s="14"/>
      <c r="K87" s="7"/>
    </row>
    <row r="88" spans="1:11" x14ac:dyDescent="0.25">
      <c r="A88" s="121">
        <f t="shared" ref="A88:A91" si="1">A87+1</f>
        <v>79</v>
      </c>
      <c r="B88" s="14"/>
      <c r="C88" s="393" t="s">
        <v>1636</v>
      </c>
      <c r="D88" s="65" t="e">
        <f>'28-FFU'!D22*D86</f>
        <v>#DIV/0!</v>
      </c>
      <c r="E88" s="124" t="str">
        <f>"Line "&amp;A86&amp;" * FF (from 28-FFU, L "&amp;'28-FFU'!A22&amp;")"</f>
        <v>Line 77 * FF (from 28-FFU, L 5)</v>
      </c>
      <c r="F88" s="14"/>
      <c r="K88" s="7"/>
    </row>
    <row r="89" spans="1:11" x14ac:dyDescent="0.25">
      <c r="A89" s="121">
        <f t="shared" si="1"/>
        <v>80</v>
      </c>
      <c r="B89" s="14"/>
      <c r="C89" s="86" t="s">
        <v>1637</v>
      </c>
      <c r="D89" s="65" t="e">
        <f>'28-FFU'!E22*D86</f>
        <v>#DIV/0!</v>
      </c>
      <c r="E89" s="124" t="str">
        <f>"Line "&amp;A86&amp;" * U (from 28-FFU, L "&amp;'28-FFU'!A22&amp;")"</f>
        <v>Line 77 * U (from 28-FFU, L 5)</v>
      </c>
      <c r="F89" s="14"/>
      <c r="K89" s="7"/>
    </row>
    <row r="90" spans="1:11" x14ac:dyDescent="0.25">
      <c r="A90" s="121">
        <f t="shared" si="1"/>
        <v>81</v>
      </c>
      <c r="B90" s="14"/>
      <c r="C90" s="14"/>
      <c r="D90" s="65"/>
      <c r="E90" s="14"/>
      <c r="F90" s="14"/>
      <c r="K90" s="7"/>
    </row>
    <row r="91" spans="1:11" x14ac:dyDescent="0.25">
      <c r="A91" s="121">
        <f t="shared" si="1"/>
        <v>82</v>
      </c>
      <c r="B91" s="14"/>
      <c r="C91" s="86" t="s">
        <v>390</v>
      </c>
      <c r="D91" s="65" t="e">
        <f>D86+D88+D89</f>
        <v>#DIV/0!</v>
      </c>
      <c r="E91" s="47" t="str">
        <f>"Line "&amp;A86&amp;" + Line "&amp;A88&amp;" + Line "&amp;A89&amp;""</f>
        <v>Line 77 + Line 79 + Line 80</v>
      </c>
      <c r="F91" s="14"/>
      <c r="K91" s="7"/>
    </row>
  </sheetData>
  <phoneticPr fontId="12" type="noConversion"/>
  <pageMargins left="0.75" right="0.75" top="1" bottom="1" header="0.5" footer="0.5"/>
  <pageSetup scale="75" orientation="portrait" cellComments="asDisplayed" r:id="rId1"/>
  <headerFooter alignWithMargins="0">
    <oddHeader>&amp;CSchedule 2
Incremental Forecast Period TRR
&amp;"Arial,Bold"Attachment 5</oddHeader>
    <oddFooter>&amp;R&amp;A</oddFooter>
  </headerFooter>
  <rowBreaks count="1" manualBreakCount="1">
    <brk id="66"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3"/>
  <sheetViews>
    <sheetView topLeftCell="A142" zoomScale="90" zoomScaleNormal="90" workbookViewId="0">
      <selection activeCell="B160" sqref="B160"/>
    </sheetView>
  </sheetViews>
  <sheetFormatPr defaultRowHeight="13.2" x14ac:dyDescent="0.25"/>
  <cols>
    <col min="1" max="1" width="4.6640625" customWidth="1"/>
    <col min="2" max="2" width="6.6640625" customWidth="1"/>
    <col min="3" max="5" width="14.6640625" customWidth="1"/>
    <col min="6" max="6" width="15.5546875" customWidth="1"/>
    <col min="7" max="7" width="14.6640625" customWidth="1"/>
    <col min="8" max="8" width="15.88671875" customWidth="1"/>
    <col min="9" max="9" width="15.6640625" customWidth="1"/>
    <col min="10" max="10" width="15.109375" customWidth="1"/>
    <col min="11" max="11" width="14.6640625" customWidth="1"/>
    <col min="12" max="12" width="15.33203125" customWidth="1"/>
    <col min="13" max="16" width="12.6640625" customWidth="1"/>
  </cols>
  <sheetData>
    <row r="1" spans="1:12" x14ac:dyDescent="0.25">
      <c r="A1" s="1" t="s">
        <v>1931</v>
      </c>
      <c r="B1" s="251"/>
      <c r="C1" s="251"/>
      <c r="D1" s="251"/>
      <c r="E1" s="251"/>
      <c r="F1" s="251"/>
      <c r="G1" s="251"/>
      <c r="H1" s="251"/>
      <c r="I1" s="251"/>
      <c r="J1" s="251"/>
      <c r="K1" s="251"/>
      <c r="L1" s="251"/>
    </row>
    <row r="2" spans="1:12" x14ac:dyDescent="0.25">
      <c r="A2" s="251"/>
      <c r="B2" s="251"/>
      <c r="C2" s="251"/>
      <c r="D2" s="251"/>
      <c r="E2" s="251"/>
      <c r="F2" s="251"/>
      <c r="G2" s="251"/>
      <c r="H2" s="251"/>
      <c r="I2" s="251"/>
      <c r="J2" s="251"/>
      <c r="K2" s="251"/>
      <c r="L2" s="251"/>
    </row>
    <row r="3" spans="1:12" x14ac:dyDescent="0.25">
      <c r="A3" s="251"/>
      <c r="B3" s="1" t="s">
        <v>543</v>
      </c>
      <c r="C3" s="251"/>
      <c r="D3" s="251"/>
      <c r="E3" s="251"/>
      <c r="F3" s="251"/>
      <c r="G3" s="251"/>
      <c r="H3" s="251"/>
      <c r="I3" s="251"/>
      <c r="J3" s="251"/>
      <c r="K3" s="251"/>
      <c r="L3" s="251"/>
    </row>
    <row r="4" spans="1:12" x14ac:dyDescent="0.25">
      <c r="A4" s="251"/>
      <c r="B4" s="555" t="s">
        <v>1690</v>
      </c>
      <c r="C4" s="251"/>
      <c r="D4" s="251"/>
      <c r="E4" s="251"/>
      <c r="F4" s="251"/>
      <c r="G4" s="251"/>
      <c r="H4" s="251"/>
      <c r="I4" s="251"/>
      <c r="J4" s="251"/>
      <c r="K4" s="251"/>
      <c r="L4" s="251"/>
    </row>
    <row r="5" spans="1:12" x14ac:dyDescent="0.25">
      <c r="A5" s="251"/>
      <c r="B5" s="107" t="str">
        <f>"for each month (see Note #2).  If formula was not in effect in Prior Year, do not populate Column 2 or 3, Lines "&amp;A24&amp;" to "&amp;A35&amp;"."</f>
        <v>for each month (see Note #2).  If formula was not in effect in Prior Year, do not populate Column 2 or 3, Lines 11 to 22.</v>
      </c>
      <c r="C5" s="251"/>
      <c r="D5" s="251"/>
      <c r="E5" s="251"/>
      <c r="F5" s="251"/>
      <c r="G5" s="251"/>
      <c r="H5" s="251"/>
      <c r="I5" s="251"/>
      <c r="J5" s="251"/>
      <c r="K5" s="251"/>
      <c r="L5" s="251"/>
    </row>
    <row r="6" spans="1:12" x14ac:dyDescent="0.25">
      <c r="A6" s="251"/>
      <c r="B6" s="555" t="s">
        <v>1691</v>
      </c>
      <c r="C6" s="251"/>
      <c r="D6" s="251"/>
      <c r="E6" s="251"/>
      <c r="F6" s="251"/>
      <c r="G6" s="251"/>
      <c r="H6" s="251"/>
      <c r="I6" s="251"/>
      <c r="J6" s="251"/>
      <c r="K6" s="251"/>
      <c r="L6" s="251"/>
    </row>
    <row r="7" spans="1:12" x14ac:dyDescent="0.25">
      <c r="A7" s="251"/>
      <c r="B7" s="13" t="s">
        <v>1154</v>
      </c>
      <c r="C7" s="251"/>
      <c r="D7" s="251"/>
      <c r="E7" s="251"/>
      <c r="F7" s="251"/>
      <c r="G7" s="251"/>
      <c r="H7" s="251"/>
      <c r="I7" s="251"/>
      <c r="J7" s="251"/>
      <c r="K7" s="251"/>
      <c r="L7" s="251"/>
    </row>
    <row r="8" spans="1:12" x14ac:dyDescent="0.25">
      <c r="A8" s="251"/>
      <c r="B8" s="13" t="str">
        <f>"d) Continue interest calculation through the end of the previous Rate Effective Period (Line "&amp;A44&amp;")."</f>
        <v>d) Continue interest calculation through the end of the previous Rate Effective Period (Line 31).</v>
      </c>
      <c r="C8" s="251"/>
      <c r="D8" s="251"/>
      <c r="E8" s="251"/>
      <c r="F8" s="251"/>
      <c r="G8" s="251"/>
      <c r="H8" s="251"/>
      <c r="I8" s="251"/>
      <c r="J8" s="251"/>
      <c r="K8" s="251"/>
      <c r="L8" s="251"/>
    </row>
    <row r="9" spans="1:12" x14ac:dyDescent="0.25">
      <c r="A9" s="251"/>
      <c r="B9" s="13" t="str">
        <f>"e) Amortize this ending balance from (d) over the current Rate Effective Period so that the ending balance on Line "&amp;A67&amp;" is equal to $0."</f>
        <v>e) Amortize this ending balance from (d) over the current Rate Effective Period so that the ending balance on Line 54 is equal to $0.</v>
      </c>
      <c r="C9" s="251"/>
      <c r="D9" s="251"/>
      <c r="E9" s="251"/>
      <c r="F9" s="251"/>
      <c r="G9" s="251"/>
      <c r="H9" s="251"/>
      <c r="I9" s="251"/>
      <c r="J9" s="251"/>
      <c r="K9" s="251"/>
      <c r="L9" s="251"/>
    </row>
    <row r="10" spans="1:12" x14ac:dyDescent="0.25">
      <c r="A10" s="251"/>
      <c r="B10" s="251"/>
      <c r="C10" s="251"/>
      <c r="D10" s="251"/>
      <c r="E10" s="251"/>
      <c r="F10" s="251"/>
      <c r="G10" s="251"/>
      <c r="H10" s="251"/>
      <c r="I10" s="251"/>
      <c r="J10" s="251"/>
      <c r="K10" s="251"/>
      <c r="L10" s="251"/>
    </row>
    <row r="11" spans="1:12" x14ac:dyDescent="0.25">
      <c r="A11" s="2"/>
      <c r="B11" s="91" t="s">
        <v>1692</v>
      </c>
      <c r="C11" s="251"/>
      <c r="D11" s="252"/>
      <c r="E11" s="253"/>
      <c r="F11" s="251"/>
      <c r="G11" s="251"/>
      <c r="H11" s="251"/>
      <c r="I11" s="251"/>
      <c r="J11" s="251"/>
      <c r="K11" s="111"/>
      <c r="L11" s="251"/>
    </row>
    <row r="12" spans="1:12" x14ac:dyDescent="0.25">
      <c r="A12" s="2"/>
      <c r="B12" s="91" t="s">
        <v>562</v>
      </c>
      <c r="C12" s="251"/>
      <c r="D12" s="252"/>
      <c r="E12" s="253"/>
      <c r="F12" s="251"/>
      <c r="G12" s="251"/>
      <c r="H12" s="251"/>
      <c r="I12" s="251"/>
      <c r="J12" s="251"/>
      <c r="K12" s="251"/>
      <c r="L12" s="251"/>
    </row>
    <row r="13" spans="1:12" x14ac:dyDescent="0.25">
      <c r="A13" s="55" t="s">
        <v>350</v>
      </c>
      <c r="B13" s="251"/>
      <c r="C13" s="91"/>
      <c r="D13" s="252"/>
      <c r="E13" s="253"/>
      <c r="F13" s="3"/>
      <c r="G13" s="251"/>
      <c r="H13" s="251"/>
      <c r="I13" s="251"/>
      <c r="J13" s="251"/>
      <c r="K13" s="251"/>
      <c r="L13" s="251"/>
    </row>
    <row r="14" spans="1:12" x14ac:dyDescent="0.25">
      <c r="A14" s="2">
        <f>A7+1</f>
        <v>1</v>
      </c>
      <c r="B14" s="251"/>
      <c r="C14" s="251"/>
      <c r="D14" s="578" t="s">
        <v>1689</v>
      </c>
      <c r="E14" s="253" t="e">
        <f>'4-TUTRR'!E73</f>
        <v>#DIV/0!</v>
      </c>
      <c r="F14" s="579" t="s">
        <v>2077</v>
      </c>
      <c r="G14" s="261"/>
      <c r="H14" s="251" t="str">
        <f>"Line "&amp;'4-TUTRR'!A73&amp;""</f>
        <v>Line 45</v>
      </c>
      <c r="I14" s="251"/>
      <c r="J14" s="251"/>
      <c r="K14" s="251"/>
      <c r="L14" s="251"/>
    </row>
    <row r="15" spans="1:12" x14ac:dyDescent="0.25">
      <c r="A15" s="2">
        <f>A14+1</f>
        <v>2</v>
      </c>
      <c r="B15" s="91"/>
      <c r="C15" s="251"/>
      <c r="D15" s="251"/>
      <c r="E15" s="251"/>
      <c r="F15" s="251"/>
      <c r="G15" s="251"/>
      <c r="H15" s="253"/>
      <c r="I15" s="251"/>
      <c r="J15" s="251"/>
      <c r="K15" s="251"/>
      <c r="L15" s="251"/>
    </row>
    <row r="16" spans="1:12" x14ac:dyDescent="0.25">
      <c r="A16" s="2">
        <f t="shared" ref="A16:A81" si="0">A15+1</f>
        <v>3</v>
      </c>
      <c r="B16" s="251"/>
      <c r="C16" s="251"/>
      <c r="D16" s="92" t="s">
        <v>394</v>
      </c>
      <c r="E16" s="92" t="s">
        <v>378</v>
      </c>
      <c r="F16" s="92" t="s">
        <v>379</v>
      </c>
      <c r="G16" s="92" t="s">
        <v>380</v>
      </c>
      <c r="H16" s="92" t="s">
        <v>381</v>
      </c>
      <c r="I16" s="92" t="s">
        <v>382</v>
      </c>
      <c r="J16" s="92" t="s">
        <v>383</v>
      </c>
      <c r="K16" s="92" t="s">
        <v>597</v>
      </c>
      <c r="L16" s="92" t="s">
        <v>1046</v>
      </c>
    </row>
    <row r="17" spans="1:12" x14ac:dyDescent="0.25">
      <c r="A17" s="2">
        <f t="shared" si="0"/>
        <v>4</v>
      </c>
      <c r="B17" s="251"/>
      <c r="C17" s="252" t="s">
        <v>1047</v>
      </c>
      <c r="D17" s="92"/>
      <c r="E17" s="95" t="s">
        <v>235</v>
      </c>
      <c r="F17" s="95" t="s">
        <v>311</v>
      </c>
      <c r="G17" s="95" t="s">
        <v>1048</v>
      </c>
      <c r="H17" s="104" t="s">
        <v>586</v>
      </c>
      <c r="I17" s="95" t="s">
        <v>1049</v>
      </c>
      <c r="J17" s="95" t="s">
        <v>584</v>
      </c>
      <c r="K17" s="95" t="s">
        <v>585</v>
      </c>
      <c r="L17" s="104" t="s">
        <v>1050</v>
      </c>
    </row>
    <row r="18" spans="1:12" x14ac:dyDescent="0.25">
      <c r="A18" s="2">
        <f t="shared" si="0"/>
        <v>5</v>
      </c>
      <c r="B18" s="251"/>
      <c r="C18" s="251"/>
      <c r="D18" s="92"/>
      <c r="G18" s="92"/>
      <c r="I18" s="92"/>
      <c r="J18" s="2" t="s">
        <v>223</v>
      </c>
      <c r="K18" s="92"/>
      <c r="L18" s="92"/>
    </row>
    <row r="19" spans="1:12" ht="14.4" x14ac:dyDescent="0.3">
      <c r="A19" s="2">
        <f t="shared" si="0"/>
        <v>6</v>
      </c>
      <c r="B19" s="251"/>
      <c r="C19" s="251"/>
      <c r="D19" s="92"/>
      <c r="G19" s="264" t="s">
        <v>1155</v>
      </c>
      <c r="I19" s="251"/>
      <c r="J19" s="2" t="s">
        <v>30</v>
      </c>
      <c r="K19" s="251"/>
      <c r="L19" s="2" t="s">
        <v>223</v>
      </c>
    </row>
    <row r="20" spans="1:12" x14ac:dyDescent="0.25">
      <c r="A20" s="2">
        <f t="shared" si="0"/>
        <v>7</v>
      </c>
      <c r="B20" s="251"/>
      <c r="C20" s="251"/>
      <c r="D20" s="92"/>
      <c r="F20" s="2" t="s">
        <v>561</v>
      </c>
      <c r="G20" s="2" t="s">
        <v>1051</v>
      </c>
      <c r="H20" s="2" t="s">
        <v>19</v>
      </c>
      <c r="I20" s="251"/>
      <c r="J20" s="2" t="s">
        <v>31</v>
      </c>
      <c r="K20" s="251"/>
      <c r="L20" s="2" t="s">
        <v>30</v>
      </c>
    </row>
    <row r="21" spans="1:12" x14ac:dyDescent="0.25">
      <c r="A21" s="2">
        <f t="shared" si="0"/>
        <v>8</v>
      </c>
      <c r="B21" s="251"/>
      <c r="C21" s="251"/>
      <c r="D21" s="2"/>
      <c r="E21" s="2" t="s">
        <v>19</v>
      </c>
      <c r="F21" s="2" t="s">
        <v>582</v>
      </c>
      <c r="G21" s="2" t="s">
        <v>218</v>
      </c>
      <c r="H21" s="2" t="s">
        <v>30</v>
      </c>
      <c r="I21" s="2" t="s">
        <v>19</v>
      </c>
      <c r="J21" s="2" t="s">
        <v>22</v>
      </c>
      <c r="K21" s="254" t="s">
        <v>23</v>
      </c>
      <c r="L21" s="2" t="s">
        <v>31</v>
      </c>
    </row>
    <row r="22" spans="1:12" x14ac:dyDescent="0.25">
      <c r="A22" s="2">
        <f t="shared" si="0"/>
        <v>9</v>
      </c>
      <c r="B22" s="251"/>
      <c r="C22" s="251"/>
      <c r="D22" s="2"/>
      <c r="E22" s="2" t="s">
        <v>307</v>
      </c>
      <c r="F22" s="2" t="s">
        <v>337</v>
      </c>
      <c r="G22" s="2" t="s">
        <v>307</v>
      </c>
      <c r="H22" s="2" t="s">
        <v>31</v>
      </c>
      <c r="I22" s="2" t="s">
        <v>23</v>
      </c>
      <c r="J22" s="2" t="s">
        <v>1156</v>
      </c>
      <c r="K22" s="2" t="s">
        <v>1157</v>
      </c>
      <c r="L22" s="2" t="s">
        <v>22</v>
      </c>
    </row>
    <row r="23" spans="1:12" x14ac:dyDescent="0.25">
      <c r="A23" s="2">
        <f t="shared" si="0"/>
        <v>10</v>
      </c>
      <c r="B23" s="251"/>
      <c r="C23" s="25" t="s">
        <v>211</v>
      </c>
      <c r="D23" s="25" t="s">
        <v>212</v>
      </c>
      <c r="E23" s="3" t="s">
        <v>1053</v>
      </c>
      <c r="F23" s="3" t="s">
        <v>21</v>
      </c>
      <c r="G23" s="3" t="s">
        <v>176</v>
      </c>
      <c r="H23" s="3" t="s">
        <v>22</v>
      </c>
      <c r="I23" s="3" t="s">
        <v>13</v>
      </c>
      <c r="J23" s="3" t="s">
        <v>1158</v>
      </c>
      <c r="K23" s="3" t="s">
        <v>211</v>
      </c>
      <c r="L23" s="3" t="s">
        <v>1054</v>
      </c>
    </row>
    <row r="24" spans="1:12" x14ac:dyDescent="0.25">
      <c r="A24" s="2">
        <f t="shared" si="0"/>
        <v>11</v>
      </c>
      <c r="B24" s="251"/>
      <c r="C24" s="20" t="s">
        <v>200</v>
      </c>
      <c r="D24" s="160"/>
      <c r="E24" s="268" t="e">
        <f>$E$14/12</f>
        <v>#DIV/0!</v>
      </c>
      <c r="F24" s="255">
        <f>C108</f>
        <v>0</v>
      </c>
      <c r="G24" s="618"/>
      <c r="H24" s="253" t="e">
        <f>E24-F24+G24</f>
        <v>#DIV/0!</v>
      </c>
      <c r="I24" s="257"/>
      <c r="J24" s="258" t="e">
        <f>H24</f>
        <v>#DIV/0!</v>
      </c>
      <c r="K24" s="258" t="e">
        <f>((J24)/2)*I24</f>
        <v>#DIV/0!</v>
      </c>
      <c r="L24" s="258" t="e">
        <f>J24+K24</f>
        <v>#DIV/0!</v>
      </c>
    </row>
    <row r="25" spans="1:12" x14ac:dyDescent="0.25">
      <c r="A25" s="2">
        <f t="shared" si="0"/>
        <v>12</v>
      </c>
      <c r="B25" s="251"/>
      <c r="C25" s="21" t="s">
        <v>201</v>
      </c>
      <c r="D25" s="160"/>
      <c r="E25" s="268" t="e">
        <f t="shared" ref="E25:E35" si="1">$E$14/12</f>
        <v>#DIV/0!</v>
      </c>
      <c r="F25" s="255">
        <f t="shared" ref="F25:F35" si="2">C109</f>
        <v>0</v>
      </c>
      <c r="G25" s="395"/>
      <c r="H25" s="253" t="e">
        <f t="shared" ref="H25:H34" si="3">E25-F25+G25</f>
        <v>#DIV/0!</v>
      </c>
      <c r="I25" s="257"/>
      <c r="J25" s="258" t="e">
        <f>L24+H25</f>
        <v>#DIV/0!</v>
      </c>
      <c r="K25" s="258" t="e">
        <f>((L24+J25)/2)*I25</f>
        <v>#DIV/0!</v>
      </c>
      <c r="L25" s="258" t="e">
        <f t="shared" ref="L25:L44" si="4">J25+K25</f>
        <v>#DIV/0!</v>
      </c>
    </row>
    <row r="26" spans="1:12" x14ac:dyDescent="0.25">
      <c r="A26" s="2">
        <f t="shared" si="0"/>
        <v>13</v>
      </c>
      <c r="B26" s="251"/>
      <c r="C26" s="21" t="s">
        <v>214</v>
      </c>
      <c r="D26" s="160"/>
      <c r="E26" s="268" t="e">
        <f t="shared" si="1"/>
        <v>#DIV/0!</v>
      </c>
      <c r="F26" s="255">
        <f t="shared" si="2"/>
        <v>0</v>
      </c>
      <c r="G26" s="395"/>
      <c r="H26" s="253" t="e">
        <f t="shared" si="3"/>
        <v>#DIV/0!</v>
      </c>
      <c r="I26" s="257"/>
      <c r="J26" s="258" t="e">
        <f t="shared" ref="J26:J44" si="5">L25+H26</f>
        <v>#DIV/0!</v>
      </c>
      <c r="K26" s="258" t="e">
        <f t="shared" ref="K26:K44" si="6">((L25+J26)/2)*I26</f>
        <v>#DIV/0!</v>
      </c>
      <c r="L26" s="258" t="e">
        <f t="shared" si="4"/>
        <v>#DIV/0!</v>
      </c>
    </row>
    <row r="27" spans="1:12" x14ac:dyDescent="0.25">
      <c r="A27" s="2">
        <f t="shared" si="0"/>
        <v>14</v>
      </c>
      <c r="B27" s="251"/>
      <c r="C27" s="20" t="s">
        <v>202</v>
      </c>
      <c r="D27" s="160"/>
      <c r="E27" s="268" t="e">
        <f t="shared" si="1"/>
        <v>#DIV/0!</v>
      </c>
      <c r="F27" s="255">
        <f t="shared" si="2"/>
        <v>0</v>
      </c>
      <c r="G27" s="395"/>
      <c r="H27" s="253" t="e">
        <f t="shared" si="3"/>
        <v>#DIV/0!</v>
      </c>
      <c r="I27" s="257"/>
      <c r="J27" s="258" t="e">
        <f t="shared" si="5"/>
        <v>#DIV/0!</v>
      </c>
      <c r="K27" s="258" t="e">
        <f t="shared" si="6"/>
        <v>#DIV/0!</v>
      </c>
      <c r="L27" s="258" t="e">
        <f t="shared" si="4"/>
        <v>#DIV/0!</v>
      </c>
    </row>
    <row r="28" spans="1:12" x14ac:dyDescent="0.25">
      <c r="A28" s="2">
        <f t="shared" si="0"/>
        <v>15</v>
      </c>
      <c r="B28" s="251"/>
      <c r="C28" s="21" t="s">
        <v>203</v>
      </c>
      <c r="D28" s="160"/>
      <c r="E28" s="268" t="e">
        <f t="shared" si="1"/>
        <v>#DIV/0!</v>
      </c>
      <c r="F28" s="255">
        <f t="shared" si="2"/>
        <v>0</v>
      </c>
      <c r="G28" s="395"/>
      <c r="H28" s="253" t="e">
        <f t="shared" si="3"/>
        <v>#DIV/0!</v>
      </c>
      <c r="I28" s="257"/>
      <c r="J28" s="258" t="e">
        <f t="shared" si="5"/>
        <v>#DIV/0!</v>
      </c>
      <c r="K28" s="258" t="e">
        <f t="shared" si="6"/>
        <v>#DIV/0!</v>
      </c>
      <c r="L28" s="258" t="e">
        <f t="shared" si="4"/>
        <v>#DIV/0!</v>
      </c>
    </row>
    <row r="29" spans="1:12" x14ac:dyDescent="0.25">
      <c r="A29" s="2">
        <f t="shared" si="0"/>
        <v>16</v>
      </c>
      <c r="B29" s="251"/>
      <c r="C29" s="21" t="s">
        <v>204</v>
      </c>
      <c r="D29" s="160"/>
      <c r="E29" s="268" t="e">
        <f t="shared" si="1"/>
        <v>#DIV/0!</v>
      </c>
      <c r="F29" s="255">
        <f t="shared" si="2"/>
        <v>0</v>
      </c>
      <c r="G29" s="395"/>
      <c r="H29" s="253" t="e">
        <f t="shared" si="3"/>
        <v>#DIV/0!</v>
      </c>
      <c r="I29" s="257"/>
      <c r="J29" s="258" t="e">
        <f t="shared" si="5"/>
        <v>#DIV/0!</v>
      </c>
      <c r="K29" s="258" t="e">
        <f t="shared" si="6"/>
        <v>#DIV/0!</v>
      </c>
      <c r="L29" s="258" t="e">
        <f t="shared" si="4"/>
        <v>#DIV/0!</v>
      </c>
    </row>
    <row r="30" spans="1:12" x14ac:dyDescent="0.25">
      <c r="A30" s="2">
        <f t="shared" si="0"/>
        <v>17</v>
      </c>
      <c r="B30" s="251"/>
      <c r="C30" s="20" t="s">
        <v>205</v>
      </c>
      <c r="D30" s="160"/>
      <c r="E30" s="268" t="e">
        <f t="shared" si="1"/>
        <v>#DIV/0!</v>
      </c>
      <c r="F30" s="255">
        <f t="shared" si="2"/>
        <v>0</v>
      </c>
      <c r="G30" s="395"/>
      <c r="H30" s="253" t="e">
        <f t="shared" si="3"/>
        <v>#DIV/0!</v>
      </c>
      <c r="I30" s="257"/>
      <c r="J30" s="258" t="e">
        <f t="shared" si="5"/>
        <v>#DIV/0!</v>
      </c>
      <c r="K30" s="258" t="e">
        <f t="shared" si="6"/>
        <v>#DIV/0!</v>
      </c>
      <c r="L30" s="258" t="e">
        <f t="shared" si="4"/>
        <v>#DIV/0!</v>
      </c>
    </row>
    <row r="31" spans="1:12" x14ac:dyDescent="0.25">
      <c r="A31" s="2">
        <f t="shared" si="0"/>
        <v>18</v>
      </c>
      <c r="B31" s="251"/>
      <c r="C31" s="21" t="s">
        <v>206</v>
      </c>
      <c r="D31" s="160"/>
      <c r="E31" s="268" t="e">
        <f t="shared" si="1"/>
        <v>#DIV/0!</v>
      </c>
      <c r="F31" s="255">
        <f t="shared" si="2"/>
        <v>0</v>
      </c>
      <c r="G31" s="395"/>
      <c r="H31" s="253" t="e">
        <f t="shared" si="3"/>
        <v>#DIV/0!</v>
      </c>
      <c r="I31" s="257"/>
      <c r="J31" s="258" t="e">
        <f t="shared" si="5"/>
        <v>#DIV/0!</v>
      </c>
      <c r="K31" s="258" t="e">
        <f t="shared" si="6"/>
        <v>#DIV/0!</v>
      </c>
      <c r="L31" s="258" t="e">
        <f t="shared" si="4"/>
        <v>#DIV/0!</v>
      </c>
    </row>
    <row r="32" spans="1:12" x14ac:dyDescent="0.25">
      <c r="A32" s="2">
        <f t="shared" si="0"/>
        <v>19</v>
      </c>
      <c r="B32" s="251"/>
      <c r="C32" s="21" t="s">
        <v>207</v>
      </c>
      <c r="D32" s="160"/>
      <c r="E32" s="268" t="e">
        <f t="shared" si="1"/>
        <v>#DIV/0!</v>
      </c>
      <c r="F32" s="255">
        <f t="shared" si="2"/>
        <v>0</v>
      </c>
      <c r="G32" s="395"/>
      <c r="H32" s="253" t="e">
        <f t="shared" si="3"/>
        <v>#DIV/0!</v>
      </c>
      <c r="I32" s="257"/>
      <c r="J32" s="258" t="e">
        <f t="shared" si="5"/>
        <v>#DIV/0!</v>
      </c>
      <c r="K32" s="258" t="e">
        <f t="shared" si="6"/>
        <v>#DIV/0!</v>
      </c>
      <c r="L32" s="258" t="e">
        <f t="shared" si="4"/>
        <v>#DIV/0!</v>
      </c>
    </row>
    <row r="33" spans="1:12" x14ac:dyDescent="0.25">
      <c r="A33" s="2">
        <f t="shared" si="0"/>
        <v>20</v>
      </c>
      <c r="B33" s="251"/>
      <c r="C33" s="20" t="s">
        <v>210</v>
      </c>
      <c r="D33" s="160"/>
      <c r="E33" s="268" t="e">
        <f t="shared" si="1"/>
        <v>#DIV/0!</v>
      </c>
      <c r="F33" s="255">
        <f t="shared" si="2"/>
        <v>0</v>
      </c>
      <c r="G33" s="395"/>
      <c r="H33" s="253" t="e">
        <f t="shared" si="3"/>
        <v>#DIV/0!</v>
      </c>
      <c r="I33" s="257"/>
      <c r="J33" s="258" t="e">
        <f t="shared" si="5"/>
        <v>#DIV/0!</v>
      </c>
      <c r="K33" s="258" t="e">
        <f t="shared" si="6"/>
        <v>#DIV/0!</v>
      </c>
      <c r="L33" s="258" t="e">
        <f t="shared" si="4"/>
        <v>#DIV/0!</v>
      </c>
    </row>
    <row r="34" spans="1:12" x14ac:dyDescent="0.25">
      <c r="A34" s="2">
        <f t="shared" si="0"/>
        <v>21</v>
      </c>
      <c r="B34" s="251"/>
      <c r="C34" s="20" t="s">
        <v>209</v>
      </c>
      <c r="D34" s="160"/>
      <c r="E34" s="268" t="e">
        <f t="shared" si="1"/>
        <v>#DIV/0!</v>
      </c>
      <c r="F34" s="255">
        <f t="shared" si="2"/>
        <v>0</v>
      </c>
      <c r="G34" s="395"/>
      <c r="H34" s="253" t="e">
        <f t="shared" si="3"/>
        <v>#DIV/0!</v>
      </c>
      <c r="I34" s="257"/>
      <c r="J34" s="258" t="e">
        <f t="shared" si="5"/>
        <v>#DIV/0!</v>
      </c>
      <c r="K34" s="258" t="e">
        <f t="shared" si="6"/>
        <v>#DIV/0!</v>
      </c>
      <c r="L34" s="258" t="e">
        <f t="shared" si="4"/>
        <v>#DIV/0!</v>
      </c>
    </row>
    <row r="35" spans="1:12" x14ac:dyDescent="0.25">
      <c r="A35" s="2">
        <f t="shared" si="0"/>
        <v>22</v>
      </c>
      <c r="B35" s="251"/>
      <c r="C35" s="21" t="s">
        <v>199</v>
      </c>
      <c r="D35" s="160"/>
      <c r="E35" s="268" t="e">
        <f t="shared" si="1"/>
        <v>#DIV/0!</v>
      </c>
      <c r="F35" s="255">
        <f t="shared" si="2"/>
        <v>0</v>
      </c>
      <c r="G35" s="395"/>
      <c r="H35" s="253" t="e">
        <f>E35-F35+G35</f>
        <v>#DIV/0!</v>
      </c>
      <c r="I35" s="257"/>
      <c r="J35" s="258" t="e">
        <f t="shared" si="5"/>
        <v>#DIV/0!</v>
      </c>
      <c r="K35" s="258" t="e">
        <f t="shared" si="6"/>
        <v>#DIV/0!</v>
      </c>
      <c r="L35" s="258" t="e">
        <f t="shared" si="4"/>
        <v>#DIV/0!</v>
      </c>
    </row>
    <row r="36" spans="1:12" x14ac:dyDescent="0.25">
      <c r="A36" s="2">
        <f t="shared" si="0"/>
        <v>23</v>
      </c>
      <c r="B36" s="251"/>
      <c r="C36" s="20" t="s">
        <v>200</v>
      </c>
      <c r="D36" s="160"/>
      <c r="E36" s="259" t="s">
        <v>86</v>
      </c>
      <c r="F36" s="259" t="s">
        <v>86</v>
      </c>
      <c r="G36" s="395"/>
      <c r="H36" s="253">
        <f>+G36</f>
        <v>0</v>
      </c>
      <c r="I36" s="257"/>
      <c r="J36" s="258" t="e">
        <f t="shared" si="5"/>
        <v>#DIV/0!</v>
      </c>
      <c r="K36" s="258" t="e">
        <f t="shared" si="6"/>
        <v>#DIV/0!</v>
      </c>
      <c r="L36" s="258" t="e">
        <f t="shared" si="4"/>
        <v>#DIV/0!</v>
      </c>
    </row>
    <row r="37" spans="1:12" x14ac:dyDescent="0.25">
      <c r="A37" s="2">
        <f t="shared" si="0"/>
        <v>24</v>
      </c>
      <c r="B37" s="251"/>
      <c r="C37" s="21" t="s">
        <v>201</v>
      </c>
      <c r="D37" s="160"/>
      <c r="E37" s="259" t="s">
        <v>86</v>
      </c>
      <c r="F37" s="259" t="s">
        <v>86</v>
      </c>
      <c r="G37" s="395"/>
      <c r="H37" s="253">
        <f t="shared" ref="H37:H44" si="7">+G37</f>
        <v>0</v>
      </c>
      <c r="I37" s="257"/>
      <c r="J37" s="258" t="e">
        <f t="shared" si="5"/>
        <v>#DIV/0!</v>
      </c>
      <c r="K37" s="258" t="e">
        <f t="shared" si="6"/>
        <v>#DIV/0!</v>
      </c>
      <c r="L37" s="258" t="e">
        <f t="shared" si="4"/>
        <v>#DIV/0!</v>
      </c>
    </row>
    <row r="38" spans="1:12" x14ac:dyDescent="0.25">
      <c r="A38" s="2">
        <f t="shared" si="0"/>
        <v>25</v>
      </c>
      <c r="B38" s="251"/>
      <c r="C38" s="21" t="s">
        <v>214</v>
      </c>
      <c r="D38" s="160"/>
      <c r="E38" s="259" t="s">
        <v>86</v>
      </c>
      <c r="F38" s="259" t="s">
        <v>86</v>
      </c>
      <c r="G38" s="395"/>
      <c r="H38" s="253">
        <f t="shared" si="7"/>
        <v>0</v>
      </c>
      <c r="I38" s="257"/>
      <c r="J38" s="258" t="e">
        <f t="shared" si="5"/>
        <v>#DIV/0!</v>
      </c>
      <c r="K38" s="258" t="e">
        <f t="shared" si="6"/>
        <v>#DIV/0!</v>
      </c>
      <c r="L38" s="258" t="e">
        <f t="shared" si="4"/>
        <v>#DIV/0!</v>
      </c>
    </row>
    <row r="39" spans="1:12" x14ac:dyDescent="0.25">
      <c r="A39" s="2">
        <f t="shared" si="0"/>
        <v>26</v>
      </c>
      <c r="B39" s="251"/>
      <c r="C39" s="20" t="s">
        <v>202</v>
      </c>
      <c r="D39" s="160"/>
      <c r="E39" s="259" t="s">
        <v>86</v>
      </c>
      <c r="F39" s="259" t="s">
        <v>86</v>
      </c>
      <c r="G39" s="395"/>
      <c r="H39" s="253">
        <f t="shared" si="7"/>
        <v>0</v>
      </c>
      <c r="I39" s="257"/>
      <c r="J39" s="258" t="e">
        <f t="shared" si="5"/>
        <v>#DIV/0!</v>
      </c>
      <c r="K39" s="258" t="e">
        <f t="shared" si="6"/>
        <v>#DIV/0!</v>
      </c>
      <c r="L39" s="258" t="e">
        <f t="shared" si="4"/>
        <v>#DIV/0!</v>
      </c>
    </row>
    <row r="40" spans="1:12" x14ac:dyDescent="0.25">
      <c r="A40" s="2">
        <f t="shared" si="0"/>
        <v>27</v>
      </c>
      <c r="B40" s="251"/>
      <c r="C40" s="21" t="s">
        <v>203</v>
      </c>
      <c r="D40" s="160"/>
      <c r="E40" s="259" t="s">
        <v>86</v>
      </c>
      <c r="F40" s="259" t="s">
        <v>86</v>
      </c>
      <c r="G40" s="395"/>
      <c r="H40" s="253">
        <f t="shared" si="7"/>
        <v>0</v>
      </c>
      <c r="I40" s="257"/>
      <c r="J40" s="258" t="e">
        <f t="shared" si="5"/>
        <v>#DIV/0!</v>
      </c>
      <c r="K40" s="258" t="e">
        <f t="shared" si="6"/>
        <v>#DIV/0!</v>
      </c>
      <c r="L40" s="258" t="e">
        <f t="shared" si="4"/>
        <v>#DIV/0!</v>
      </c>
    </row>
    <row r="41" spans="1:12" x14ac:dyDescent="0.25">
      <c r="A41" s="2">
        <f t="shared" si="0"/>
        <v>28</v>
      </c>
      <c r="B41" s="251"/>
      <c r="C41" s="21" t="s">
        <v>204</v>
      </c>
      <c r="D41" s="160"/>
      <c r="E41" s="259" t="s">
        <v>86</v>
      </c>
      <c r="F41" s="259" t="s">
        <v>86</v>
      </c>
      <c r="G41" s="395"/>
      <c r="H41" s="253">
        <f t="shared" si="7"/>
        <v>0</v>
      </c>
      <c r="I41" s="257"/>
      <c r="J41" s="258" t="e">
        <f t="shared" si="5"/>
        <v>#DIV/0!</v>
      </c>
      <c r="K41" s="258" t="e">
        <f t="shared" si="6"/>
        <v>#DIV/0!</v>
      </c>
      <c r="L41" s="258" t="e">
        <f t="shared" si="4"/>
        <v>#DIV/0!</v>
      </c>
    </row>
    <row r="42" spans="1:12" x14ac:dyDescent="0.25">
      <c r="A42" s="2">
        <f t="shared" si="0"/>
        <v>29</v>
      </c>
      <c r="B42" s="251"/>
      <c r="C42" s="20" t="s">
        <v>205</v>
      </c>
      <c r="D42" s="160"/>
      <c r="E42" s="259" t="s">
        <v>86</v>
      </c>
      <c r="F42" s="259" t="s">
        <v>86</v>
      </c>
      <c r="G42" s="395"/>
      <c r="H42" s="253">
        <f t="shared" si="7"/>
        <v>0</v>
      </c>
      <c r="I42" s="257"/>
      <c r="J42" s="258" t="e">
        <f t="shared" si="5"/>
        <v>#DIV/0!</v>
      </c>
      <c r="K42" s="258" t="e">
        <f t="shared" si="6"/>
        <v>#DIV/0!</v>
      </c>
      <c r="L42" s="258" t="e">
        <f t="shared" si="4"/>
        <v>#DIV/0!</v>
      </c>
    </row>
    <row r="43" spans="1:12" x14ac:dyDescent="0.25">
      <c r="A43" s="2">
        <f t="shared" si="0"/>
        <v>30</v>
      </c>
      <c r="B43" s="251"/>
      <c r="C43" s="21" t="s">
        <v>206</v>
      </c>
      <c r="D43" s="160"/>
      <c r="E43" s="259" t="s">
        <v>86</v>
      </c>
      <c r="F43" s="259" t="s">
        <v>86</v>
      </c>
      <c r="G43" s="395"/>
      <c r="H43" s="253">
        <f t="shared" si="7"/>
        <v>0</v>
      </c>
      <c r="I43" s="257"/>
      <c r="J43" s="258" t="e">
        <f t="shared" si="5"/>
        <v>#DIV/0!</v>
      </c>
      <c r="K43" s="258" t="e">
        <f t="shared" si="6"/>
        <v>#DIV/0!</v>
      </c>
      <c r="L43" s="258" t="e">
        <f t="shared" si="4"/>
        <v>#DIV/0!</v>
      </c>
    </row>
    <row r="44" spans="1:12" x14ac:dyDescent="0.25">
      <c r="A44" s="2">
        <f t="shared" si="0"/>
        <v>31</v>
      </c>
      <c r="B44" s="251"/>
      <c r="C44" s="21" t="s">
        <v>207</v>
      </c>
      <c r="D44" s="160"/>
      <c r="E44" s="259" t="s">
        <v>86</v>
      </c>
      <c r="F44" s="259" t="s">
        <v>86</v>
      </c>
      <c r="G44" s="395"/>
      <c r="H44" s="253">
        <f t="shared" si="7"/>
        <v>0</v>
      </c>
      <c r="I44" s="257"/>
      <c r="J44" s="258" t="e">
        <f t="shared" si="5"/>
        <v>#DIV/0!</v>
      </c>
      <c r="K44" s="258" t="e">
        <f t="shared" si="6"/>
        <v>#DIV/0!</v>
      </c>
      <c r="L44" s="258" t="e">
        <f t="shared" si="4"/>
        <v>#DIV/0!</v>
      </c>
    </row>
    <row r="45" spans="1:12" x14ac:dyDescent="0.25">
      <c r="A45" s="121">
        <f t="shared" si="0"/>
        <v>32</v>
      </c>
      <c r="B45" s="251"/>
      <c r="C45" s="21" t="s">
        <v>210</v>
      </c>
      <c r="D45" s="160"/>
      <c r="E45" s="259" t="s">
        <v>86</v>
      </c>
      <c r="F45" s="259" t="s">
        <v>86</v>
      </c>
      <c r="G45" s="411"/>
      <c r="H45" s="253">
        <f t="shared" ref="H45:H47" si="8">+G45</f>
        <v>0</v>
      </c>
      <c r="I45" s="257"/>
      <c r="J45" s="258" t="e">
        <f t="shared" ref="J45:J47" si="9">L44+H45</f>
        <v>#DIV/0!</v>
      </c>
      <c r="K45" s="258" t="e">
        <f t="shared" ref="K45:K47" si="10">((L44+J45)/2)*I45</f>
        <v>#DIV/0!</v>
      </c>
      <c r="L45" s="258" t="e">
        <f t="shared" ref="L45:L47" si="11">J45+K45</f>
        <v>#DIV/0!</v>
      </c>
    </row>
    <row r="46" spans="1:12" x14ac:dyDescent="0.25">
      <c r="A46" s="121">
        <f t="shared" si="0"/>
        <v>33</v>
      </c>
      <c r="B46" s="251"/>
      <c r="C46" s="21" t="s">
        <v>209</v>
      </c>
      <c r="D46" s="160"/>
      <c r="E46" s="259" t="s">
        <v>86</v>
      </c>
      <c r="F46" s="259" t="s">
        <v>86</v>
      </c>
      <c r="G46" s="411"/>
      <c r="H46" s="253">
        <f t="shared" si="8"/>
        <v>0</v>
      </c>
      <c r="I46" s="257"/>
      <c r="J46" s="258" t="e">
        <f t="shared" si="9"/>
        <v>#DIV/0!</v>
      </c>
      <c r="K46" s="258" t="e">
        <f t="shared" si="10"/>
        <v>#DIV/0!</v>
      </c>
      <c r="L46" s="258" t="e">
        <f t="shared" si="11"/>
        <v>#DIV/0!</v>
      </c>
    </row>
    <row r="47" spans="1:12" x14ac:dyDescent="0.25">
      <c r="A47" s="121">
        <f t="shared" si="0"/>
        <v>34</v>
      </c>
      <c r="B47" s="251"/>
      <c r="C47" s="21" t="s">
        <v>199</v>
      </c>
      <c r="D47" s="160"/>
      <c r="E47" s="259" t="s">
        <v>86</v>
      </c>
      <c r="F47" s="259" t="s">
        <v>86</v>
      </c>
      <c r="G47" s="411"/>
      <c r="H47" s="253">
        <f t="shared" si="8"/>
        <v>0</v>
      </c>
      <c r="I47" s="257"/>
      <c r="J47" s="258" t="e">
        <f t="shared" si="9"/>
        <v>#DIV/0!</v>
      </c>
      <c r="K47" s="258" t="e">
        <f t="shared" si="10"/>
        <v>#DIV/0!</v>
      </c>
      <c r="L47" s="258" t="e">
        <f t="shared" si="11"/>
        <v>#DIV/0!</v>
      </c>
    </row>
    <row r="48" spans="1:12" x14ac:dyDescent="0.25">
      <c r="A48" s="121">
        <f t="shared" si="0"/>
        <v>35</v>
      </c>
      <c r="B48" s="251"/>
      <c r="C48" s="21"/>
      <c r="D48" s="24"/>
      <c r="E48" s="260"/>
      <c r="F48" s="260"/>
      <c r="G48" s="261"/>
      <c r="H48" s="255"/>
      <c r="I48" s="262"/>
      <c r="J48" s="258"/>
      <c r="K48" s="258"/>
      <c r="L48" s="258"/>
    </row>
    <row r="49" spans="1:12" x14ac:dyDescent="0.25">
      <c r="A49" s="121">
        <f t="shared" si="0"/>
        <v>36</v>
      </c>
      <c r="B49" s="22" t="s">
        <v>2604</v>
      </c>
      <c r="D49" s="24"/>
      <c r="E49" s="260"/>
      <c r="F49" s="260"/>
      <c r="G49" s="261"/>
      <c r="H49" s="255"/>
      <c r="I49" s="262"/>
      <c r="J49" s="258"/>
      <c r="K49" s="258"/>
      <c r="L49" s="258"/>
    </row>
    <row r="50" spans="1:12" x14ac:dyDescent="0.25">
      <c r="A50" s="121">
        <f t="shared" si="0"/>
        <v>37</v>
      </c>
      <c r="B50" s="22"/>
      <c r="D50" s="92" t="s">
        <v>394</v>
      </c>
      <c r="E50" s="92" t="s">
        <v>378</v>
      </c>
      <c r="F50" s="92" t="s">
        <v>379</v>
      </c>
      <c r="G50" s="92" t="s">
        <v>380</v>
      </c>
      <c r="H50" s="92" t="s">
        <v>381</v>
      </c>
      <c r="I50" s="92" t="s">
        <v>382</v>
      </c>
      <c r="J50" s="92" t="s">
        <v>383</v>
      </c>
      <c r="K50" s="92" t="s">
        <v>597</v>
      </c>
      <c r="L50" s="258"/>
    </row>
    <row r="51" spans="1:12" x14ac:dyDescent="0.25">
      <c r="A51" s="121">
        <f t="shared" si="0"/>
        <v>38</v>
      </c>
      <c r="B51" s="22"/>
      <c r="D51" s="92"/>
      <c r="E51" s="95" t="s">
        <v>1159</v>
      </c>
      <c r="F51" s="95" t="s">
        <v>1160</v>
      </c>
      <c r="G51" s="95" t="s">
        <v>1161</v>
      </c>
      <c r="H51" s="104" t="s">
        <v>1162</v>
      </c>
      <c r="I51" s="95" t="s">
        <v>1163</v>
      </c>
      <c r="J51" s="104" t="s">
        <v>1164</v>
      </c>
      <c r="K51" s="259" t="s">
        <v>1165</v>
      </c>
      <c r="L51" s="258"/>
    </row>
    <row r="52" spans="1:12" ht="14.4" x14ac:dyDescent="0.3">
      <c r="A52" s="121">
        <f t="shared" si="0"/>
        <v>39</v>
      </c>
      <c r="B52" s="22"/>
      <c r="D52" s="92"/>
      <c r="E52" s="95"/>
      <c r="F52" s="95"/>
      <c r="G52" s="264"/>
      <c r="H52" s="264" t="s">
        <v>211</v>
      </c>
      <c r="I52" s="95"/>
      <c r="J52" s="258"/>
      <c r="K52" s="264" t="s">
        <v>307</v>
      </c>
      <c r="L52" s="258"/>
    </row>
    <row r="53" spans="1:12" ht="14.4" x14ac:dyDescent="0.3">
      <c r="A53" s="121">
        <f t="shared" si="0"/>
        <v>40</v>
      </c>
      <c r="B53" s="251"/>
      <c r="C53" s="21"/>
      <c r="D53" s="24"/>
      <c r="E53" s="2" t="s">
        <v>19</v>
      </c>
      <c r="F53" s="263" t="s">
        <v>211</v>
      </c>
      <c r="G53" s="264"/>
      <c r="H53" s="263" t="s">
        <v>1056</v>
      </c>
      <c r="I53" s="254" t="s">
        <v>23</v>
      </c>
      <c r="J53" s="264" t="s">
        <v>211</v>
      </c>
      <c r="K53" s="264" t="s">
        <v>176</v>
      </c>
      <c r="L53" s="258"/>
    </row>
    <row r="54" spans="1:12" ht="14.4" x14ac:dyDescent="0.3">
      <c r="A54" s="121">
        <f t="shared" si="0"/>
        <v>41</v>
      </c>
      <c r="B54" s="251"/>
      <c r="D54" s="24"/>
      <c r="E54" s="2" t="s">
        <v>23</v>
      </c>
      <c r="F54" s="263" t="s">
        <v>1055</v>
      </c>
      <c r="G54" s="264"/>
      <c r="H54" s="263" t="s">
        <v>1057</v>
      </c>
      <c r="I54" s="2" t="s">
        <v>1157</v>
      </c>
      <c r="J54" s="263" t="s">
        <v>1056</v>
      </c>
      <c r="K54" s="264" t="s">
        <v>1166</v>
      </c>
      <c r="L54" s="258"/>
    </row>
    <row r="55" spans="1:12" ht="14.4" x14ac:dyDescent="0.3">
      <c r="A55" s="121">
        <f t="shared" si="0"/>
        <v>42</v>
      </c>
      <c r="B55" s="251"/>
      <c r="C55" s="21"/>
      <c r="D55" s="25" t="s">
        <v>212</v>
      </c>
      <c r="E55" s="3" t="s">
        <v>13</v>
      </c>
      <c r="F55" s="265" t="s">
        <v>1057</v>
      </c>
      <c r="G55" s="266" t="s">
        <v>1167</v>
      </c>
      <c r="H55" s="266" t="s">
        <v>1052</v>
      </c>
      <c r="I55" s="3" t="s">
        <v>211</v>
      </c>
      <c r="J55" s="265" t="s">
        <v>1057</v>
      </c>
      <c r="K55" s="266" t="s">
        <v>1168</v>
      </c>
      <c r="L55" s="258"/>
    </row>
    <row r="56" spans="1:12" x14ac:dyDescent="0.25">
      <c r="A56" s="121">
        <f t="shared" si="0"/>
        <v>43</v>
      </c>
      <c r="B56" s="251"/>
      <c r="C56" s="591" t="s">
        <v>200</v>
      </c>
      <c r="D56" s="770"/>
      <c r="E56" s="262" t="e">
        <f>AVERAGE($I$36:$I$47)</f>
        <v>#DIV/0!</v>
      </c>
      <c r="F56" s="258" t="e">
        <f>L47</f>
        <v>#DIV/0!</v>
      </c>
      <c r="G56" s="7">
        <f>$I$70/12</f>
        <v>-6.2088171641031898E-10</v>
      </c>
      <c r="H56" s="7" t="e">
        <f>F56+G56</f>
        <v>#DIV/0!</v>
      </c>
      <c r="I56" s="7" t="e">
        <f>((F56+H56)/2)*E56</f>
        <v>#DIV/0!</v>
      </c>
      <c r="J56" s="7" t="e">
        <f>H56+I56</f>
        <v>#DIV/0!</v>
      </c>
      <c r="K56" s="7">
        <f>-G56</f>
        <v>6.2088171641031898E-10</v>
      </c>
      <c r="L56" s="258"/>
    </row>
    <row r="57" spans="1:12" x14ac:dyDescent="0.25">
      <c r="A57" s="121">
        <f t="shared" si="0"/>
        <v>44</v>
      </c>
      <c r="B57" s="251"/>
      <c r="C57" s="591" t="s">
        <v>201</v>
      </c>
      <c r="D57" s="770"/>
      <c r="E57" s="262" t="e">
        <f t="shared" ref="E57:E67" si="12">AVERAGE($I$36:$I$47)</f>
        <v>#DIV/0!</v>
      </c>
      <c r="F57" s="258" t="e">
        <f>J56</f>
        <v>#DIV/0!</v>
      </c>
      <c r="G57" s="7">
        <f t="shared" ref="G57:G67" si="13">$I$70/12</f>
        <v>-6.2088171641031898E-10</v>
      </c>
      <c r="H57" s="7" t="e">
        <f t="shared" ref="H57:H67" si="14">F57+G57</f>
        <v>#DIV/0!</v>
      </c>
      <c r="I57" s="7" t="e">
        <f t="shared" ref="I57:I67" si="15">((F57+H57)/2)*E57</f>
        <v>#DIV/0!</v>
      </c>
      <c r="J57" s="7" t="e">
        <f>H57+I57</f>
        <v>#DIV/0!</v>
      </c>
      <c r="K57" s="7">
        <f t="shared" ref="K57:K67" si="16">-G57</f>
        <v>6.2088171641031898E-10</v>
      </c>
      <c r="L57" s="258"/>
    </row>
    <row r="58" spans="1:12" x14ac:dyDescent="0.25">
      <c r="A58" s="121">
        <f t="shared" si="0"/>
        <v>45</v>
      </c>
      <c r="B58" s="251"/>
      <c r="C58" s="591" t="s">
        <v>214</v>
      </c>
      <c r="D58" s="770"/>
      <c r="E58" s="262" t="e">
        <f t="shared" si="12"/>
        <v>#DIV/0!</v>
      </c>
      <c r="F58" s="258" t="e">
        <f t="shared" ref="F58:F67" si="17">J57</f>
        <v>#DIV/0!</v>
      </c>
      <c r="G58" s="7">
        <f t="shared" si="13"/>
        <v>-6.2088171641031898E-10</v>
      </c>
      <c r="H58" s="7" t="e">
        <f t="shared" si="14"/>
        <v>#DIV/0!</v>
      </c>
      <c r="I58" s="7" t="e">
        <f t="shared" si="15"/>
        <v>#DIV/0!</v>
      </c>
      <c r="J58" s="7" t="e">
        <f t="shared" ref="J58:J67" si="18">H58+I58</f>
        <v>#DIV/0!</v>
      </c>
      <c r="K58" s="7">
        <f t="shared" si="16"/>
        <v>6.2088171641031898E-10</v>
      </c>
      <c r="L58" s="258"/>
    </row>
    <row r="59" spans="1:12" x14ac:dyDescent="0.25">
      <c r="A59" s="121">
        <f t="shared" si="0"/>
        <v>46</v>
      </c>
      <c r="B59" s="251"/>
      <c r="C59" s="591" t="s">
        <v>202</v>
      </c>
      <c r="D59" s="770"/>
      <c r="E59" s="262" t="e">
        <f t="shared" si="12"/>
        <v>#DIV/0!</v>
      </c>
      <c r="F59" s="258" t="e">
        <f t="shared" si="17"/>
        <v>#DIV/0!</v>
      </c>
      <c r="G59" s="7">
        <f t="shared" si="13"/>
        <v>-6.2088171641031898E-10</v>
      </c>
      <c r="H59" s="7" t="e">
        <f t="shared" si="14"/>
        <v>#DIV/0!</v>
      </c>
      <c r="I59" s="7" t="e">
        <f t="shared" si="15"/>
        <v>#DIV/0!</v>
      </c>
      <c r="J59" s="7" t="e">
        <f t="shared" si="18"/>
        <v>#DIV/0!</v>
      </c>
      <c r="K59" s="7">
        <f t="shared" si="16"/>
        <v>6.2088171641031898E-10</v>
      </c>
      <c r="L59" s="258"/>
    </row>
    <row r="60" spans="1:12" x14ac:dyDescent="0.25">
      <c r="A60" s="121">
        <f t="shared" si="0"/>
        <v>47</v>
      </c>
      <c r="B60" s="251"/>
      <c r="C60" s="591" t="s">
        <v>203</v>
      </c>
      <c r="D60" s="770"/>
      <c r="E60" s="262" t="e">
        <f t="shared" si="12"/>
        <v>#DIV/0!</v>
      </c>
      <c r="F60" s="258" t="e">
        <f t="shared" si="17"/>
        <v>#DIV/0!</v>
      </c>
      <c r="G60" s="7">
        <f t="shared" si="13"/>
        <v>-6.2088171641031898E-10</v>
      </c>
      <c r="H60" s="7" t="e">
        <f t="shared" si="14"/>
        <v>#DIV/0!</v>
      </c>
      <c r="I60" s="7" t="e">
        <f t="shared" si="15"/>
        <v>#DIV/0!</v>
      </c>
      <c r="J60" s="7" t="e">
        <f t="shared" si="18"/>
        <v>#DIV/0!</v>
      </c>
      <c r="K60" s="7">
        <f t="shared" si="16"/>
        <v>6.2088171641031898E-10</v>
      </c>
      <c r="L60" s="258"/>
    </row>
    <row r="61" spans="1:12" x14ac:dyDescent="0.25">
      <c r="A61" s="121">
        <f t="shared" si="0"/>
        <v>48</v>
      </c>
      <c r="B61" s="251"/>
      <c r="C61" s="591" t="s">
        <v>1670</v>
      </c>
      <c r="D61" s="770"/>
      <c r="E61" s="262" t="e">
        <f t="shared" si="12"/>
        <v>#DIV/0!</v>
      </c>
      <c r="F61" s="258" t="e">
        <f t="shared" si="17"/>
        <v>#DIV/0!</v>
      </c>
      <c r="G61" s="7">
        <f t="shared" si="13"/>
        <v>-6.2088171641031898E-10</v>
      </c>
      <c r="H61" s="7" t="e">
        <f t="shared" si="14"/>
        <v>#DIV/0!</v>
      </c>
      <c r="I61" s="7" t="e">
        <f t="shared" si="15"/>
        <v>#DIV/0!</v>
      </c>
      <c r="J61" s="7" t="e">
        <f t="shared" si="18"/>
        <v>#DIV/0!</v>
      </c>
      <c r="K61" s="7">
        <f t="shared" si="16"/>
        <v>6.2088171641031898E-10</v>
      </c>
      <c r="L61" s="258"/>
    </row>
    <row r="62" spans="1:12" x14ac:dyDescent="0.25">
      <c r="A62" s="121">
        <f t="shared" si="0"/>
        <v>49</v>
      </c>
      <c r="B62" s="251"/>
      <c r="C62" s="591" t="s">
        <v>205</v>
      </c>
      <c r="D62" s="770"/>
      <c r="E62" s="262" t="e">
        <f t="shared" si="12"/>
        <v>#DIV/0!</v>
      </c>
      <c r="F62" s="258" t="e">
        <f t="shared" si="17"/>
        <v>#DIV/0!</v>
      </c>
      <c r="G62" s="7">
        <f t="shared" si="13"/>
        <v>-6.2088171641031898E-10</v>
      </c>
      <c r="H62" s="7" t="e">
        <f t="shared" si="14"/>
        <v>#DIV/0!</v>
      </c>
      <c r="I62" s="7" t="e">
        <f t="shared" si="15"/>
        <v>#DIV/0!</v>
      </c>
      <c r="J62" s="7" t="e">
        <f t="shared" si="18"/>
        <v>#DIV/0!</v>
      </c>
      <c r="K62" s="7">
        <f t="shared" si="16"/>
        <v>6.2088171641031898E-10</v>
      </c>
      <c r="L62" s="258"/>
    </row>
    <row r="63" spans="1:12" x14ac:dyDescent="0.25">
      <c r="A63" s="121">
        <f t="shared" si="0"/>
        <v>50</v>
      </c>
      <c r="B63" s="251"/>
      <c r="C63" s="591" t="s">
        <v>206</v>
      </c>
      <c r="D63" s="770"/>
      <c r="E63" s="262" t="e">
        <f t="shared" si="12"/>
        <v>#DIV/0!</v>
      </c>
      <c r="F63" s="258" t="e">
        <f t="shared" si="17"/>
        <v>#DIV/0!</v>
      </c>
      <c r="G63" s="7">
        <f t="shared" si="13"/>
        <v>-6.2088171641031898E-10</v>
      </c>
      <c r="H63" s="7" t="e">
        <f t="shared" si="14"/>
        <v>#DIV/0!</v>
      </c>
      <c r="I63" s="7" t="e">
        <f t="shared" si="15"/>
        <v>#DIV/0!</v>
      </c>
      <c r="J63" s="7" t="e">
        <f t="shared" si="18"/>
        <v>#DIV/0!</v>
      </c>
      <c r="K63" s="7">
        <f t="shared" si="16"/>
        <v>6.2088171641031898E-10</v>
      </c>
      <c r="L63" s="258"/>
    </row>
    <row r="64" spans="1:12" x14ac:dyDescent="0.25">
      <c r="A64" s="121">
        <f t="shared" si="0"/>
        <v>51</v>
      </c>
      <c r="B64" s="251"/>
      <c r="C64" s="591" t="s">
        <v>207</v>
      </c>
      <c r="D64" s="770"/>
      <c r="E64" s="262" t="e">
        <f t="shared" si="12"/>
        <v>#DIV/0!</v>
      </c>
      <c r="F64" s="258" t="e">
        <f t="shared" si="17"/>
        <v>#DIV/0!</v>
      </c>
      <c r="G64" s="7">
        <f t="shared" si="13"/>
        <v>-6.2088171641031898E-10</v>
      </c>
      <c r="H64" s="7" t="e">
        <f t="shared" si="14"/>
        <v>#DIV/0!</v>
      </c>
      <c r="I64" s="7" t="e">
        <f t="shared" si="15"/>
        <v>#DIV/0!</v>
      </c>
      <c r="J64" s="7" t="e">
        <f t="shared" si="18"/>
        <v>#DIV/0!</v>
      </c>
      <c r="K64" s="7">
        <f t="shared" si="16"/>
        <v>6.2088171641031898E-10</v>
      </c>
      <c r="L64" s="258"/>
    </row>
    <row r="65" spans="1:12" x14ac:dyDescent="0.25">
      <c r="A65" s="121">
        <f t="shared" si="0"/>
        <v>52</v>
      </c>
      <c r="B65" s="251"/>
      <c r="C65" s="591" t="s">
        <v>210</v>
      </c>
      <c r="D65" s="770"/>
      <c r="E65" s="262" t="e">
        <f t="shared" si="12"/>
        <v>#DIV/0!</v>
      </c>
      <c r="F65" s="258" t="e">
        <f t="shared" si="17"/>
        <v>#DIV/0!</v>
      </c>
      <c r="G65" s="7">
        <f t="shared" si="13"/>
        <v>-6.2088171641031898E-10</v>
      </c>
      <c r="H65" s="7" t="e">
        <f t="shared" si="14"/>
        <v>#DIV/0!</v>
      </c>
      <c r="I65" s="7" t="e">
        <f t="shared" si="15"/>
        <v>#DIV/0!</v>
      </c>
      <c r="J65" s="7" t="e">
        <f t="shared" si="18"/>
        <v>#DIV/0!</v>
      </c>
      <c r="K65" s="7">
        <f t="shared" si="16"/>
        <v>6.2088171641031898E-10</v>
      </c>
      <c r="L65" s="258"/>
    </row>
    <row r="66" spans="1:12" x14ac:dyDescent="0.25">
      <c r="A66" s="121">
        <f t="shared" si="0"/>
        <v>53</v>
      </c>
      <c r="B66" s="251"/>
      <c r="C66" s="591" t="s">
        <v>209</v>
      </c>
      <c r="D66" s="770"/>
      <c r="E66" s="262" t="e">
        <f t="shared" si="12"/>
        <v>#DIV/0!</v>
      </c>
      <c r="F66" s="258" t="e">
        <f t="shared" si="17"/>
        <v>#DIV/0!</v>
      </c>
      <c r="G66" s="7">
        <f t="shared" si="13"/>
        <v>-6.2088171641031898E-10</v>
      </c>
      <c r="H66" s="7" t="e">
        <f t="shared" si="14"/>
        <v>#DIV/0!</v>
      </c>
      <c r="I66" s="7" t="e">
        <f t="shared" si="15"/>
        <v>#DIV/0!</v>
      </c>
      <c r="J66" s="7" t="e">
        <f t="shared" si="18"/>
        <v>#DIV/0!</v>
      </c>
      <c r="K66" s="7">
        <f t="shared" si="16"/>
        <v>6.2088171641031898E-10</v>
      </c>
      <c r="L66" s="258"/>
    </row>
    <row r="67" spans="1:12" ht="12.75" customHeight="1" x14ac:dyDescent="0.25">
      <c r="A67" s="121">
        <f t="shared" si="0"/>
        <v>54</v>
      </c>
      <c r="B67" s="251"/>
      <c r="C67" s="591" t="s">
        <v>199</v>
      </c>
      <c r="D67" s="770"/>
      <c r="E67" s="262" t="e">
        <f t="shared" si="12"/>
        <v>#DIV/0!</v>
      </c>
      <c r="F67" s="258" t="e">
        <f t="shared" si="17"/>
        <v>#DIV/0!</v>
      </c>
      <c r="G67" s="99">
        <f t="shared" si="13"/>
        <v>-6.2088171641031898E-10</v>
      </c>
      <c r="H67" s="7" t="e">
        <f t="shared" si="14"/>
        <v>#DIV/0!</v>
      </c>
      <c r="I67" s="7" t="e">
        <f t="shared" si="15"/>
        <v>#DIV/0!</v>
      </c>
      <c r="J67" s="7" t="e">
        <f t="shared" si="18"/>
        <v>#DIV/0!</v>
      </c>
      <c r="K67" s="99">
        <f t="shared" si="16"/>
        <v>6.2088171641031898E-10</v>
      </c>
      <c r="L67" s="258"/>
    </row>
    <row r="68" spans="1:12" x14ac:dyDescent="0.25">
      <c r="A68" s="121">
        <f t="shared" si="0"/>
        <v>55</v>
      </c>
      <c r="B68" s="251"/>
      <c r="C68" s="21"/>
      <c r="D68" s="24"/>
      <c r="E68" s="260"/>
      <c r="F68" s="260"/>
      <c r="G68" s="255">
        <f>SUM(G56:G67)</f>
        <v>-7.4505805969238281E-9</v>
      </c>
      <c r="I68" s="262"/>
      <c r="J68" s="252" t="s">
        <v>1170</v>
      </c>
      <c r="K68" s="258">
        <f>SUM(K56:K67)</f>
        <v>7.4505805969238281E-9</v>
      </c>
      <c r="L68" s="258"/>
    </row>
    <row r="69" spans="1:12" x14ac:dyDescent="0.25">
      <c r="A69" s="121">
        <f t="shared" si="0"/>
        <v>56</v>
      </c>
      <c r="B69" s="251"/>
      <c r="C69" s="21"/>
      <c r="D69" s="24"/>
      <c r="E69" s="260"/>
      <c r="F69" s="260"/>
      <c r="G69" s="261"/>
      <c r="H69" s="255"/>
      <c r="I69" s="262"/>
      <c r="J69" s="258"/>
      <c r="K69" s="258"/>
      <c r="L69" s="258"/>
    </row>
    <row r="70" spans="1:12" x14ac:dyDescent="0.25">
      <c r="A70" s="121">
        <f t="shared" si="0"/>
        <v>57</v>
      </c>
      <c r="B70" s="251"/>
      <c r="C70" s="21"/>
      <c r="D70" s="24"/>
      <c r="E70" s="260"/>
      <c r="F70" s="260"/>
      <c r="G70" s="261"/>
      <c r="H70" s="267" t="s">
        <v>1169</v>
      </c>
      <c r="I70" s="255">
        <v>-7.4505805969238281E-9</v>
      </c>
      <c r="J70" s="258"/>
      <c r="K70" s="258"/>
      <c r="L70" s="258"/>
    </row>
    <row r="71" spans="1:12" x14ac:dyDescent="0.25">
      <c r="A71" s="121">
        <f t="shared" si="0"/>
        <v>58</v>
      </c>
      <c r="B71" s="251"/>
      <c r="C71" s="21"/>
      <c r="D71" s="24"/>
      <c r="E71" s="251"/>
      <c r="F71" s="268"/>
      <c r="G71" s="262"/>
      <c r="H71" s="412"/>
      <c r="I71" s="251"/>
      <c r="J71" s="251"/>
      <c r="K71" s="251"/>
      <c r="L71" s="251"/>
    </row>
    <row r="72" spans="1:12" x14ac:dyDescent="0.25">
      <c r="A72" s="121">
        <f t="shared" si="0"/>
        <v>59</v>
      </c>
      <c r="B72" s="1" t="s">
        <v>544</v>
      </c>
      <c r="C72" s="21"/>
      <c r="D72" s="24"/>
      <c r="E72" s="251"/>
      <c r="F72" s="268"/>
      <c r="G72" s="262"/>
      <c r="H72" s="268"/>
      <c r="I72" s="251"/>
      <c r="J72" s="251"/>
      <c r="K72" s="251"/>
      <c r="L72" s="251"/>
    </row>
    <row r="73" spans="1:12" x14ac:dyDescent="0.25">
      <c r="A73" s="121">
        <f t="shared" si="0"/>
        <v>60</v>
      </c>
      <c r="B73" s="1"/>
      <c r="C73" s="21"/>
      <c r="D73" s="24"/>
      <c r="E73" s="251"/>
      <c r="F73" s="587" t="s">
        <v>256</v>
      </c>
      <c r="G73" s="262"/>
      <c r="H73" s="268"/>
      <c r="I73" s="251"/>
      <c r="J73" s="251"/>
      <c r="K73" s="251"/>
      <c r="L73" s="251"/>
    </row>
    <row r="74" spans="1:12" x14ac:dyDescent="0.25">
      <c r="A74" s="121">
        <f t="shared" si="0"/>
        <v>61</v>
      </c>
      <c r="B74" s="251"/>
      <c r="C74" s="21"/>
      <c r="D74" s="252" t="s">
        <v>1170</v>
      </c>
      <c r="E74" s="397">
        <f>K68</f>
        <v>7.4505805969238281E-9</v>
      </c>
      <c r="F74" s="550" t="s">
        <v>2628</v>
      </c>
      <c r="G74" s="262"/>
      <c r="H74" s="268"/>
      <c r="I74" s="251"/>
      <c r="J74" s="251"/>
      <c r="K74" s="251"/>
      <c r="L74" s="251"/>
    </row>
    <row r="75" spans="1:12" x14ac:dyDescent="0.25">
      <c r="A75" s="121">
        <f t="shared" si="0"/>
        <v>62</v>
      </c>
      <c r="B75" s="251"/>
      <c r="C75" s="21"/>
      <c r="D75" s="93" t="s">
        <v>32</v>
      </c>
      <c r="E75" s="253">
        <f>E74</f>
        <v>7.4505805969238281E-9</v>
      </c>
      <c r="F75" s="159" t="str">
        <f>"Line "&amp;A74&amp;".  Positive amount is to be collected by SCE (included in Base TRR as a positive amount)."</f>
        <v>Line 61.  Positive amount is to be collected by SCE (included in Base TRR as a positive amount).</v>
      </c>
      <c r="G75" s="262"/>
      <c r="H75" s="268"/>
      <c r="I75" s="251"/>
      <c r="J75" s="251"/>
      <c r="K75" s="251"/>
      <c r="L75" s="251"/>
    </row>
    <row r="76" spans="1:12" x14ac:dyDescent="0.25">
      <c r="A76" s="121">
        <f t="shared" si="0"/>
        <v>63</v>
      </c>
      <c r="B76" s="251"/>
      <c r="C76" s="251"/>
      <c r="D76" s="251"/>
      <c r="E76" s="251"/>
      <c r="F76" s="586" t="s">
        <v>1740</v>
      </c>
      <c r="G76" s="251"/>
      <c r="H76" s="251"/>
      <c r="I76" s="251"/>
      <c r="J76" s="251"/>
      <c r="K76" s="251"/>
      <c r="L76" s="251"/>
    </row>
    <row r="77" spans="1:12" x14ac:dyDescent="0.25">
      <c r="A77" s="121">
        <f t="shared" si="0"/>
        <v>64</v>
      </c>
      <c r="B77" s="1" t="s">
        <v>1058</v>
      </c>
      <c r="C77" s="251"/>
      <c r="D77" s="251"/>
      <c r="E77" s="251"/>
      <c r="F77" s="270"/>
      <c r="G77" s="251"/>
      <c r="H77" s="251"/>
      <c r="I77" s="251"/>
      <c r="J77" s="251"/>
      <c r="K77" s="251"/>
      <c r="L77" s="251"/>
    </row>
    <row r="78" spans="1:12" x14ac:dyDescent="0.25">
      <c r="A78" s="121">
        <f t="shared" si="0"/>
        <v>65</v>
      </c>
      <c r="B78" s="13" t="s">
        <v>409</v>
      </c>
      <c r="C78" s="251"/>
      <c r="D78" s="251"/>
      <c r="E78" s="251"/>
      <c r="F78" s="251"/>
      <c r="G78" s="251"/>
      <c r="H78" s="251"/>
      <c r="I78" s="251"/>
      <c r="J78" s="251"/>
      <c r="K78" s="251"/>
      <c r="L78" s="251"/>
    </row>
    <row r="79" spans="1:12" x14ac:dyDescent="0.25">
      <c r="A79" s="121">
        <f t="shared" si="0"/>
        <v>66</v>
      </c>
      <c r="B79" s="13" t="s">
        <v>410</v>
      </c>
      <c r="C79" s="251"/>
      <c r="D79" s="251"/>
      <c r="E79" s="251"/>
      <c r="F79" s="251"/>
      <c r="G79" s="251"/>
      <c r="H79" s="251"/>
      <c r="I79" s="251"/>
      <c r="J79" s="251"/>
      <c r="K79" s="251"/>
      <c r="L79" s="251"/>
    </row>
    <row r="80" spans="1:12" x14ac:dyDescent="0.25">
      <c r="A80" s="121">
        <f t="shared" si="0"/>
        <v>67</v>
      </c>
      <c r="B80" s="13" t="s">
        <v>411</v>
      </c>
      <c r="C80" s="251"/>
      <c r="D80" s="251"/>
      <c r="E80" s="251"/>
      <c r="F80" s="251"/>
      <c r="G80" s="251"/>
      <c r="H80" s="251"/>
      <c r="I80" s="251"/>
      <c r="J80" s="251"/>
      <c r="K80" s="251"/>
      <c r="L80" s="251"/>
    </row>
    <row r="81" spans="1:12" x14ac:dyDescent="0.25">
      <c r="A81" s="121">
        <f t="shared" si="0"/>
        <v>68</v>
      </c>
      <c r="B81" s="251"/>
      <c r="C81" s="251"/>
      <c r="D81" s="251"/>
      <c r="E81" s="251"/>
      <c r="F81" s="251"/>
      <c r="G81" s="251"/>
      <c r="H81" s="251"/>
      <c r="I81" s="251"/>
      <c r="J81" s="251"/>
      <c r="K81" s="251"/>
      <c r="L81" s="251"/>
    </row>
    <row r="82" spans="1:12" x14ac:dyDescent="0.25">
      <c r="A82" s="121">
        <f t="shared" ref="A82:A122" si="19">A81+1</f>
        <v>69</v>
      </c>
      <c r="B82" s="1" t="s">
        <v>1343</v>
      </c>
      <c r="C82" s="251"/>
      <c r="D82" s="251"/>
      <c r="E82" s="251"/>
      <c r="F82" s="251"/>
      <c r="G82" s="251"/>
      <c r="H82" s="251"/>
      <c r="I82" s="251"/>
      <c r="J82" s="251"/>
      <c r="K82" s="251"/>
      <c r="L82" s="251"/>
    </row>
    <row r="83" spans="1:12" x14ac:dyDescent="0.25">
      <c r="A83" s="121">
        <f t="shared" si="19"/>
        <v>70</v>
      </c>
      <c r="B83" s="251"/>
      <c r="C83" s="251"/>
      <c r="D83" s="254" t="s">
        <v>1288</v>
      </c>
      <c r="E83" s="251"/>
      <c r="G83" s="251"/>
      <c r="H83" s="251"/>
      <c r="I83" s="251"/>
      <c r="J83" s="251"/>
      <c r="K83" s="251"/>
      <c r="L83" s="251"/>
    </row>
    <row r="84" spans="1:12" x14ac:dyDescent="0.25">
      <c r="A84" s="121">
        <f t="shared" si="19"/>
        <v>71</v>
      </c>
      <c r="B84" s="251"/>
      <c r="C84" s="25" t="s">
        <v>211</v>
      </c>
      <c r="D84" s="3" t="s">
        <v>1171</v>
      </c>
      <c r="E84" s="3" t="s">
        <v>262</v>
      </c>
      <c r="G84" s="261"/>
      <c r="H84" s="261"/>
      <c r="I84" s="261"/>
      <c r="J84" s="261"/>
      <c r="K84" s="261"/>
      <c r="L84" s="261"/>
    </row>
    <row r="85" spans="1:12" x14ac:dyDescent="0.25">
      <c r="A85" s="121">
        <f t="shared" si="19"/>
        <v>72</v>
      </c>
      <c r="B85" s="251"/>
      <c r="C85" s="20" t="s">
        <v>200</v>
      </c>
      <c r="D85" s="136">
        <v>6.3763211440757639E-2</v>
      </c>
      <c r="E85" s="13" t="s">
        <v>1351</v>
      </c>
      <c r="G85" s="261"/>
      <c r="H85" s="261"/>
      <c r="I85" s="261"/>
      <c r="J85" s="261"/>
      <c r="K85" s="261"/>
      <c r="L85" s="261"/>
    </row>
    <row r="86" spans="1:12" x14ac:dyDescent="0.25">
      <c r="A86" s="121">
        <f t="shared" si="19"/>
        <v>73</v>
      </c>
      <c r="B86" s="251"/>
      <c r="C86" s="21" t="s">
        <v>201</v>
      </c>
      <c r="D86" s="136">
        <v>5.6553289888256801E-2</v>
      </c>
      <c r="G86" s="261"/>
      <c r="H86" s="261"/>
      <c r="I86" s="261"/>
      <c r="J86" s="261"/>
      <c r="K86" s="261"/>
      <c r="L86" s="261"/>
    </row>
    <row r="87" spans="1:12" x14ac:dyDescent="0.25">
      <c r="A87" s="121">
        <f t="shared" si="19"/>
        <v>74</v>
      </c>
      <c r="B87" s="251"/>
      <c r="C87" s="21" t="s">
        <v>214</v>
      </c>
      <c r="D87" s="136">
        <v>7.1828142218240867E-2</v>
      </c>
      <c r="E87" s="13"/>
      <c r="G87" s="261"/>
      <c r="H87" s="261"/>
      <c r="I87" s="261"/>
      <c r="J87" s="261"/>
      <c r="K87" s="261"/>
      <c r="L87" s="261"/>
    </row>
    <row r="88" spans="1:12" x14ac:dyDescent="0.25">
      <c r="A88" s="121">
        <f t="shared" si="19"/>
        <v>75</v>
      </c>
      <c r="B88" s="251"/>
      <c r="C88" s="20" t="s">
        <v>202</v>
      </c>
      <c r="D88" s="136">
        <v>8.2236801934806855E-2</v>
      </c>
      <c r="E88" s="163"/>
      <c r="G88" s="261"/>
      <c r="H88" s="261"/>
      <c r="I88" s="261"/>
      <c r="J88" s="261"/>
      <c r="K88" s="261"/>
      <c r="L88" s="261"/>
    </row>
    <row r="89" spans="1:12" x14ac:dyDescent="0.25">
      <c r="A89" s="121">
        <f t="shared" si="19"/>
        <v>76</v>
      </c>
      <c r="B89" s="251"/>
      <c r="C89" s="21" t="s">
        <v>203</v>
      </c>
      <c r="D89" s="136">
        <v>8.01837425905748E-2</v>
      </c>
      <c r="E89" s="271"/>
      <c r="G89" s="261"/>
      <c r="H89" s="261"/>
      <c r="I89" s="261"/>
      <c r="J89" s="261"/>
      <c r="K89" s="261"/>
      <c r="L89" s="261"/>
    </row>
    <row r="90" spans="1:12" x14ac:dyDescent="0.25">
      <c r="A90" s="121">
        <f t="shared" si="19"/>
        <v>77</v>
      </c>
      <c r="B90" s="251"/>
      <c r="C90" s="21" t="s">
        <v>204</v>
      </c>
      <c r="D90" s="136">
        <v>8.9450501877561497E-2</v>
      </c>
      <c r="E90" s="271"/>
      <c r="G90" s="261"/>
      <c r="H90" s="261"/>
      <c r="I90" s="261"/>
      <c r="J90" s="261"/>
      <c r="K90" s="261"/>
      <c r="L90" s="261"/>
    </row>
    <row r="91" spans="1:12" x14ac:dyDescent="0.25">
      <c r="A91" s="121">
        <f t="shared" si="19"/>
        <v>78</v>
      </c>
      <c r="B91" s="251"/>
      <c r="C91" s="20" t="s">
        <v>205</v>
      </c>
      <c r="D91" s="136">
        <v>9.8908415854749826E-2</v>
      </c>
      <c r="E91" s="271"/>
      <c r="G91" s="261"/>
      <c r="H91" s="261"/>
      <c r="I91" s="261"/>
      <c r="J91" s="261"/>
      <c r="K91" s="261"/>
      <c r="L91" s="261"/>
    </row>
    <row r="92" spans="1:12" x14ac:dyDescent="0.25">
      <c r="A92" s="121">
        <f t="shared" si="19"/>
        <v>79</v>
      </c>
      <c r="B92" s="251"/>
      <c r="C92" s="21" t="s">
        <v>206</v>
      </c>
      <c r="D92" s="136">
        <v>0.10141004323318151</v>
      </c>
      <c r="E92" s="271"/>
      <c r="G92" s="261"/>
      <c r="H92" s="261"/>
      <c r="I92" s="261"/>
      <c r="J92" s="261"/>
      <c r="K92" s="261"/>
      <c r="L92" s="261"/>
    </row>
    <row r="93" spans="1:12" x14ac:dyDescent="0.25">
      <c r="A93" s="121">
        <f t="shared" si="19"/>
        <v>80</v>
      </c>
      <c r="B93" s="251"/>
      <c r="C93" s="21" t="s">
        <v>207</v>
      </c>
      <c r="D93" s="136">
        <v>0.10217900008822713</v>
      </c>
      <c r="E93" s="271"/>
      <c r="G93" s="261"/>
      <c r="H93" s="261"/>
      <c r="I93" s="261"/>
      <c r="J93" s="261"/>
      <c r="K93" s="261"/>
      <c r="L93" s="261"/>
    </row>
    <row r="94" spans="1:12" x14ac:dyDescent="0.25">
      <c r="A94" s="121">
        <f t="shared" si="19"/>
        <v>81</v>
      </c>
      <c r="B94" s="251"/>
      <c r="C94" s="20" t="s">
        <v>210</v>
      </c>
      <c r="D94" s="136">
        <v>9.1787269171678454E-2</v>
      </c>
      <c r="E94" s="271"/>
      <c r="G94" s="261"/>
      <c r="H94" s="261"/>
      <c r="I94" s="261"/>
      <c r="J94" s="261"/>
      <c r="K94" s="261"/>
      <c r="L94" s="261"/>
    </row>
    <row r="95" spans="1:12" x14ac:dyDescent="0.25">
      <c r="A95" s="121">
        <f t="shared" si="19"/>
        <v>82</v>
      </c>
      <c r="B95" s="251"/>
      <c r="C95" s="20" t="s">
        <v>209</v>
      </c>
      <c r="D95" s="136">
        <v>7.5296938318149625E-2</v>
      </c>
      <c r="E95" s="271"/>
      <c r="G95" s="251"/>
      <c r="H95" s="251"/>
      <c r="I95" s="251"/>
      <c r="J95" s="251"/>
      <c r="K95" s="251"/>
      <c r="L95" s="251"/>
    </row>
    <row r="96" spans="1:12" x14ac:dyDescent="0.25">
      <c r="A96" s="121">
        <f t="shared" si="19"/>
        <v>83</v>
      </c>
      <c r="B96" s="251"/>
      <c r="C96" s="21" t="s">
        <v>199</v>
      </c>
      <c r="D96" s="413">
        <v>8.640264338381512E-2</v>
      </c>
      <c r="E96" s="168"/>
      <c r="G96" s="251"/>
      <c r="H96" s="251"/>
      <c r="I96" s="251"/>
      <c r="J96" s="251"/>
      <c r="K96" s="251"/>
      <c r="L96" s="251"/>
    </row>
    <row r="97" spans="1:16" x14ac:dyDescent="0.25">
      <c r="A97" s="121">
        <f t="shared" si="19"/>
        <v>84</v>
      </c>
      <c r="B97" s="251"/>
      <c r="C97" s="34" t="s">
        <v>4</v>
      </c>
      <c r="D97" s="446">
        <f>SUM(D85:D96)</f>
        <v>1.0000000000000002</v>
      </c>
      <c r="E97" s="251"/>
      <c r="G97" s="251"/>
      <c r="H97" s="251"/>
      <c r="I97" s="251"/>
      <c r="J97" s="251"/>
      <c r="K97" s="251"/>
      <c r="L97" s="251"/>
    </row>
    <row r="98" spans="1:16" x14ac:dyDescent="0.25">
      <c r="A98" s="121">
        <f t="shared" si="19"/>
        <v>85</v>
      </c>
      <c r="B98" s="251"/>
      <c r="C98" s="251"/>
      <c r="D98" s="251"/>
      <c r="E98" s="251"/>
      <c r="F98" s="2"/>
      <c r="G98" s="251"/>
      <c r="H98" s="251"/>
      <c r="I98" s="251"/>
      <c r="J98" s="251"/>
      <c r="K98" s="251"/>
      <c r="L98" s="251"/>
    </row>
    <row r="99" spans="1:16" x14ac:dyDescent="0.25">
      <c r="A99" s="121">
        <f t="shared" si="19"/>
        <v>86</v>
      </c>
      <c r="B99" s="1" t="s">
        <v>1411</v>
      </c>
      <c r="C99" s="251"/>
      <c r="D99" s="251"/>
      <c r="E99" s="251"/>
      <c r="F99" s="2"/>
      <c r="G99" s="251"/>
      <c r="H99" s="251"/>
      <c r="I99" s="251"/>
      <c r="J99" s="251"/>
      <c r="K99" s="251"/>
      <c r="L99" s="251"/>
    </row>
    <row r="100" spans="1:16" x14ac:dyDescent="0.25">
      <c r="A100" s="121">
        <f t="shared" si="19"/>
        <v>87</v>
      </c>
      <c r="B100" s="251"/>
      <c r="C100" s="251"/>
      <c r="D100" s="251"/>
      <c r="E100" s="251"/>
      <c r="F100" s="2"/>
      <c r="G100" s="251"/>
      <c r="H100" s="251"/>
      <c r="I100" s="251"/>
      <c r="J100" s="251"/>
      <c r="K100" s="251"/>
      <c r="L100" s="251"/>
    </row>
    <row r="101" spans="1:16" x14ac:dyDescent="0.25">
      <c r="A101" s="121">
        <f t="shared" si="19"/>
        <v>88</v>
      </c>
      <c r="B101" s="251"/>
      <c r="C101" s="92" t="s">
        <v>394</v>
      </c>
      <c r="D101" s="92" t="s">
        <v>378</v>
      </c>
      <c r="E101" s="92" t="s">
        <v>379</v>
      </c>
      <c r="F101" s="92" t="s">
        <v>380</v>
      </c>
      <c r="G101" s="92" t="s">
        <v>381</v>
      </c>
      <c r="H101" s="92" t="s">
        <v>382</v>
      </c>
      <c r="I101" s="92" t="s">
        <v>383</v>
      </c>
      <c r="J101" s="251"/>
    </row>
    <row r="102" spans="1:16" x14ac:dyDescent="0.25">
      <c r="A102" s="121">
        <f t="shared" si="19"/>
        <v>89</v>
      </c>
      <c r="B102" s="251"/>
      <c r="C102" s="95" t="s">
        <v>1172</v>
      </c>
      <c r="D102" s="95" t="s">
        <v>1415</v>
      </c>
      <c r="E102" s="92"/>
      <c r="F102" s="92"/>
      <c r="G102" s="92"/>
      <c r="H102" s="92"/>
      <c r="I102" s="95" t="s">
        <v>588</v>
      </c>
      <c r="J102" s="251"/>
      <c r="K102" s="251"/>
      <c r="L102" s="251"/>
    </row>
    <row r="103" spans="1:16" x14ac:dyDescent="0.25">
      <c r="A103" s="121">
        <f t="shared" si="19"/>
        <v>90</v>
      </c>
      <c r="B103" s="251"/>
      <c r="C103" s="251"/>
      <c r="D103" s="251"/>
      <c r="E103" s="251"/>
      <c r="F103" s="2"/>
      <c r="G103" s="251"/>
      <c r="H103" s="251"/>
      <c r="I103" s="251"/>
      <c r="J103" s="251"/>
      <c r="K103" s="449"/>
      <c r="L103" s="251"/>
    </row>
    <row r="104" spans="1:16" x14ac:dyDescent="0.25">
      <c r="A104" s="121">
        <f t="shared" si="19"/>
        <v>91</v>
      </c>
      <c r="B104" s="251"/>
      <c r="C104" s="2" t="s">
        <v>561</v>
      </c>
      <c r="D104" s="251"/>
      <c r="E104" s="251"/>
      <c r="F104" s="2"/>
      <c r="G104" s="251"/>
      <c r="H104" s="251"/>
      <c r="I104" s="2" t="s">
        <v>19</v>
      </c>
      <c r="J104" s="251"/>
      <c r="K104" s="571"/>
      <c r="L104" s="251"/>
    </row>
    <row r="105" spans="1:16" x14ac:dyDescent="0.25">
      <c r="A105" s="121">
        <f t="shared" si="19"/>
        <v>92</v>
      </c>
      <c r="B105" s="254" t="s">
        <v>446</v>
      </c>
      <c r="C105" s="2" t="s">
        <v>582</v>
      </c>
      <c r="D105" s="251"/>
      <c r="E105" s="251"/>
      <c r="F105" s="92"/>
      <c r="G105" s="251"/>
      <c r="H105" s="251"/>
      <c r="I105" s="2" t="s">
        <v>215</v>
      </c>
      <c r="J105" s="251"/>
    </row>
    <row r="106" spans="1:16" ht="14.4" x14ac:dyDescent="0.3">
      <c r="A106" s="121">
        <f t="shared" si="19"/>
        <v>93</v>
      </c>
      <c r="B106" s="254" t="s">
        <v>212</v>
      </c>
      <c r="C106" s="2" t="s">
        <v>337</v>
      </c>
      <c r="D106" s="2" t="s">
        <v>392</v>
      </c>
      <c r="E106" s="2"/>
      <c r="F106" s="2"/>
      <c r="G106" s="2" t="s">
        <v>580</v>
      </c>
      <c r="H106" s="2"/>
      <c r="I106" s="2" t="s">
        <v>20</v>
      </c>
      <c r="J106" s="251"/>
      <c r="P106" s="264"/>
    </row>
    <row r="107" spans="1:16" ht="14.4" x14ac:dyDescent="0.3">
      <c r="A107" s="121">
        <f t="shared" si="19"/>
        <v>94</v>
      </c>
      <c r="B107" s="3" t="s">
        <v>211</v>
      </c>
      <c r="C107" s="3" t="s">
        <v>21</v>
      </c>
      <c r="D107" s="3" t="s">
        <v>337</v>
      </c>
      <c r="E107" s="3" t="s">
        <v>336</v>
      </c>
      <c r="F107" s="3" t="s">
        <v>579</v>
      </c>
      <c r="G107" s="3" t="s">
        <v>581</v>
      </c>
      <c r="H107" s="3" t="s">
        <v>392</v>
      </c>
      <c r="I107" s="3" t="s">
        <v>87</v>
      </c>
      <c r="J107" s="251"/>
      <c r="K107" s="266"/>
      <c r="L107" s="266"/>
      <c r="M107" s="266"/>
      <c r="N107" s="266"/>
      <c r="O107" s="266"/>
      <c r="P107" s="266"/>
    </row>
    <row r="108" spans="1:16" x14ac:dyDescent="0.25">
      <c r="A108" s="121">
        <f t="shared" si="19"/>
        <v>95</v>
      </c>
      <c r="B108" s="272" t="s">
        <v>74</v>
      </c>
      <c r="C108" s="269"/>
      <c r="D108" s="269"/>
      <c r="E108" s="269"/>
      <c r="F108" s="269"/>
      <c r="G108" s="269"/>
      <c r="H108" s="256"/>
      <c r="I108" s="253">
        <f>SUM(C108:H108)</f>
        <v>0</v>
      </c>
      <c r="J108" s="251"/>
      <c r="K108" s="54"/>
      <c r="M108" s="7"/>
      <c r="N108" s="7"/>
      <c r="O108" s="7"/>
      <c r="P108" s="7"/>
    </row>
    <row r="109" spans="1:16" x14ac:dyDescent="0.25">
      <c r="A109" s="121">
        <f t="shared" si="19"/>
        <v>96</v>
      </c>
      <c r="B109" s="272" t="s">
        <v>75</v>
      </c>
      <c r="C109" s="269"/>
      <c r="D109" s="269"/>
      <c r="E109" s="269"/>
      <c r="F109" s="269"/>
      <c r="G109" s="269"/>
      <c r="H109" s="269"/>
      <c r="I109" s="253">
        <f t="shared" ref="I109:I118" si="20">SUM(C109:H109)</f>
        <v>0</v>
      </c>
      <c r="J109" s="251"/>
      <c r="K109" s="54"/>
      <c r="M109" s="7"/>
      <c r="N109" s="7"/>
      <c r="O109" s="7"/>
      <c r="P109" s="7"/>
    </row>
    <row r="110" spans="1:16" x14ac:dyDescent="0.25">
      <c r="A110" s="121">
        <f t="shared" si="19"/>
        <v>97</v>
      </c>
      <c r="B110" s="272" t="s">
        <v>76</v>
      </c>
      <c r="C110" s="269"/>
      <c r="D110" s="269"/>
      <c r="E110" s="269"/>
      <c r="F110" s="269"/>
      <c r="G110" s="269"/>
      <c r="H110" s="269"/>
      <c r="I110" s="253">
        <f t="shared" si="20"/>
        <v>0</v>
      </c>
      <c r="J110" s="251"/>
      <c r="K110" s="54"/>
      <c r="M110" s="7"/>
      <c r="N110" s="7"/>
      <c r="O110" s="7"/>
      <c r="P110" s="7"/>
    </row>
    <row r="111" spans="1:16" x14ac:dyDescent="0.25">
      <c r="A111" s="121">
        <f t="shared" si="19"/>
        <v>98</v>
      </c>
      <c r="B111" s="272" t="s">
        <v>77</v>
      </c>
      <c r="C111" s="269"/>
      <c r="D111" s="269"/>
      <c r="E111" s="269"/>
      <c r="F111" s="269"/>
      <c r="G111" s="269"/>
      <c r="H111" s="269"/>
      <c r="I111" s="253">
        <f t="shared" si="20"/>
        <v>0</v>
      </c>
      <c r="J111" s="251"/>
      <c r="K111" s="54"/>
      <c r="M111" s="7"/>
      <c r="N111" s="7"/>
      <c r="O111" s="7"/>
      <c r="P111" s="7"/>
    </row>
    <row r="112" spans="1:16" x14ac:dyDescent="0.25">
      <c r="A112" s="121">
        <f t="shared" si="19"/>
        <v>99</v>
      </c>
      <c r="B112" s="95" t="s">
        <v>203</v>
      </c>
      <c r="C112" s="269"/>
      <c r="D112" s="269"/>
      <c r="E112" s="269"/>
      <c r="F112" s="269"/>
      <c r="G112" s="269"/>
      <c r="H112" s="269"/>
      <c r="I112" s="253">
        <f t="shared" si="20"/>
        <v>0</v>
      </c>
      <c r="J112" s="251"/>
      <c r="K112" s="54"/>
      <c r="M112" s="7"/>
      <c r="N112" s="7"/>
      <c r="O112" s="7"/>
      <c r="P112" s="7"/>
    </row>
    <row r="113" spans="1:16" x14ac:dyDescent="0.25">
      <c r="A113" s="121">
        <f t="shared" si="19"/>
        <v>100</v>
      </c>
      <c r="B113" s="272" t="s">
        <v>78</v>
      </c>
      <c r="C113" s="269"/>
      <c r="D113" s="269"/>
      <c r="E113" s="269"/>
      <c r="F113" s="269"/>
      <c r="G113" s="269"/>
      <c r="H113" s="269"/>
      <c r="I113" s="253">
        <f t="shared" si="20"/>
        <v>0</v>
      </c>
      <c r="J113" s="251"/>
      <c r="K113" s="54"/>
      <c r="M113" s="7"/>
      <c r="N113" s="7"/>
      <c r="O113" s="7"/>
      <c r="P113" s="7"/>
    </row>
    <row r="114" spans="1:16" x14ac:dyDescent="0.25">
      <c r="A114" s="121">
        <f t="shared" si="19"/>
        <v>101</v>
      </c>
      <c r="B114" s="272" t="s">
        <v>79</v>
      </c>
      <c r="C114" s="269"/>
      <c r="D114" s="269"/>
      <c r="E114" s="269"/>
      <c r="F114" s="269"/>
      <c r="G114" s="269"/>
      <c r="H114" s="269"/>
      <c r="I114" s="253">
        <f t="shared" si="20"/>
        <v>0</v>
      </c>
      <c r="J114" s="251"/>
      <c r="K114" s="54"/>
      <c r="M114" s="7"/>
      <c r="N114" s="7"/>
      <c r="O114" s="7"/>
      <c r="P114" s="7"/>
    </row>
    <row r="115" spans="1:16" x14ac:dyDescent="0.25">
      <c r="A115" s="121">
        <f t="shared" si="19"/>
        <v>102</v>
      </c>
      <c r="B115" s="272" t="s">
        <v>80</v>
      </c>
      <c r="C115" s="269"/>
      <c r="D115" s="269"/>
      <c r="E115" s="269"/>
      <c r="F115" s="269"/>
      <c r="G115" s="269"/>
      <c r="H115" s="269"/>
      <c r="I115" s="253">
        <f t="shared" si="20"/>
        <v>0</v>
      </c>
      <c r="J115" s="251"/>
      <c r="K115" s="54"/>
      <c r="M115" s="7"/>
      <c r="N115" s="7"/>
      <c r="O115" s="7"/>
      <c r="P115" s="7"/>
    </row>
    <row r="116" spans="1:16" x14ac:dyDescent="0.25">
      <c r="A116" s="121">
        <f t="shared" si="19"/>
        <v>103</v>
      </c>
      <c r="B116" s="272" t="s">
        <v>81</v>
      </c>
      <c r="C116" s="269"/>
      <c r="D116" s="269"/>
      <c r="E116" s="269"/>
      <c r="F116" s="269"/>
      <c r="G116" s="269"/>
      <c r="H116" s="269"/>
      <c r="I116" s="253">
        <f t="shared" si="20"/>
        <v>0</v>
      </c>
      <c r="J116" s="251"/>
      <c r="K116" s="54"/>
      <c r="M116" s="7"/>
      <c r="N116" s="7"/>
      <c r="O116" s="7"/>
      <c r="P116" s="7"/>
    </row>
    <row r="117" spans="1:16" x14ac:dyDescent="0.25">
      <c r="A117" s="121">
        <f t="shared" si="19"/>
        <v>104</v>
      </c>
      <c r="B117" s="272" t="s">
        <v>82</v>
      </c>
      <c r="C117" s="269"/>
      <c r="D117" s="269"/>
      <c r="E117" s="269"/>
      <c r="F117" s="269"/>
      <c r="G117" s="269"/>
      <c r="H117" s="269"/>
      <c r="I117" s="253">
        <f t="shared" si="20"/>
        <v>0</v>
      </c>
      <c r="J117" s="251"/>
      <c r="K117" s="54"/>
      <c r="M117" s="7"/>
      <c r="N117" s="7"/>
      <c r="O117" s="7"/>
      <c r="P117" s="7"/>
    </row>
    <row r="118" spans="1:16" x14ac:dyDescent="0.25">
      <c r="A118" s="121">
        <f t="shared" si="19"/>
        <v>105</v>
      </c>
      <c r="B118" s="272" t="s">
        <v>83</v>
      </c>
      <c r="C118" s="269"/>
      <c r="D118" s="269"/>
      <c r="E118" s="269"/>
      <c r="F118" s="269"/>
      <c r="G118" s="269"/>
      <c r="H118" s="269"/>
      <c r="I118" s="253">
        <f t="shared" si="20"/>
        <v>0</v>
      </c>
      <c r="J118" s="251"/>
      <c r="K118" s="54"/>
      <c r="M118" s="7"/>
      <c r="N118" s="7"/>
      <c r="O118" s="7"/>
      <c r="P118" s="7"/>
    </row>
    <row r="119" spans="1:16" x14ac:dyDescent="0.25">
      <c r="A119" s="121">
        <f t="shared" si="19"/>
        <v>106</v>
      </c>
      <c r="B119" s="272" t="s">
        <v>84</v>
      </c>
      <c r="C119" s="118"/>
      <c r="D119" s="118"/>
      <c r="E119" s="118"/>
      <c r="F119" s="118"/>
      <c r="G119" s="118"/>
      <c r="H119" s="118"/>
      <c r="I119" s="99">
        <f>SUM(C119:H119)</f>
        <v>0</v>
      </c>
      <c r="J119" s="251"/>
      <c r="K119" s="54"/>
      <c r="M119" s="7"/>
      <c r="N119" s="7"/>
      <c r="O119" s="7"/>
      <c r="P119" s="99"/>
    </row>
    <row r="120" spans="1:16" x14ac:dyDescent="0.25">
      <c r="A120" s="121">
        <f t="shared" si="19"/>
        <v>107</v>
      </c>
      <c r="B120" s="95" t="s">
        <v>216</v>
      </c>
      <c r="C120" s="253">
        <f t="shared" ref="C120:I120" si="21">SUM(C108:C119)</f>
        <v>0</v>
      </c>
      <c r="D120" s="253">
        <f t="shared" si="21"/>
        <v>0</v>
      </c>
      <c r="E120" s="253">
        <f t="shared" si="21"/>
        <v>0</v>
      </c>
      <c r="F120" s="253">
        <f t="shared" si="21"/>
        <v>0</v>
      </c>
      <c r="G120" s="253">
        <f t="shared" si="21"/>
        <v>0</v>
      </c>
      <c r="H120" s="253">
        <f t="shared" si="21"/>
        <v>0</v>
      </c>
      <c r="I120" s="253">
        <f t="shared" si="21"/>
        <v>0</v>
      </c>
      <c r="J120" s="251"/>
      <c r="P120" s="7"/>
    </row>
    <row r="121" spans="1:16" x14ac:dyDescent="0.25">
      <c r="A121" s="121">
        <f t="shared" si="19"/>
        <v>108</v>
      </c>
      <c r="B121" s="251"/>
      <c r="C121" s="251"/>
      <c r="D121" s="251"/>
      <c r="E121" s="251"/>
      <c r="F121" s="251"/>
      <c r="G121" s="251"/>
      <c r="H121" s="102"/>
      <c r="I121" s="251"/>
      <c r="J121" s="251"/>
      <c r="K121" s="251"/>
      <c r="L121" s="251"/>
    </row>
    <row r="122" spans="1:16" x14ac:dyDescent="0.25">
      <c r="A122" s="121">
        <f t="shared" si="19"/>
        <v>109</v>
      </c>
      <c r="B122" s="251"/>
      <c r="C122" s="251"/>
      <c r="D122" s="251"/>
      <c r="E122" s="251"/>
      <c r="F122" s="251"/>
      <c r="G122" s="251"/>
      <c r="H122" s="102" t="s">
        <v>583</v>
      </c>
      <c r="I122" s="256"/>
      <c r="J122" s="251"/>
      <c r="K122" s="251"/>
      <c r="L122" s="251"/>
    </row>
    <row r="123" spans="1:16" x14ac:dyDescent="0.25">
      <c r="A123" s="251"/>
      <c r="B123" s="251"/>
      <c r="C123" s="251"/>
      <c r="D123" s="251"/>
      <c r="E123" s="251"/>
      <c r="F123" s="251"/>
      <c r="G123" s="251"/>
      <c r="H123" s="251"/>
      <c r="I123" s="251"/>
      <c r="J123" s="251"/>
      <c r="K123" s="251"/>
      <c r="L123" s="251"/>
    </row>
    <row r="124" spans="1:16" x14ac:dyDescent="0.25">
      <c r="A124" s="2"/>
      <c r="B124" s="45" t="s">
        <v>420</v>
      </c>
      <c r="C124" s="261"/>
      <c r="D124" s="261"/>
      <c r="E124" s="261"/>
      <c r="F124" s="261"/>
      <c r="G124" s="261"/>
      <c r="H124" s="261"/>
      <c r="I124" s="255"/>
      <c r="J124" s="261"/>
      <c r="K124" s="261"/>
      <c r="L124" s="251"/>
    </row>
    <row r="125" spans="1:16" x14ac:dyDescent="0.25">
      <c r="A125" s="2"/>
      <c r="B125" s="550" t="s">
        <v>2605</v>
      </c>
      <c r="C125" s="261"/>
      <c r="D125" s="261"/>
      <c r="E125" s="261"/>
      <c r="F125" s="261"/>
      <c r="G125" s="261"/>
      <c r="H125" s="261"/>
      <c r="I125" s="261"/>
      <c r="J125" s="261"/>
      <c r="K125" s="261"/>
      <c r="L125" s="251"/>
    </row>
    <row r="126" spans="1:16" x14ac:dyDescent="0.25">
      <c r="A126" s="2"/>
      <c r="B126" s="550" t="s">
        <v>2606</v>
      </c>
      <c r="C126" s="261"/>
      <c r="D126" s="261"/>
      <c r="E126" s="261"/>
      <c r="F126" s="261"/>
      <c r="G126" s="261"/>
      <c r="H126" s="261"/>
      <c r="I126" s="261"/>
      <c r="J126" s="261"/>
      <c r="K126" s="261"/>
      <c r="L126" s="251"/>
    </row>
    <row r="127" spans="1:16" x14ac:dyDescent="0.25">
      <c r="A127" s="2"/>
      <c r="B127" s="166" t="s">
        <v>1173</v>
      </c>
      <c r="C127" s="261"/>
      <c r="D127" s="261"/>
      <c r="E127" s="261"/>
      <c r="F127" s="261"/>
      <c r="G127" s="261"/>
      <c r="H127" s="261"/>
      <c r="I127" s="261"/>
      <c r="J127" s="261"/>
      <c r="K127" s="261"/>
      <c r="L127" s="251"/>
    </row>
    <row r="128" spans="1:16" x14ac:dyDescent="0.25">
      <c r="A128" s="2"/>
      <c r="B128" s="47" t="s">
        <v>1059</v>
      </c>
      <c r="C128" s="261"/>
      <c r="D128" s="261"/>
      <c r="E128" s="261"/>
      <c r="F128" s="261"/>
      <c r="G128" s="261"/>
      <c r="H128" s="261"/>
      <c r="I128" s="261"/>
      <c r="J128" s="261"/>
      <c r="K128" s="261"/>
      <c r="L128" s="251"/>
    </row>
    <row r="129" spans="1:12" x14ac:dyDescent="0.25">
      <c r="A129" s="2"/>
      <c r="B129" s="1154" t="s">
        <v>2607</v>
      </c>
      <c r="C129" s="261"/>
      <c r="D129" s="261"/>
      <c r="E129" s="261"/>
      <c r="F129" s="261"/>
      <c r="G129" s="261"/>
      <c r="H129" s="261"/>
      <c r="I129" s="261"/>
      <c r="J129" s="261"/>
      <c r="K129" s="261"/>
      <c r="L129" s="251"/>
    </row>
    <row r="130" spans="1:12" x14ac:dyDescent="0.25">
      <c r="A130" s="2"/>
      <c r="B130" s="550" t="s">
        <v>2608</v>
      </c>
      <c r="C130" s="261"/>
      <c r="D130" s="261"/>
      <c r="E130" s="261"/>
      <c r="F130" s="261"/>
      <c r="G130" s="261"/>
      <c r="H130" s="261"/>
      <c r="I130" s="261"/>
      <c r="J130" s="261"/>
      <c r="K130" s="261"/>
      <c r="L130" s="251"/>
    </row>
    <row r="131" spans="1:12" x14ac:dyDescent="0.25">
      <c r="A131" s="2"/>
      <c r="B131" s="1155" t="s">
        <v>2609</v>
      </c>
      <c r="C131" s="261"/>
      <c r="D131" s="261"/>
      <c r="E131" s="261"/>
      <c r="F131" s="261"/>
      <c r="G131" s="261"/>
      <c r="H131" s="261"/>
      <c r="I131" s="261"/>
      <c r="J131" s="261"/>
      <c r="K131" s="261"/>
      <c r="L131" s="251"/>
    </row>
    <row r="132" spans="1:12" x14ac:dyDescent="0.25">
      <c r="A132" s="689"/>
      <c r="B132" s="1155" t="str">
        <f>"This instruction requires that the amount on Line "&amp;A70&amp;" Column 6 be calculated so that any over or under collection at the beginning of the Rate Effective Period"</f>
        <v>This instruction requires that the amount on Line 57 Column 6 be calculated so that any over or under collection at the beginning of the Rate Effective Period</v>
      </c>
      <c r="C132" s="261"/>
      <c r="D132" s="261"/>
      <c r="E132" s="261"/>
      <c r="F132" s="261"/>
      <c r="G132" s="261"/>
      <c r="H132" s="261"/>
      <c r="I132" s="261"/>
      <c r="J132" s="261"/>
      <c r="K132" s="261"/>
    </row>
    <row r="133" spans="1:12" x14ac:dyDescent="0.25">
      <c r="A133" s="689"/>
      <c r="B133" s="1155" t="str">
        <f>"is completely amortized over the following 12 months, as reflected by the Line "&amp;A67&amp;", Column 7 amount being equal to zero.  It may be necessary to iterate for"</f>
        <v>is completely amortized over the following 12 months, as reflected by the Line 54, Column 7 amount being equal to zero.  It may be necessary to iterate for</v>
      </c>
      <c r="C133" s="261"/>
      <c r="D133" s="261"/>
      <c r="E133" s="261"/>
      <c r="F133" s="261"/>
      <c r="G133" s="261"/>
      <c r="H133" s="261"/>
      <c r="I133" s="261"/>
      <c r="J133" s="261"/>
      <c r="K133" s="261"/>
      <c r="L133" s="251"/>
    </row>
    <row r="134" spans="1:12" x14ac:dyDescent="0.25">
      <c r="A134" s="689"/>
      <c r="B134" s="1154" t="s">
        <v>2239</v>
      </c>
      <c r="C134" s="14"/>
      <c r="D134" s="261"/>
      <c r="E134" s="261"/>
      <c r="F134" s="261"/>
      <c r="G134" s="261"/>
      <c r="H134" s="261"/>
      <c r="I134" s="261"/>
      <c r="J134" s="261"/>
      <c r="K134" s="261"/>
      <c r="L134" s="251"/>
    </row>
    <row r="135" spans="1:12" x14ac:dyDescent="0.25">
      <c r="A135" s="2"/>
      <c r="B135" s="550" t="s">
        <v>2550</v>
      </c>
      <c r="C135" s="261"/>
      <c r="D135" s="261"/>
      <c r="E135" s="261"/>
      <c r="F135" s="261"/>
      <c r="G135" s="261"/>
      <c r="H135" s="261"/>
      <c r="I135" s="261"/>
      <c r="J135" s="261"/>
      <c r="K135" s="261"/>
      <c r="L135" s="251"/>
    </row>
    <row r="136" spans="1:12" x14ac:dyDescent="0.25">
      <c r="A136" s="2"/>
      <c r="B136" s="521" t="s">
        <v>1975</v>
      </c>
      <c r="C136" s="261"/>
      <c r="D136" s="261"/>
      <c r="E136" s="261"/>
      <c r="F136" s="261"/>
      <c r="G136" s="261"/>
      <c r="H136" s="261"/>
      <c r="I136" s="261"/>
      <c r="J136" s="261"/>
      <c r="K136" s="261"/>
      <c r="L136" s="251"/>
    </row>
    <row r="137" spans="1:12" x14ac:dyDescent="0.25">
      <c r="A137" s="2"/>
      <c r="B137" s="410" t="s">
        <v>545</v>
      </c>
      <c r="C137" s="261"/>
      <c r="D137" s="261"/>
      <c r="E137" s="261"/>
      <c r="F137" s="261"/>
      <c r="G137" s="261"/>
      <c r="H137" s="261"/>
      <c r="I137" s="261"/>
      <c r="J137" s="261"/>
      <c r="K137" s="261"/>
      <c r="L137" s="251"/>
    </row>
    <row r="138" spans="1:12" x14ac:dyDescent="0.25">
      <c r="A138" s="2"/>
      <c r="B138" s="1156" t="s">
        <v>1695</v>
      </c>
      <c r="C138" s="261"/>
      <c r="D138" s="261"/>
      <c r="E138" s="261"/>
      <c r="F138" s="261"/>
      <c r="G138" s="261"/>
      <c r="H138" s="261"/>
      <c r="I138" s="261"/>
      <c r="J138" s="261"/>
      <c r="K138" s="261"/>
      <c r="L138" s="251"/>
    </row>
    <row r="139" spans="1:12" x14ac:dyDescent="0.25">
      <c r="A139" s="2"/>
      <c r="B139" s="1157" t="s">
        <v>1174</v>
      </c>
      <c r="C139" s="261"/>
      <c r="D139" s="261"/>
      <c r="E139" s="261"/>
      <c r="F139" s="261"/>
      <c r="G139" s="261"/>
      <c r="H139" s="261"/>
      <c r="I139" s="261"/>
      <c r="J139" s="261"/>
      <c r="K139" s="261"/>
      <c r="L139" s="251"/>
    </row>
    <row r="140" spans="1:12" x14ac:dyDescent="0.25">
      <c r="A140" s="2"/>
      <c r="B140" s="1157" t="str">
        <f>"Entering on Line "&amp;A24&amp;" ensures these One Time Adjustments are recovered from or returned to customers."</f>
        <v>Entering on Line 11 ensures these One Time Adjustments are recovered from or returned to customers.</v>
      </c>
      <c r="C140" s="261"/>
      <c r="D140" s="261"/>
      <c r="E140" s="261"/>
      <c r="F140" s="261"/>
      <c r="G140" s="261"/>
      <c r="H140" s="261"/>
      <c r="I140" s="261"/>
      <c r="J140" s="261"/>
      <c r="K140" s="261"/>
      <c r="L140" s="251"/>
    </row>
    <row r="141" spans="1:12" x14ac:dyDescent="0.25">
      <c r="A141" s="2"/>
      <c r="B141" s="410" t="s">
        <v>1332</v>
      </c>
      <c r="C141" s="1158"/>
      <c r="D141" s="261"/>
      <c r="E141" s="261"/>
      <c r="F141" s="261"/>
      <c r="G141" s="261"/>
      <c r="H141" s="261"/>
      <c r="I141" s="261"/>
      <c r="J141" s="261"/>
      <c r="K141" s="261"/>
      <c r="L141" s="251"/>
    </row>
    <row r="142" spans="1:12" x14ac:dyDescent="0.25">
      <c r="A142" s="2"/>
      <c r="B142" s="550" t="s">
        <v>2610</v>
      </c>
      <c r="C142" s="261"/>
      <c r="D142" s="261"/>
      <c r="E142" s="261"/>
      <c r="F142" s="261"/>
      <c r="G142" s="261"/>
      <c r="H142" s="261"/>
      <c r="I142" s="261"/>
      <c r="J142" s="14"/>
      <c r="K142" s="261"/>
      <c r="L142" s="251"/>
    </row>
    <row r="143" spans="1:12" x14ac:dyDescent="0.25">
      <c r="A143" s="2"/>
      <c r="B143" s="550" t="s">
        <v>2611</v>
      </c>
      <c r="C143" s="261"/>
      <c r="D143" s="261"/>
      <c r="E143" s="261"/>
      <c r="F143" s="261"/>
      <c r="G143" s="261"/>
      <c r="H143" s="261"/>
      <c r="I143" s="261"/>
      <c r="J143" s="261"/>
      <c r="K143" s="261"/>
      <c r="L143" s="251"/>
    </row>
    <row r="144" spans="1:12" x14ac:dyDescent="0.25">
      <c r="A144" s="2"/>
      <c r="B144" s="550" t="s">
        <v>1696</v>
      </c>
      <c r="C144" s="261"/>
      <c r="D144" s="261"/>
      <c r="E144" s="261"/>
      <c r="F144" s="261"/>
      <c r="G144" s="261"/>
      <c r="H144" s="261"/>
      <c r="I144" s="261"/>
      <c r="J144" s="261"/>
      <c r="K144" s="261"/>
      <c r="L144" s="251"/>
    </row>
    <row r="145" spans="1:12" x14ac:dyDescent="0.25">
      <c r="A145" s="2"/>
      <c r="B145" s="408" t="s">
        <v>1175</v>
      </c>
      <c r="C145" s="261"/>
      <c r="D145" s="261"/>
      <c r="E145" s="261"/>
      <c r="F145" s="261"/>
      <c r="G145" s="261"/>
      <c r="H145" s="261"/>
      <c r="I145" s="261"/>
      <c r="J145" s="261"/>
      <c r="K145" s="261"/>
      <c r="L145" s="251"/>
    </row>
    <row r="146" spans="1:12" x14ac:dyDescent="0.25">
      <c r="A146" s="2"/>
      <c r="B146" s="1139" t="s">
        <v>256</v>
      </c>
      <c r="C146" s="261"/>
      <c r="D146" s="261"/>
      <c r="E146" s="261"/>
      <c r="F146" s="261"/>
      <c r="G146" s="261"/>
      <c r="H146" s="261"/>
      <c r="I146" s="261"/>
      <c r="J146" s="261"/>
      <c r="K146" s="261"/>
      <c r="L146" s="251"/>
    </row>
    <row r="147" spans="1:12" x14ac:dyDescent="0.25">
      <c r="A147" s="2"/>
      <c r="B147" s="550" t="s">
        <v>1693</v>
      </c>
      <c r="C147" s="261"/>
      <c r="D147" s="261"/>
      <c r="E147" s="261"/>
      <c r="F147" s="261"/>
      <c r="G147" s="261"/>
      <c r="H147" s="261"/>
      <c r="I147" s="261"/>
      <c r="J147" s="261"/>
      <c r="K147" s="261"/>
      <c r="L147" s="251"/>
    </row>
    <row r="148" spans="1:12" x14ac:dyDescent="0.25">
      <c r="A148" s="2"/>
      <c r="B148" s="580" t="s">
        <v>1694</v>
      </c>
      <c r="C148" s="261"/>
      <c r="D148" s="261"/>
      <c r="E148" s="261"/>
      <c r="F148" s="261"/>
      <c r="G148" s="261"/>
      <c r="H148" s="261"/>
      <c r="I148" s="261"/>
      <c r="J148" s="261"/>
      <c r="K148" s="261"/>
      <c r="L148" s="251"/>
    </row>
    <row r="149" spans="1:12" x14ac:dyDescent="0.25">
      <c r="A149" s="2"/>
      <c r="B149" s="166" t="str">
        <f>"a Partial Year True Up, use the Partial Year TRR Attribution Allocation Factors on Lines "&amp;A85&amp;" to "&amp;A96&amp;" for each month of Partial Year True Up  ."</f>
        <v>a Partial Year True Up, use the Partial Year TRR Attribution Allocation Factors on Lines 72 to 83 for each month of Partial Year True Up  .</v>
      </c>
      <c r="C149" s="261"/>
      <c r="D149" s="261"/>
      <c r="E149" s="261"/>
      <c r="F149" s="261"/>
      <c r="G149" s="261"/>
      <c r="H149" s="261"/>
      <c r="I149" s="261"/>
      <c r="J149" s="261"/>
      <c r="K149" s="261"/>
      <c r="L149" s="251"/>
    </row>
    <row r="150" spans="1:12" x14ac:dyDescent="0.25">
      <c r="A150" s="585"/>
      <c r="B150" s="166" t="str">
        <f>"Only enter in the Prior Year, Lines "&amp;A24&amp;" to "&amp;A35&amp;", or portion of year formula was in effect in case of Partial Year True Up."</f>
        <v>Only enter in the Prior Year, Lines 11 to 22, or portion of year formula was in effect in case of Partial Year True Up.</v>
      </c>
      <c r="C150" s="261"/>
      <c r="D150" s="261"/>
      <c r="E150" s="261"/>
      <c r="F150" s="261"/>
      <c r="G150" s="261"/>
      <c r="H150" s="261"/>
      <c r="I150" s="261"/>
      <c r="J150" s="261"/>
      <c r="K150" s="261"/>
      <c r="L150" s="251"/>
    </row>
    <row r="151" spans="1:12" x14ac:dyDescent="0.25">
      <c r="A151" s="689"/>
      <c r="B151" s="706" t="s">
        <v>2203</v>
      </c>
      <c r="C151" s="261"/>
      <c r="D151" s="261"/>
      <c r="E151" s="261"/>
      <c r="F151" s="261"/>
      <c r="G151" s="261"/>
      <c r="H151" s="261"/>
      <c r="I151" s="261"/>
      <c r="J151" s="261"/>
      <c r="K151" s="261"/>
      <c r="L151" s="251"/>
    </row>
    <row r="152" spans="1:12" x14ac:dyDescent="0.25">
      <c r="A152" s="2"/>
      <c r="B152" s="161" t="s">
        <v>1176</v>
      </c>
      <c r="C152" s="261"/>
      <c r="D152" s="261"/>
      <c r="E152" s="261"/>
      <c r="F152" s="261"/>
      <c r="G152" s="261"/>
      <c r="H152" s="261"/>
      <c r="I152" s="261"/>
      <c r="J152" s="261"/>
      <c r="K152" s="261"/>
      <c r="L152" s="251"/>
    </row>
    <row r="153" spans="1:12" x14ac:dyDescent="0.25">
      <c r="A153" s="2"/>
      <c r="B153" s="166" t="str">
        <f>"as shown on Lines "&amp;A108&amp;" to"&amp;A119&amp;", Column 1."</f>
        <v>as shown on Lines 95 to106, Column 1.</v>
      </c>
      <c r="C153" s="261"/>
      <c r="D153" s="261"/>
      <c r="E153" s="261"/>
      <c r="F153" s="261"/>
      <c r="G153" s="261"/>
      <c r="H153" s="261"/>
      <c r="I153" s="261"/>
      <c r="J153" s="261"/>
      <c r="K153" s="261"/>
      <c r="L153" s="251"/>
    </row>
    <row r="154" spans="1:12" x14ac:dyDescent="0.25">
      <c r="A154" s="2"/>
      <c r="B154" s="161" t="s">
        <v>1177</v>
      </c>
      <c r="C154" s="261"/>
      <c r="D154" s="261"/>
      <c r="E154" s="261"/>
      <c r="F154" s="261"/>
      <c r="G154" s="261"/>
      <c r="H154" s="261"/>
      <c r="I154" s="261"/>
      <c r="J154" s="261"/>
      <c r="K154" s="261"/>
      <c r="L154" s="251"/>
    </row>
    <row r="155" spans="1:12" x14ac:dyDescent="0.25">
      <c r="A155" s="2"/>
      <c r="B155" s="706" t="s">
        <v>2612</v>
      </c>
      <c r="C155" s="261"/>
      <c r="D155" s="261"/>
      <c r="E155" s="261"/>
      <c r="F155" s="261"/>
      <c r="G155" s="261"/>
      <c r="H155" s="261"/>
      <c r="I155" s="261"/>
      <c r="J155" s="261"/>
      <c r="K155" s="261"/>
      <c r="L155" s="251"/>
    </row>
    <row r="156" spans="1:12" x14ac:dyDescent="0.25">
      <c r="A156" s="2"/>
      <c r="B156" s="706" t="s">
        <v>2613</v>
      </c>
      <c r="C156" s="261"/>
      <c r="D156" s="261"/>
      <c r="E156" s="261"/>
      <c r="F156" s="261"/>
      <c r="G156" s="261"/>
      <c r="H156" s="261"/>
      <c r="I156" s="261"/>
      <c r="J156" s="261"/>
      <c r="K156" s="261"/>
      <c r="L156" s="251"/>
    </row>
    <row r="157" spans="1:12" x14ac:dyDescent="0.25">
      <c r="A157" s="689"/>
      <c r="B157" s="706" t="s">
        <v>2758</v>
      </c>
      <c r="C157" s="261"/>
      <c r="D157" s="261"/>
      <c r="E157" s="261"/>
      <c r="F157" s="261"/>
      <c r="G157" s="261"/>
      <c r="H157" s="261"/>
      <c r="I157" s="261"/>
      <c r="J157" s="261"/>
      <c r="K157" s="261"/>
      <c r="L157" s="251"/>
    </row>
    <row r="158" spans="1:12" x14ac:dyDescent="0.25">
      <c r="A158" s="689"/>
      <c r="B158" s="706" t="s">
        <v>2759</v>
      </c>
      <c r="C158" s="261"/>
      <c r="D158" s="261"/>
      <c r="E158" s="261"/>
      <c r="F158" s="261"/>
      <c r="G158" s="261"/>
      <c r="H158" s="261"/>
      <c r="I158" s="261"/>
      <c r="J158" s="261"/>
      <c r="K158" s="261"/>
      <c r="L158" s="251"/>
    </row>
    <row r="159" spans="1:12" x14ac:dyDescent="0.25">
      <c r="A159" s="2"/>
      <c r="B159" s="706" t="s">
        <v>1974</v>
      </c>
      <c r="C159" s="261"/>
      <c r="D159" s="261"/>
      <c r="E159" s="261"/>
      <c r="F159" s="261"/>
      <c r="G159" s="261"/>
      <c r="H159" s="261"/>
      <c r="I159" s="261"/>
      <c r="J159" s="261"/>
      <c r="K159" s="261"/>
      <c r="L159" s="251"/>
    </row>
    <row r="160" spans="1:12" x14ac:dyDescent="0.25">
      <c r="A160" s="2"/>
      <c r="B160" s="580" t="s">
        <v>1841</v>
      </c>
      <c r="C160" s="261"/>
      <c r="D160" s="261"/>
      <c r="E160" s="261"/>
      <c r="F160" s="261"/>
      <c r="G160" s="261"/>
      <c r="H160" s="261"/>
      <c r="I160" s="261"/>
      <c r="J160" s="261"/>
      <c r="K160" s="261"/>
      <c r="L160" s="251"/>
    </row>
    <row r="161" spans="1:12" x14ac:dyDescent="0.25">
      <c r="A161" s="2"/>
      <c r="B161" s="47" t="s">
        <v>1178</v>
      </c>
      <c r="C161" s="261"/>
      <c r="D161" s="261"/>
      <c r="E161" s="261"/>
      <c r="F161" s="261"/>
      <c r="G161" s="261"/>
      <c r="H161" s="261"/>
      <c r="I161" s="261"/>
      <c r="J161" s="261"/>
      <c r="K161" s="261"/>
      <c r="L161" s="251"/>
    </row>
    <row r="162" spans="1:12" x14ac:dyDescent="0.25">
      <c r="A162" s="2"/>
      <c r="B162" s="408" t="s">
        <v>1179</v>
      </c>
      <c r="C162" s="261"/>
      <c r="D162" s="261"/>
      <c r="E162" s="261"/>
      <c r="F162" s="261"/>
      <c r="G162" s="261"/>
      <c r="H162" s="261"/>
      <c r="I162" s="261"/>
      <c r="J162" s="261"/>
      <c r="K162" s="261"/>
      <c r="L162" s="251"/>
    </row>
    <row r="163" spans="1:12" x14ac:dyDescent="0.25">
      <c r="A163" s="2"/>
      <c r="B163" s="47" t="s">
        <v>1180</v>
      </c>
      <c r="C163" s="261"/>
      <c r="D163" s="261"/>
      <c r="E163" s="261"/>
      <c r="F163" s="261"/>
      <c r="G163" s="261"/>
      <c r="H163" s="261"/>
      <c r="I163" s="261"/>
      <c r="J163" s="261"/>
      <c r="K163" s="261"/>
      <c r="L163" s="251"/>
    </row>
    <row r="164" spans="1:12" x14ac:dyDescent="0.25">
      <c r="A164" s="2"/>
      <c r="B164" s="1159" t="s">
        <v>1181</v>
      </c>
      <c r="C164" s="261"/>
      <c r="D164" s="261"/>
      <c r="E164" s="261"/>
      <c r="F164" s="261"/>
      <c r="G164" s="261"/>
      <c r="H164" s="261"/>
      <c r="I164" s="261"/>
      <c r="J164" s="261"/>
      <c r="K164" s="261"/>
      <c r="L164" s="251"/>
    </row>
    <row r="165" spans="1:12" x14ac:dyDescent="0.25">
      <c r="A165" s="2"/>
      <c r="B165" s="550" t="s">
        <v>2614</v>
      </c>
      <c r="C165" s="261"/>
      <c r="D165" s="261"/>
      <c r="E165" s="261"/>
      <c r="F165" s="261"/>
      <c r="G165" s="261"/>
      <c r="H165" s="261"/>
      <c r="I165" s="261"/>
      <c r="J165" s="261"/>
      <c r="K165" s="261"/>
      <c r="L165" s="251"/>
    </row>
    <row r="166" spans="1:12" x14ac:dyDescent="0.25">
      <c r="A166" s="2"/>
      <c r="B166" s="1160" t="s">
        <v>2615</v>
      </c>
      <c r="C166" s="261"/>
      <c r="D166" s="261"/>
      <c r="E166" s="261"/>
      <c r="F166" s="261"/>
      <c r="G166" s="261"/>
      <c r="H166" s="261"/>
      <c r="I166" s="261"/>
      <c r="J166" s="261"/>
      <c r="K166" s="261"/>
      <c r="L166" s="251"/>
    </row>
    <row r="167" spans="1:12" x14ac:dyDescent="0.25">
      <c r="A167" s="2"/>
      <c r="B167" s="530" t="s">
        <v>2616</v>
      </c>
      <c r="C167" s="261"/>
      <c r="D167" s="261"/>
      <c r="E167" s="261"/>
      <c r="F167" s="261"/>
      <c r="G167" s="261"/>
      <c r="H167" s="261"/>
      <c r="I167" s="261"/>
      <c r="J167" s="261"/>
      <c r="K167" s="261"/>
      <c r="L167" s="251"/>
    </row>
    <row r="168" spans="1:12" x14ac:dyDescent="0.25">
      <c r="A168" s="251"/>
      <c r="B168" s="530" t="s">
        <v>1741</v>
      </c>
      <c r="C168" s="261"/>
      <c r="D168" s="261"/>
      <c r="E168" s="261"/>
      <c r="F168" s="261"/>
      <c r="G168" s="261"/>
      <c r="H168" s="261"/>
      <c r="I168" s="261"/>
      <c r="J168" s="261"/>
      <c r="K168" s="261"/>
      <c r="L168" s="251"/>
    </row>
    <row r="169" spans="1:12" x14ac:dyDescent="0.25">
      <c r="A169" s="251"/>
      <c r="B169" s="47" t="s">
        <v>1414</v>
      </c>
      <c r="C169" s="261"/>
      <c r="D169" s="261"/>
      <c r="E169" s="261"/>
      <c r="F169" s="261"/>
      <c r="G169" s="261"/>
      <c r="H169" s="261"/>
      <c r="I169" s="261"/>
      <c r="J169" s="261"/>
      <c r="K169" s="261"/>
      <c r="L169" s="251"/>
    </row>
    <row r="170" spans="1:12" x14ac:dyDescent="0.25">
      <c r="A170" s="251"/>
      <c r="B170" s="47" t="s">
        <v>1412</v>
      </c>
      <c r="C170" s="261"/>
      <c r="D170" s="261"/>
      <c r="E170" s="261"/>
      <c r="F170" s="261"/>
      <c r="G170" s="261"/>
      <c r="H170" s="261"/>
      <c r="I170" s="261"/>
      <c r="J170" s="261"/>
      <c r="K170" s="261"/>
      <c r="L170" s="251"/>
    </row>
    <row r="171" spans="1:12" x14ac:dyDescent="0.25">
      <c r="A171" s="251"/>
      <c r="B171" s="408" t="s">
        <v>587</v>
      </c>
      <c r="C171" s="261"/>
      <c r="D171" s="261"/>
      <c r="E171" s="261"/>
      <c r="F171" s="261"/>
      <c r="G171" s="261"/>
      <c r="H171" s="261"/>
      <c r="I171" s="261"/>
      <c r="J171" s="261"/>
      <c r="K171" s="261"/>
      <c r="L171" s="251"/>
    </row>
    <row r="172" spans="1:12" x14ac:dyDescent="0.25">
      <c r="A172" s="251"/>
      <c r="B172" s="1154" t="s">
        <v>2280</v>
      </c>
      <c r="C172" s="261"/>
      <c r="D172" s="261"/>
      <c r="E172" s="261"/>
      <c r="F172" s="261"/>
      <c r="G172" s="261"/>
      <c r="H172" s="261"/>
      <c r="I172" s="261"/>
      <c r="J172" s="261"/>
      <c r="K172" s="261"/>
      <c r="L172" s="251"/>
    </row>
    <row r="173" spans="1:12" x14ac:dyDescent="0.25">
      <c r="A173" s="251"/>
      <c r="B173" s="1154" t="s">
        <v>2281</v>
      </c>
      <c r="C173" s="261"/>
      <c r="D173" s="261"/>
      <c r="E173" s="261"/>
      <c r="F173" s="261"/>
      <c r="G173" s="261"/>
      <c r="H173" s="261"/>
      <c r="I173" s="261"/>
      <c r="J173" s="261"/>
      <c r="K173" s="261"/>
      <c r="L173" s="251"/>
    </row>
    <row r="174" spans="1:12" x14ac:dyDescent="0.25">
      <c r="A174" s="251"/>
      <c r="B174" s="47" t="s">
        <v>1413</v>
      </c>
      <c r="C174" s="261"/>
      <c r="D174" s="261"/>
      <c r="E174" s="261"/>
      <c r="F174" s="261"/>
      <c r="G174" s="261"/>
      <c r="H174" s="261"/>
      <c r="I174" s="261"/>
      <c r="J174" s="261"/>
      <c r="K174" s="261"/>
      <c r="L174" s="251"/>
    </row>
    <row r="175" spans="1:12" x14ac:dyDescent="0.25">
      <c r="A175" s="251"/>
      <c r="B175" s="1154" t="s">
        <v>2553</v>
      </c>
      <c r="C175" s="261"/>
      <c r="D175" s="261"/>
      <c r="E175" s="261"/>
      <c r="F175" s="261"/>
      <c r="G175" s="261"/>
      <c r="H175" s="261"/>
      <c r="I175" s="261"/>
      <c r="J175" s="261"/>
      <c r="K175" s="261"/>
      <c r="L175" s="251"/>
    </row>
    <row r="176" spans="1:12" x14ac:dyDescent="0.25">
      <c r="A176" s="251"/>
      <c r="B176" s="1154" t="s">
        <v>2552</v>
      </c>
      <c r="C176" s="261"/>
      <c r="D176" s="261"/>
      <c r="E176" s="261"/>
      <c r="F176" s="261"/>
      <c r="G176" s="261"/>
      <c r="H176" s="261"/>
      <c r="I176" s="261"/>
      <c r="J176" s="261"/>
      <c r="K176" s="261"/>
      <c r="L176" s="251"/>
    </row>
    <row r="177" spans="1:12" x14ac:dyDescent="0.25">
      <c r="A177" s="251"/>
      <c r="B177" s="1154" t="s">
        <v>2551</v>
      </c>
      <c r="C177" s="261"/>
      <c r="D177" s="261"/>
      <c r="E177" s="261"/>
      <c r="F177" s="261"/>
      <c r="G177" s="261"/>
      <c r="H177" s="261"/>
      <c r="I177" s="261"/>
      <c r="J177" s="261"/>
      <c r="K177" s="261"/>
      <c r="L177" s="251"/>
    </row>
    <row r="178" spans="1:12" x14ac:dyDescent="0.25">
      <c r="A178" s="251"/>
      <c r="B178" s="408" t="s">
        <v>1060</v>
      </c>
      <c r="C178" s="261"/>
      <c r="D178" s="261"/>
      <c r="E178" s="261"/>
      <c r="F178" s="261"/>
      <c r="G178" s="261"/>
      <c r="H178" s="261"/>
      <c r="I178" s="261"/>
      <c r="J178" s="261"/>
      <c r="K178" s="261"/>
      <c r="L178" s="251"/>
    </row>
    <row r="179" spans="1:12" x14ac:dyDescent="0.25">
      <c r="A179" s="251"/>
      <c r="C179" s="251"/>
      <c r="D179" s="251"/>
      <c r="E179" s="251"/>
      <c r="F179" s="251"/>
      <c r="G179" s="251"/>
      <c r="H179" s="251"/>
      <c r="I179" s="251"/>
      <c r="J179" s="251"/>
      <c r="K179" s="251"/>
      <c r="L179" s="251"/>
    </row>
    <row r="180" spans="1:12" x14ac:dyDescent="0.25">
      <c r="A180" s="251"/>
      <c r="B180" s="251"/>
      <c r="C180" s="251"/>
      <c r="D180" s="251"/>
      <c r="E180" s="251"/>
      <c r="F180" s="251"/>
      <c r="G180" s="251"/>
      <c r="H180" s="251"/>
      <c r="I180" s="251"/>
      <c r="J180" s="251"/>
      <c r="K180" s="251"/>
      <c r="L180" s="251"/>
    </row>
    <row r="181" spans="1:12" x14ac:dyDescent="0.25">
      <c r="A181" s="251"/>
      <c r="B181" s="251"/>
      <c r="C181" s="251"/>
      <c r="D181" s="251"/>
      <c r="E181" s="251"/>
      <c r="F181" s="251"/>
      <c r="G181" s="251"/>
      <c r="H181" s="251"/>
      <c r="I181" s="251"/>
      <c r="J181" s="251"/>
      <c r="K181" s="251"/>
      <c r="L181" s="251"/>
    </row>
    <row r="182" spans="1:12" x14ac:dyDescent="0.25">
      <c r="A182" s="251"/>
      <c r="B182" s="251"/>
      <c r="C182" s="251"/>
      <c r="D182" s="251"/>
      <c r="E182" s="251"/>
      <c r="F182" s="251"/>
      <c r="G182" s="251"/>
      <c r="H182" s="251"/>
      <c r="I182" s="251"/>
      <c r="J182" s="251"/>
      <c r="K182" s="251"/>
      <c r="L182" s="251"/>
    </row>
    <row r="183" spans="1:12" x14ac:dyDescent="0.25">
      <c r="A183" s="251"/>
      <c r="B183" s="251"/>
      <c r="C183" s="251"/>
      <c r="D183" s="251"/>
      <c r="E183" s="251"/>
      <c r="F183" s="251"/>
      <c r="G183" s="251"/>
      <c r="H183" s="251"/>
      <c r="I183" s="251"/>
      <c r="J183" s="251"/>
      <c r="K183" s="251"/>
      <c r="L183" s="251"/>
    </row>
    <row r="184" spans="1:12" x14ac:dyDescent="0.25">
      <c r="A184" s="251"/>
      <c r="B184" s="251"/>
      <c r="C184" s="251"/>
      <c r="D184" s="251"/>
      <c r="E184" s="251"/>
      <c r="F184" s="251"/>
      <c r="G184" s="251"/>
      <c r="H184" s="251"/>
      <c r="I184" s="251"/>
      <c r="J184" s="251"/>
      <c r="K184" s="251"/>
      <c r="L184" s="251"/>
    </row>
    <row r="185" spans="1:12" x14ac:dyDescent="0.25">
      <c r="A185" s="251"/>
      <c r="B185" s="251"/>
      <c r="C185" s="251"/>
      <c r="D185" s="251"/>
      <c r="E185" s="251"/>
      <c r="F185" s="251"/>
      <c r="G185" s="251"/>
      <c r="H185" s="251"/>
      <c r="I185" s="251"/>
      <c r="J185" s="251"/>
      <c r="K185" s="251"/>
      <c r="L185" s="251"/>
    </row>
    <row r="186" spans="1:12" x14ac:dyDescent="0.25">
      <c r="A186" s="251"/>
      <c r="B186" s="251"/>
      <c r="C186" s="251"/>
      <c r="D186" s="251"/>
      <c r="E186" s="251"/>
      <c r="F186" s="251"/>
      <c r="G186" s="251"/>
      <c r="H186" s="251"/>
      <c r="I186" s="251"/>
      <c r="J186" s="251"/>
      <c r="K186" s="251"/>
      <c r="L186" s="251"/>
    </row>
    <row r="187" spans="1:12" x14ac:dyDescent="0.25">
      <c r="A187" s="251"/>
      <c r="B187" s="251"/>
      <c r="C187" s="251"/>
      <c r="D187" s="251"/>
      <c r="E187" s="251"/>
      <c r="F187" s="251"/>
      <c r="G187" s="251"/>
      <c r="H187" s="251"/>
      <c r="I187" s="251"/>
      <c r="J187" s="251"/>
      <c r="K187" s="251"/>
      <c r="L187" s="251"/>
    </row>
    <row r="188" spans="1:12" x14ac:dyDescent="0.25">
      <c r="A188" s="251"/>
      <c r="B188" s="251"/>
      <c r="C188" s="251"/>
      <c r="D188" s="251"/>
      <c r="E188" s="251"/>
      <c r="F188" s="251"/>
      <c r="G188" s="251"/>
      <c r="H188" s="251"/>
      <c r="I188" s="251"/>
      <c r="J188" s="251"/>
      <c r="K188" s="251"/>
      <c r="L188" s="251"/>
    </row>
    <row r="189" spans="1:12" x14ac:dyDescent="0.25">
      <c r="A189" s="251"/>
      <c r="B189" s="251"/>
      <c r="C189" s="251"/>
      <c r="D189" s="251"/>
      <c r="E189" s="251"/>
      <c r="F189" s="251"/>
      <c r="G189" s="251"/>
      <c r="H189" s="251"/>
      <c r="I189" s="251"/>
      <c r="J189" s="251"/>
      <c r="K189" s="251"/>
      <c r="L189" s="251"/>
    </row>
    <row r="190" spans="1:12" x14ac:dyDescent="0.25">
      <c r="A190" s="251"/>
      <c r="B190" s="251"/>
      <c r="C190" s="251"/>
      <c r="D190" s="251"/>
      <c r="E190" s="251"/>
      <c r="F190" s="251"/>
      <c r="G190" s="251"/>
      <c r="H190" s="251"/>
      <c r="I190" s="251"/>
      <c r="J190" s="251"/>
      <c r="K190" s="251"/>
      <c r="L190" s="251"/>
    </row>
    <row r="191" spans="1:12" x14ac:dyDescent="0.25">
      <c r="A191" s="251"/>
      <c r="B191" s="251"/>
      <c r="C191" s="251"/>
      <c r="D191" s="251"/>
      <c r="E191" s="251"/>
      <c r="F191" s="251"/>
      <c r="G191" s="251"/>
      <c r="H191" s="251"/>
      <c r="I191" s="251"/>
      <c r="J191" s="251"/>
      <c r="K191" s="251"/>
      <c r="L191" s="251"/>
    </row>
    <row r="192" spans="1:12" x14ac:dyDescent="0.25">
      <c r="A192" s="251"/>
      <c r="B192" s="251"/>
      <c r="C192" s="251"/>
      <c r="D192" s="251"/>
      <c r="E192" s="251"/>
      <c r="F192" s="251"/>
      <c r="G192" s="251"/>
      <c r="H192" s="251"/>
      <c r="I192" s="251"/>
      <c r="J192" s="251"/>
      <c r="K192" s="251"/>
      <c r="L192" s="251"/>
    </row>
    <row r="193" spans="1:12" x14ac:dyDescent="0.25">
      <c r="A193" s="251"/>
      <c r="B193" s="251"/>
      <c r="C193" s="251"/>
      <c r="D193" s="251"/>
      <c r="E193" s="251"/>
      <c r="F193" s="251"/>
      <c r="G193" s="251"/>
      <c r="H193" s="251"/>
      <c r="I193" s="251"/>
      <c r="J193" s="251"/>
      <c r="K193" s="251"/>
      <c r="L193" s="251"/>
    </row>
    <row r="194" spans="1:12" x14ac:dyDescent="0.25">
      <c r="A194" s="251"/>
      <c r="B194" s="251"/>
      <c r="C194" s="251"/>
      <c r="D194" s="251"/>
      <c r="E194" s="251"/>
      <c r="F194" s="251"/>
      <c r="G194" s="251"/>
      <c r="H194" s="251"/>
      <c r="I194" s="251"/>
      <c r="J194" s="251"/>
      <c r="K194" s="251"/>
      <c r="L194" s="251"/>
    </row>
    <row r="195" spans="1:12" x14ac:dyDescent="0.25">
      <c r="A195" s="251"/>
      <c r="B195" s="251"/>
      <c r="C195" s="251"/>
      <c r="D195" s="251"/>
      <c r="E195" s="251"/>
      <c r="F195" s="251"/>
      <c r="G195" s="251"/>
      <c r="H195" s="251"/>
      <c r="I195" s="251"/>
      <c r="J195" s="251"/>
      <c r="K195" s="251"/>
      <c r="L195" s="251"/>
    </row>
    <row r="196" spans="1:12" x14ac:dyDescent="0.25">
      <c r="A196" s="251"/>
      <c r="B196" s="251"/>
      <c r="C196" s="251"/>
      <c r="D196" s="251"/>
      <c r="E196" s="251"/>
      <c r="F196" s="251"/>
      <c r="G196" s="251"/>
      <c r="H196" s="251"/>
      <c r="I196" s="251"/>
      <c r="J196" s="251"/>
      <c r="K196" s="251"/>
      <c r="L196" s="251"/>
    </row>
    <row r="197" spans="1:12" x14ac:dyDescent="0.25">
      <c r="A197" s="251"/>
      <c r="B197" s="251"/>
      <c r="C197" s="251"/>
      <c r="D197" s="251"/>
      <c r="E197" s="251"/>
      <c r="F197" s="251"/>
      <c r="G197" s="251"/>
      <c r="H197" s="251"/>
      <c r="I197" s="251"/>
      <c r="J197" s="251"/>
      <c r="K197" s="251"/>
      <c r="L197" s="251"/>
    </row>
    <row r="198" spans="1:12" x14ac:dyDescent="0.25">
      <c r="A198" s="251"/>
      <c r="B198" s="251"/>
      <c r="C198" s="251"/>
      <c r="D198" s="251"/>
      <c r="E198" s="251"/>
      <c r="F198" s="251"/>
      <c r="G198" s="251"/>
      <c r="H198" s="251"/>
      <c r="I198" s="251"/>
      <c r="J198" s="251"/>
      <c r="K198" s="251"/>
      <c r="L198" s="251"/>
    </row>
    <row r="199" spans="1:12" x14ac:dyDescent="0.25">
      <c r="A199" s="251"/>
      <c r="B199" s="251"/>
      <c r="C199" s="251"/>
      <c r="D199" s="251"/>
      <c r="E199" s="251"/>
      <c r="F199" s="251"/>
      <c r="G199" s="251"/>
      <c r="H199" s="251"/>
      <c r="I199" s="251"/>
      <c r="J199" s="251"/>
      <c r="K199" s="251"/>
      <c r="L199" s="251"/>
    </row>
    <row r="200" spans="1:12" x14ac:dyDescent="0.25">
      <c r="A200" s="251"/>
      <c r="B200" s="251"/>
      <c r="C200" s="251"/>
      <c r="D200" s="251"/>
      <c r="E200" s="251"/>
      <c r="F200" s="251"/>
      <c r="G200" s="251"/>
      <c r="H200" s="251"/>
      <c r="I200" s="251"/>
      <c r="J200" s="251"/>
      <c r="K200" s="251"/>
      <c r="L200" s="251"/>
    </row>
    <row r="201" spans="1:12" x14ac:dyDescent="0.25">
      <c r="A201" s="251"/>
      <c r="B201" s="251"/>
      <c r="C201" s="251"/>
      <c r="D201" s="251"/>
      <c r="E201" s="251"/>
      <c r="F201" s="251"/>
      <c r="G201" s="251"/>
      <c r="H201" s="251"/>
      <c r="I201" s="251"/>
      <c r="J201" s="251"/>
      <c r="K201" s="251"/>
      <c r="L201" s="251"/>
    </row>
    <row r="202" spans="1:12" x14ac:dyDescent="0.25">
      <c r="A202" s="251"/>
      <c r="B202" s="251"/>
      <c r="C202" s="251"/>
      <c r="D202" s="251"/>
      <c r="E202" s="251"/>
      <c r="F202" s="251"/>
      <c r="G202" s="251"/>
      <c r="H202" s="251"/>
      <c r="I202" s="251"/>
      <c r="J202" s="251"/>
      <c r="K202" s="251"/>
      <c r="L202" s="251"/>
    </row>
    <row r="203" spans="1:12" x14ac:dyDescent="0.25">
      <c r="A203" s="251"/>
      <c r="B203" s="251"/>
      <c r="C203" s="251"/>
      <c r="D203" s="251"/>
      <c r="E203" s="251"/>
      <c r="F203" s="251"/>
      <c r="G203" s="251"/>
      <c r="H203" s="251"/>
      <c r="I203" s="251"/>
      <c r="J203" s="251"/>
      <c r="K203" s="251"/>
      <c r="L203" s="251"/>
    </row>
  </sheetData>
  <pageMargins left="0.7" right="0.7" top="0.75" bottom="0.75" header="0.3" footer="0.3"/>
  <pageSetup scale="72" orientation="landscape" cellComments="asDisplayed" r:id="rId1"/>
  <headerFooter>
    <oddHeader>&amp;CSchedule 3
True Up Adjustment
&amp;"Arial,Bold"Attachment 5</oddHeader>
    <oddFooter>&amp;R3-TrueUpAdjust</oddFooter>
  </headerFooter>
  <rowBreaks count="3" manualBreakCount="3">
    <brk id="48" max="16383" man="1"/>
    <brk id="81" max="16383" man="1"/>
    <brk id="123"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2"/>
  <sheetViews>
    <sheetView zoomScale="90" zoomScaleNormal="90" workbookViewId="0">
      <selection activeCell="H4" sqref="H4"/>
    </sheetView>
  </sheetViews>
  <sheetFormatPr defaultRowHeight="13.2" x14ac:dyDescent="0.25"/>
  <cols>
    <col min="1" max="2" width="4.6640625" customWidth="1"/>
    <col min="3" max="3" width="18.6640625" customWidth="1"/>
    <col min="4" max="4" width="10.33203125" bestFit="1" customWidth="1"/>
    <col min="5" max="7" width="15.6640625" customWidth="1"/>
    <col min="8" max="8" width="24.6640625" customWidth="1"/>
    <col min="9" max="9" width="4.5546875" customWidth="1"/>
    <col min="10" max="10" width="15.6640625" customWidth="1"/>
  </cols>
  <sheetData>
    <row r="1" spans="1:10" x14ac:dyDescent="0.25">
      <c r="A1" s="1" t="s">
        <v>1930</v>
      </c>
    </row>
    <row r="2" spans="1:10" x14ac:dyDescent="0.25">
      <c r="H2" s="14"/>
    </row>
    <row r="3" spans="1:10" x14ac:dyDescent="0.25">
      <c r="B3" s="91" t="s">
        <v>1686</v>
      </c>
    </row>
    <row r="4" spans="1:10" x14ac:dyDescent="0.25">
      <c r="B4" s="76"/>
      <c r="F4" s="2" t="s">
        <v>171</v>
      </c>
      <c r="G4" s="2"/>
      <c r="H4" s="2" t="s">
        <v>188</v>
      </c>
    </row>
    <row r="5" spans="1:10" x14ac:dyDescent="0.25">
      <c r="A5" s="55" t="s">
        <v>350</v>
      </c>
      <c r="B5" s="16"/>
      <c r="C5" s="53" t="s">
        <v>169</v>
      </c>
      <c r="F5" s="3" t="s">
        <v>170</v>
      </c>
      <c r="G5" s="3" t="s">
        <v>187</v>
      </c>
      <c r="H5" s="3" t="s">
        <v>189</v>
      </c>
      <c r="J5" s="3" t="s">
        <v>194</v>
      </c>
    </row>
    <row r="6" spans="1:10" x14ac:dyDescent="0.25">
      <c r="A6" s="121">
        <v>1</v>
      </c>
      <c r="B6" s="14"/>
      <c r="C6" s="120" t="s">
        <v>1147</v>
      </c>
      <c r="D6" s="14"/>
      <c r="E6" s="14"/>
      <c r="F6" s="14" t="s">
        <v>10</v>
      </c>
      <c r="G6" s="14"/>
      <c r="H6" s="120" t="str">
        <f>"6-PlantInService, Line "&amp;'6-PlantInService'!A42&amp;""</f>
        <v>6-PlantInService, Line 18</v>
      </c>
      <c r="I6" s="14"/>
      <c r="J6" s="65" t="e">
        <f>'6-PlantInService'!D42</f>
        <v>#DIV/0!</v>
      </c>
    </row>
    <row r="7" spans="1:10" x14ac:dyDescent="0.25">
      <c r="A7" s="121">
        <f>A6+1</f>
        <v>2</v>
      </c>
      <c r="B7" s="14"/>
      <c r="C7" s="120" t="s">
        <v>1338</v>
      </c>
      <c r="D7" s="14"/>
      <c r="E7" s="14"/>
      <c r="F7" s="14" t="s">
        <v>172</v>
      </c>
      <c r="G7" s="14"/>
      <c r="H7" s="120" t="str">
        <f>"6-PlantInService, Line "&amp;'6-PlantInService'!A58&amp;""</f>
        <v>6-PlantInService, Line 24</v>
      </c>
      <c r="I7" s="14"/>
      <c r="J7" s="65" t="e">
        <f>'6-PlantInService'!F58</f>
        <v>#DIV/0!</v>
      </c>
    </row>
    <row r="8" spans="1:10" x14ac:dyDescent="0.25">
      <c r="A8" s="121">
        <f>A7+1</f>
        <v>3</v>
      </c>
      <c r="B8" s="14"/>
      <c r="C8" s="120" t="s">
        <v>174</v>
      </c>
      <c r="D8" s="14"/>
      <c r="E8" s="14"/>
      <c r="F8" s="14" t="s">
        <v>172</v>
      </c>
      <c r="G8" s="14"/>
      <c r="H8" s="14" t="str">
        <f>"11-PHFU, Line "&amp;'11-PHFU'!A41&amp;""</f>
        <v>11-PHFU, Line 9</v>
      </c>
      <c r="I8" s="14"/>
      <c r="J8" s="65" t="e">
        <f>'11-PHFU'!D41</f>
        <v>#DIV/0!</v>
      </c>
    </row>
    <row r="9" spans="1:10" x14ac:dyDescent="0.25">
      <c r="A9" s="121">
        <f>A8+1</f>
        <v>4</v>
      </c>
      <c r="B9" s="14"/>
      <c r="C9" s="120" t="s">
        <v>343</v>
      </c>
      <c r="D9" s="14"/>
      <c r="E9" s="14"/>
      <c r="F9" s="14" t="s">
        <v>172</v>
      </c>
      <c r="G9" s="14"/>
      <c r="H9" s="15" t="str">
        <f>"12-AbandonedPlant Line "&amp;'12-AbandonedPlant'!A21&amp;""</f>
        <v>12-AbandonedPlant Line 4</v>
      </c>
      <c r="I9" s="14"/>
      <c r="J9" s="65">
        <f>'12-AbandonedPlant'!G21</f>
        <v>0</v>
      </c>
    </row>
    <row r="10" spans="1:10" x14ac:dyDescent="0.25">
      <c r="A10" s="121"/>
      <c r="B10" s="14"/>
      <c r="C10" s="120"/>
      <c r="D10" s="14"/>
      <c r="E10" s="14"/>
      <c r="F10" s="14"/>
      <c r="G10" s="14"/>
      <c r="H10" s="14"/>
      <c r="I10" s="14"/>
      <c r="J10" s="65"/>
    </row>
    <row r="11" spans="1:10" x14ac:dyDescent="0.25">
      <c r="A11" s="121"/>
      <c r="B11" s="14"/>
      <c r="C11" s="46" t="s">
        <v>305</v>
      </c>
      <c r="D11" s="14"/>
      <c r="E11" s="14"/>
      <c r="F11" s="14"/>
      <c r="G11" s="14"/>
      <c r="H11" s="14"/>
      <c r="I11" s="14"/>
      <c r="J11" s="65"/>
    </row>
    <row r="12" spans="1:10" x14ac:dyDescent="0.25">
      <c r="A12" s="121">
        <f>A9+1</f>
        <v>5</v>
      </c>
      <c r="B12" s="14"/>
      <c r="C12" s="47" t="s">
        <v>102</v>
      </c>
      <c r="D12" s="14"/>
      <c r="E12" s="14"/>
      <c r="F12" s="14" t="s">
        <v>10</v>
      </c>
      <c r="G12" s="14"/>
      <c r="H12" s="120" t="str">
        <f>"13-WorkCap, Line "&amp;'13-WorkCap'!A27&amp;""</f>
        <v>13-WorkCap, Line 17</v>
      </c>
      <c r="I12" s="14"/>
      <c r="J12" s="65" t="e">
        <f>'13-WorkCap'!F27</f>
        <v>#DIV/0!</v>
      </c>
    </row>
    <row r="13" spans="1:10" x14ac:dyDescent="0.25">
      <c r="A13" s="121">
        <f>A12+1</f>
        <v>6</v>
      </c>
      <c r="B13" s="14"/>
      <c r="C13" s="124" t="s">
        <v>103</v>
      </c>
      <c r="D13" s="14"/>
      <c r="E13" s="14"/>
      <c r="F13" s="14" t="s">
        <v>10</v>
      </c>
      <c r="G13" s="14"/>
      <c r="H13" s="120" t="str">
        <f>"13-WorkCap, Line "&amp;'13-WorkCap'!A51&amp;""</f>
        <v>13-WorkCap, Line 33</v>
      </c>
      <c r="I13" s="14"/>
      <c r="J13" s="65" t="e">
        <f>'13-WorkCap'!F51</f>
        <v>#DIV/0!</v>
      </c>
    </row>
    <row r="14" spans="1:10" x14ac:dyDescent="0.25">
      <c r="A14" s="121">
        <f>A13+1</f>
        <v>7</v>
      </c>
      <c r="B14" s="14"/>
      <c r="C14" s="47" t="s">
        <v>191</v>
      </c>
      <c r="D14" s="14"/>
      <c r="E14" s="14"/>
      <c r="F14" s="553" t="s">
        <v>2761</v>
      </c>
      <c r="G14" s="14"/>
      <c r="H14" s="14" t="str">
        <f>"1-Base TRR Line "&amp;'1-BaseTRR'!A17&amp;""</f>
        <v>1-Base TRR Line 7</v>
      </c>
      <c r="I14" s="14"/>
      <c r="J14" s="112" t="e">
        <f>'1-BaseTRR'!K17</f>
        <v>#DIV/0!</v>
      </c>
    </row>
    <row r="15" spans="1:10" x14ac:dyDescent="0.25">
      <c r="A15" s="121">
        <f>A14+1</f>
        <v>8</v>
      </c>
      <c r="B15" s="14"/>
      <c r="C15" s="47" t="s">
        <v>101</v>
      </c>
      <c r="D15" s="14"/>
      <c r="E15" s="14"/>
      <c r="F15" s="14"/>
      <c r="G15" s="14"/>
      <c r="H15" s="14" t="str">
        <f>"Line "&amp;A12&amp;" + Line "&amp;A13&amp;" + Line "&amp;A14&amp;""</f>
        <v>Line 5 + Line 6 + Line 7</v>
      </c>
      <c r="I15" s="14"/>
      <c r="J15" s="65" t="e">
        <f>SUM(J12:J14)</f>
        <v>#DIV/0!</v>
      </c>
    </row>
    <row r="16" spans="1:10" x14ac:dyDescent="0.25">
      <c r="A16" s="121"/>
      <c r="B16" s="14"/>
      <c r="C16" s="47"/>
      <c r="D16" s="14"/>
      <c r="E16" s="14"/>
      <c r="F16" s="14"/>
      <c r="G16" s="14"/>
      <c r="H16" s="14"/>
      <c r="I16" s="14"/>
      <c r="J16" s="65"/>
    </row>
    <row r="17" spans="1:10" x14ac:dyDescent="0.25">
      <c r="A17" s="121"/>
      <c r="B17" s="14"/>
      <c r="C17" s="1161" t="s">
        <v>306</v>
      </c>
      <c r="D17" s="14"/>
      <c r="E17" s="14"/>
      <c r="F17" s="14"/>
      <c r="G17" s="14"/>
      <c r="H17" s="14"/>
      <c r="I17" s="14"/>
      <c r="J17" s="65"/>
    </row>
    <row r="18" spans="1:10" x14ac:dyDescent="0.25">
      <c r="A18" s="121">
        <f>A15+1</f>
        <v>9</v>
      </c>
      <c r="B18" s="14"/>
      <c r="C18" s="550" t="s">
        <v>1894</v>
      </c>
      <c r="D18" s="14"/>
      <c r="E18" s="14"/>
      <c r="F18" s="14" t="s">
        <v>10</v>
      </c>
      <c r="G18" s="14" t="s">
        <v>168</v>
      </c>
      <c r="H18" s="120" t="str">
        <f>"8-AccDep, Line "&amp;'8-AccDep'!A25&amp;", Col. 12"</f>
        <v>8-AccDep, Line 14, Col. 12</v>
      </c>
      <c r="I18" s="14"/>
      <c r="J18" s="65" t="e">
        <f>-'8-AccDep'!N25</f>
        <v>#DIV/0!</v>
      </c>
    </row>
    <row r="19" spans="1:10" x14ac:dyDescent="0.25">
      <c r="A19" s="121">
        <f>A18+1</f>
        <v>10</v>
      </c>
      <c r="B19" s="14"/>
      <c r="C19" s="550" t="s">
        <v>1895</v>
      </c>
      <c r="D19" s="14"/>
      <c r="E19" s="14"/>
      <c r="F19" s="14" t="s">
        <v>172</v>
      </c>
      <c r="G19" s="14" t="s">
        <v>168</v>
      </c>
      <c r="H19" s="120" t="str">
        <f>"8-AccDep, Line "&amp;'8-AccDep'!A35&amp;", Col. 5"</f>
        <v>8-AccDep, Line 17, Col. 5</v>
      </c>
      <c r="I19" s="14"/>
      <c r="J19" s="65">
        <f>-'8-AccDep'!G35</f>
        <v>0</v>
      </c>
    </row>
    <row r="20" spans="1:10" x14ac:dyDescent="0.25">
      <c r="A20" s="121">
        <f>A19+1</f>
        <v>11</v>
      </c>
      <c r="B20" s="14"/>
      <c r="C20" s="47" t="s">
        <v>338</v>
      </c>
      <c r="D20" s="22"/>
      <c r="E20" s="14"/>
      <c r="F20" s="14" t="s">
        <v>172</v>
      </c>
      <c r="G20" s="14" t="s">
        <v>168</v>
      </c>
      <c r="H20" s="120" t="str">
        <f>"8-AccDep, Line "&amp;'8-AccDep'!A53&amp;""</f>
        <v>8-AccDep, Line 23</v>
      </c>
      <c r="I20" s="14"/>
      <c r="J20" s="112" t="e">
        <f>-'8-AccDep'!F53</f>
        <v>#DIV/0!</v>
      </c>
    </row>
    <row r="21" spans="1:10" x14ac:dyDescent="0.25">
      <c r="A21" s="121">
        <f>A20+1</f>
        <v>12</v>
      </c>
      <c r="B21" s="14"/>
      <c r="C21" s="1162" t="s">
        <v>181</v>
      </c>
      <c r="D21" s="22"/>
      <c r="E21" s="14"/>
      <c r="F21" s="14"/>
      <c r="G21" s="14"/>
      <c r="H21" s="14" t="str">
        <f>"Line "&amp;A18&amp;" + Line "&amp;A19&amp;" + Line "&amp;A20&amp;""</f>
        <v>Line 9 + Line 10 + Line 11</v>
      </c>
      <c r="I21" s="14"/>
      <c r="J21" s="65" t="e">
        <f>SUM(J18:J20)</f>
        <v>#DIV/0!</v>
      </c>
    </row>
    <row r="22" spans="1:10" x14ac:dyDescent="0.25">
      <c r="A22" s="121"/>
      <c r="B22" s="14"/>
      <c r="C22" s="15"/>
      <c r="D22" s="14"/>
      <c r="E22" s="14"/>
      <c r="F22" s="14"/>
      <c r="G22" s="14"/>
      <c r="H22" s="14"/>
      <c r="I22" s="14"/>
      <c r="J22" s="65"/>
    </row>
    <row r="23" spans="1:10" x14ac:dyDescent="0.25">
      <c r="A23" s="121">
        <f>A21+1</f>
        <v>13</v>
      </c>
      <c r="B23" s="14"/>
      <c r="C23" s="1148" t="s">
        <v>182</v>
      </c>
      <c r="D23" s="14"/>
      <c r="E23" s="14"/>
      <c r="F23" s="14" t="s">
        <v>172</v>
      </c>
      <c r="G23" s="14"/>
      <c r="H23" s="120" t="str">
        <f>"9-ADIT, Line "&amp;'9-ADIT'!A24&amp;""</f>
        <v>9-ADIT, Line 15</v>
      </c>
      <c r="I23" s="14"/>
      <c r="J23" s="65" t="e">
        <f>'9-ADIT'!D24</f>
        <v>#DIV/0!</v>
      </c>
    </row>
    <row r="24" spans="1:10" x14ac:dyDescent="0.25">
      <c r="A24" s="121">
        <f>A23+1</f>
        <v>14</v>
      </c>
      <c r="B24" s="14"/>
      <c r="C24" s="120" t="s">
        <v>266</v>
      </c>
      <c r="D24" s="14"/>
      <c r="E24" s="14"/>
      <c r="F24" s="14" t="s">
        <v>10</v>
      </c>
      <c r="G24" s="14"/>
      <c r="H24" s="120" t="str">
        <f>"14-IncentivePlant, L "&amp;'14-IncentivePlant'!A37&amp;", C2"</f>
        <v>14-IncentivePlant, L 12, C2</v>
      </c>
      <c r="I24" s="14"/>
      <c r="J24" s="65">
        <f>'14-IncentivePlant'!F37</f>
        <v>0</v>
      </c>
    </row>
    <row r="25" spans="1:10" x14ac:dyDescent="0.25">
      <c r="A25" s="121">
        <f>A24+1</f>
        <v>15</v>
      </c>
      <c r="B25" s="14"/>
      <c r="C25" s="1148" t="s">
        <v>64</v>
      </c>
      <c r="D25" s="14"/>
      <c r="E25" s="14"/>
      <c r="F25" s="14" t="s">
        <v>172</v>
      </c>
      <c r="G25" s="14" t="s">
        <v>168</v>
      </c>
      <c r="H25" s="120" t="str">
        <f>"22-NUCs, Line "&amp;'22-NUCs'!A17&amp;""</f>
        <v>22-NUCs, Line 9</v>
      </c>
      <c r="I25" s="14"/>
      <c r="J25" s="65">
        <f>-'22-NUCs'!E17</f>
        <v>0</v>
      </c>
    </row>
    <row r="26" spans="1:10" x14ac:dyDescent="0.25">
      <c r="A26" s="121" t="s">
        <v>903</v>
      </c>
      <c r="B26" s="14"/>
      <c r="C26" s="1150" t="s">
        <v>2425</v>
      </c>
      <c r="D26" s="14"/>
      <c r="E26" s="14"/>
      <c r="F26" s="14"/>
      <c r="G26" s="14"/>
      <c r="H26" s="15" t="str">
        <f>"34-UnfundedReserves, Line "&amp;'34-UnfundedReserves'!A10&amp;""</f>
        <v>34-UnfundedReserves, Line 7</v>
      </c>
      <c r="I26" s="14"/>
      <c r="J26" s="65" t="e">
        <f>'34-UnfundedReserves'!K10</f>
        <v>#DIV/0!</v>
      </c>
    </row>
    <row r="27" spans="1:10" x14ac:dyDescent="0.25">
      <c r="A27" s="121">
        <v>16</v>
      </c>
      <c r="B27" s="14"/>
      <c r="C27" s="1148" t="s">
        <v>398</v>
      </c>
      <c r="D27" s="14"/>
      <c r="E27" s="14"/>
      <c r="F27" s="14" t="s">
        <v>172</v>
      </c>
      <c r="G27" s="14"/>
      <c r="H27" s="120" t="str">
        <f>"23-RegAssets, Line "&amp;'23-RegAssets'!A18&amp;""</f>
        <v>23-RegAssets, Line 15</v>
      </c>
      <c r="I27" s="14"/>
      <c r="J27" s="65">
        <f>'23-RegAssets'!E18</f>
        <v>0</v>
      </c>
    </row>
    <row r="28" spans="1:10" x14ac:dyDescent="0.25">
      <c r="A28" s="121"/>
      <c r="B28" s="14"/>
      <c r="C28" s="1148"/>
      <c r="D28" s="14"/>
      <c r="E28" s="14"/>
      <c r="F28" s="14"/>
      <c r="G28" s="14"/>
      <c r="H28" s="14"/>
      <c r="I28" s="14"/>
      <c r="J28" s="14"/>
    </row>
    <row r="29" spans="1:10" x14ac:dyDescent="0.25">
      <c r="A29" s="121">
        <v>17</v>
      </c>
      <c r="B29" s="14"/>
      <c r="C29" s="14" t="s">
        <v>192</v>
      </c>
      <c r="D29" s="14"/>
      <c r="E29" s="14"/>
      <c r="F29" s="14"/>
      <c r="G29" s="14"/>
      <c r="H29" s="14" t="str">
        <f>"L"&amp;A6&amp;"+L"&amp;A7&amp;"+L"&amp;A8&amp;"+L"&amp;A9&amp;"+L"&amp;A15&amp;"+L"&amp;A21&amp;"+"</f>
        <v>L1+L2+L3+L4+L8+L12+</v>
      </c>
      <c r="I29" s="14"/>
      <c r="J29" s="65" t="e">
        <f>J6+ J7+J8+J9+J15+J21+J23+J24+J25+J26+J27</f>
        <v>#DIV/0!</v>
      </c>
    </row>
    <row r="30" spans="1:10" x14ac:dyDescent="0.25">
      <c r="A30" s="121"/>
      <c r="B30" s="14"/>
      <c r="C30" s="14"/>
      <c r="D30" s="14"/>
      <c r="E30" s="14"/>
      <c r="F30" s="14"/>
      <c r="G30" s="14"/>
      <c r="H30" s="14" t="str">
        <f>"L"&amp;A23&amp;"+L"&amp;A24&amp;"+L"&amp;A25&amp;"+L"&amp;A26&amp;"+L"&amp;A27&amp;""</f>
        <v>L13+L14+L15+L15a+L16</v>
      </c>
      <c r="I30" s="14"/>
      <c r="J30" s="65"/>
    </row>
    <row r="31" spans="1:10" x14ac:dyDescent="0.25">
      <c r="A31" s="121"/>
      <c r="B31" s="45" t="s">
        <v>2786</v>
      </c>
      <c r="D31" s="14"/>
      <c r="E31" s="14"/>
      <c r="F31" s="14"/>
      <c r="G31" s="14"/>
      <c r="H31" s="14"/>
      <c r="I31" s="14"/>
      <c r="J31" s="65"/>
    </row>
    <row r="32" spans="1:10" x14ac:dyDescent="0.25">
      <c r="A32" s="661" t="s">
        <v>350</v>
      </c>
      <c r="B32" s="14"/>
      <c r="C32" s="45"/>
      <c r="D32" s="14"/>
      <c r="E32" s="14"/>
      <c r="F32" s="14"/>
      <c r="G32" s="14"/>
      <c r="H32" s="14"/>
      <c r="I32" s="14"/>
      <c r="J32" s="65"/>
    </row>
    <row r="33" spans="1:10" x14ac:dyDescent="0.25">
      <c r="A33" s="121">
        <f>A29+1</f>
        <v>18</v>
      </c>
      <c r="B33" s="14"/>
      <c r="C33" s="14" t="s">
        <v>62</v>
      </c>
      <c r="D33" s="14"/>
      <c r="E33" s="14"/>
      <c r="F33" s="14"/>
      <c r="G33" s="553" t="s">
        <v>2229</v>
      </c>
      <c r="H33" s="553" t="str">
        <f>"Instruction 1, Line "&amp;B98&amp;""</f>
        <v>Instruction 1, Line j</v>
      </c>
      <c r="I33" s="14"/>
      <c r="J33" s="460" t="e">
        <f>E98</f>
        <v>#DIV/0!</v>
      </c>
    </row>
    <row r="34" spans="1:10" x14ac:dyDescent="0.25">
      <c r="A34" s="2">
        <f>A33+1</f>
        <v>19</v>
      </c>
      <c r="C34" s="15" t="s">
        <v>63</v>
      </c>
      <c r="D34" s="15"/>
      <c r="E34" s="15"/>
      <c r="F34" s="15"/>
      <c r="G34" s="15"/>
      <c r="H34" t="str">
        <f>"Line "&amp;A29&amp;" * Line "&amp;A33&amp;""</f>
        <v>Line 17 * Line 18</v>
      </c>
      <c r="J34" s="48" t="e">
        <f>J29*J33</f>
        <v>#DIV/0!</v>
      </c>
    </row>
    <row r="35" spans="1:10" x14ac:dyDescent="0.25">
      <c r="A35" s="2"/>
      <c r="B35" s="16"/>
    </row>
    <row r="36" spans="1:10" x14ac:dyDescent="0.25">
      <c r="A36" s="2"/>
      <c r="B36" s="1" t="s">
        <v>2787</v>
      </c>
    </row>
    <row r="37" spans="1:10" x14ac:dyDescent="0.25">
      <c r="A37" s="121"/>
      <c r="B37" s="124"/>
      <c r="C37" s="14"/>
      <c r="D37" s="14"/>
      <c r="E37" s="14"/>
      <c r="F37" s="14"/>
      <c r="G37" s="14"/>
      <c r="H37" s="14"/>
      <c r="I37" s="14"/>
      <c r="J37" s="14"/>
    </row>
    <row r="38" spans="1:10" x14ac:dyDescent="0.25">
      <c r="A38" s="121">
        <f>A34+1</f>
        <v>20</v>
      </c>
      <c r="B38" s="14"/>
      <c r="C38" s="553" t="s">
        <v>2764</v>
      </c>
      <c r="D38" s="14"/>
      <c r="E38" s="14"/>
      <c r="F38" s="14"/>
      <c r="G38" s="14"/>
      <c r="H38" s="14"/>
      <c r="I38" s="14"/>
      <c r="J38" s="65" t="e">
        <f>(((J29*J42) + J45) *(J43/(1-J43)))+(J44/(1-J43))</f>
        <v>#DIV/0!</v>
      </c>
    </row>
    <row r="39" spans="1:10" x14ac:dyDescent="0.25">
      <c r="A39" s="121"/>
      <c r="B39" s="14"/>
      <c r="C39" s="14"/>
      <c r="D39" s="14"/>
      <c r="E39" s="14"/>
      <c r="F39" s="14"/>
      <c r="G39" s="14"/>
      <c r="H39" s="14"/>
      <c r="I39" s="14"/>
      <c r="J39" s="15"/>
    </row>
    <row r="40" spans="1:10" x14ac:dyDescent="0.25">
      <c r="A40" s="121"/>
      <c r="B40" s="14"/>
      <c r="C40" s="14"/>
      <c r="D40" s="14" t="s">
        <v>240</v>
      </c>
      <c r="E40" s="14"/>
      <c r="F40" s="14"/>
      <c r="G40" s="14"/>
      <c r="H40" s="14"/>
      <c r="I40" s="14"/>
      <c r="J40" s="14"/>
    </row>
    <row r="41" spans="1:10" x14ac:dyDescent="0.25">
      <c r="A41" s="121">
        <f>A38+1</f>
        <v>21</v>
      </c>
      <c r="B41" s="14"/>
      <c r="C41" s="14"/>
      <c r="D41" s="124" t="s">
        <v>241</v>
      </c>
      <c r="E41" s="14"/>
      <c r="F41" s="14"/>
      <c r="G41" s="14"/>
      <c r="H41" s="14" t="str">
        <f>"Line "&amp;A29&amp;""</f>
        <v>Line 17</v>
      </c>
      <c r="I41" s="14"/>
      <c r="J41" s="65" t="e">
        <f>J29</f>
        <v>#DIV/0!</v>
      </c>
    </row>
    <row r="42" spans="1:10" x14ac:dyDescent="0.25">
      <c r="A42" s="121">
        <f>A41+1</f>
        <v>22</v>
      </c>
      <c r="B42" s="14"/>
      <c r="C42" s="14"/>
      <c r="D42" s="550" t="s">
        <v>1992</v>
      </c>
      <c r="E42" s="14"/>
      <c r="F42" s="14"/>
      <c r="G42" s="553" t="s">
        <v>1954</v>
      </c>
      <c r="H42" s="553" t="str">
        <f>"Instruction 1, Line "&amp;B103&amp;""</f>
        <v>Instruction 1, Line k</v>
      </c>
      <c r="I42" s="14"/>
      <c r="J42" s="72" t="e">
        <f>E103</f>
        <v>#DIV/0!</v>
      </c>
    </row>
    <row r="43" spans="1:10" x14ac:dyDescent="0.25">
      <c r="A43" s="121">
        <f>A42+1</f>
        <v>23</v>
      </c>
      <c r="B43" s="14"/>
      <c r="C43" s="14"/>
      <c r="D43" s="124" t="s">
        <v>242</v>
      </c>
      <c r="E43" s="14"/>
      <c r="F43" s="14"/>
      <c r="G43" s="14"/>
      <c r="H43" s="14" t="str">
        <f>"1-Base TRR L "&amp;'1-BaseTRR'!A102&amp;""</f>
        <v>1-Base TRR L 58</v>
      </c>
      <c r="I43" s="14"/>
      <c r="J43" s="72">
        <f>'1-BaseTRR'!K102</f>
        <v>0</v>
      </c>
    </row>
    <row r="44" spans="1:10" x14ac:dyDescent="0.25">
      <c r="A44" s="121">
        <f>A43+1</f>
        <v>24</v>
      </c>
      <c r="B44" s="14"/>
      <c r="C44" s="14"/>
      <c r="D44" s="124" t="s">
        <v>243</v>
      </c>
      <c r="E44" s="14"/>
      <c r="F44" s="14"/>
      <c r="G44" s="14"/>
      <c r="H44" s="14" t="str">
        <f>"1-Base TRR L "&amp;'1-BaseTRR'!A108&amp;""</f>
        <v>1-Base TRR L 62</v>
      </c>
      <c r="I44" s="14"/>
      <c r="J44" s="65">
        <f>'1-BaseTRR'!K108</f>
        <v>2086200</v>
      </c>
    </row>
    <row r="45" spans="1:10" x14ac:dyDescent="0.25">
      <c r="A45" s="121">
        <f>A44+1</f>
        <v>25</v>
      </c>
      <c r="B45" s="14"/>
      <c r="C45" s="14"/>
      <c r="D45" s="124" t="s">
        <v>1988</v>
      </c>
      <c r="E45" s="14"/>
      <c r="F45" s="14"/>
      <c r="G45" s="14"/>
      <c r="H45" s="14" t="str">
        <f>"1-Base TRR L "&amp;'1-BaseTRR'!A112&amp;""</f>
        <v>1-Base TRR L 64</v>
      </c>
      <c r="I45" s="14"/>
      <c r="J45" s="566">
        <f>'1-BaseTRR'!K119</f>
        <v>0</v>
      </c>
    </row>
    <row r="46" spans="1:10" x14ac:dyDescent="0.25">
      <c r="A46" s="121"/>
      <c r="B46" s="124"/>
      <c r="C46" s="14"/>
      <c r="D46" s="14"/>
      <c r="E46" s="14"/>
      <c r="F46" s="14"/>
      <c r="G46" s="14"/>
      <c r="H46" s="14"/>
      <c r="I46" s="14"/>
      <c r="J46" s="14"/>
    </row>
    <row r="47" spans="1:10" x14ac:dyDescent="0.25">
      <c r="A47" s="121"/>
      <c r="B47" s="45" t="s">
        <v>2788</v>
      </c>
      <c r="D47" s="14"/>
      <c r="E47" s="14"/>
      <c r="F47" s="14"/>
      <c r="G47" s="14"/>
      <c r="H47" s="14"/>
      <c r="I47" s="14"/>
      <c r="J47" s="14"/>
    </row>
    <row r="48" spans="1:10" x14ac:dyDescent="0.25">
      <c r="A48" s="121">
        <f>A45+1</f>
        <v>26</v>
      </c>
      <c r="B48" s="124"/>
      <c r="C48" s="14" t="s">
        <v>112</v>
      </c>
      <c r="D48" s="14"/>
      <c r="E48" s="14"/>
      <c r="F48" s="14"/>
      <c r="G48" s="14"/>
      <c r="H48" s="14" t="str">
        <f>"1-Base TRR L "&amp;'1-BaseTRR'!A124&amp;""</f>
        <v>1-Base TRR L 65</v>
      </c>
      <c r="I48" s="14"/>
      <c r="J48" s="65" t="e">
        <f>'1-BaseTRR'!K124</f>
        <v>#DIV/0!</v>
      </c>
    </row>
    <row r="49" spans="1:10" x14ac:dyDescent="0.25">
      <c r="A49" s="121">
        <f t="shared" ref="A49:A60" si="0">A48+1</f>
        <v>27</v>
      </c>
      <c r="B49" s="124"/>
      <c r="C49" s="15" t="s">
        <v>290</v>
      </c>
      <c r="D49" s="14"/>
      <c r="E49" s="14"/>
      <c r="F49" s="14"/>
      <c r="G49" s="14"/>
      <c r="H49" s="14" t="str">
        <f>"1-Base TRR L "&amp;'1-BaseTRR'!A125&amp;""</f>
        <v>1-Base TRR L 66</v>
      </c>
      <c r="I49" s="14"/>
      <c r="J49" s="65" t="e">
        <f>'1-BaseTRR'!K125</f>
        <v>#DIV/0!</v>
      </c>
    </row>
    <row r="50" spans="1:10" x14ac:dyDescent="0.25">
      <c r="A50" s="121" t="s">
        <v>2801</v>
      </c>
      <c r="B50" s="124"/>
      <c r="C50" s="15" t="s">
        <v>2802</v>
      </c>
      <c r="D50" s="14"/>
      <c r="E50" s="14"/>
      <c r="F50" s="14"/>
      <c r="G50" s="14"/>
      <c r="H50" s="14" t="str">
        <f>"35-PBOPs L "&amp;'35-PBOPs'!A38&amp;""</f>
        <v>35-PBOPs L 14</v>
      </c>
      <c r="I50" s="14"/>
      <c r="J50" s="65" t="e">
        <f>'35-PBOPs'!G38</f>
        <v>#DIV/0!</v>
      </c>
    </row>
    <row r="51" spans="1:10" x14ac:dyDescent="0.25">
      <c r="A51" s="121">
        <f>A49+1</f>
        <v>28</v>
      </c>
      <c r="B51" s="124"/>
      <c r="C51" s="14" t="s">
        <v>65</v>
      </c>
      <c r="D51" s="14"/>
      <c r="E51" s="14"/>
      <c r="F51" s="14"/>
      <c r="G51" s="14"/>
      <c r="H51" s="14" t="str">
        <f>"1-Base TRR L "&amp;'1-BaseTRR'!A126&amp;""</f>
        <v>1-Base TRR L 67</v>
      </c>
      <c r="I51" s="14"/>
      <c r="J51" s="65">
        <f>'1-BaseTRR'!K126</f>
        <v>0</v>
      </c>
    </row>
    <row r="52" spans="1:10" x14ac:dyDescent="0.25">
      <c r="A52" s="121">
        <f t="shared" si="0"/>
        <v>29</v>
      </c>
      <c r="B52" s="124"/>
      <c r="C52" s="15" t="s">
        <v>276</v>
      </c>
      <c r="D52" s="14"/>
      <c r="E52" s="14"/>
      <c r="F52" s="14"/>
      <c r="G52" s="14"/>
      <c r="H52" s="14" t="str">
        <f>"1-Base TRR L "&amp;'1-BaseTRR'!A127&amp;""</f>
        <v>1-Base TRR L 68</v>
      </c>
      <c r="I52" s="14"/>
      <c r="J52" s="65" t="e">
        <f>'1-BaseTRR'!K127</f>
        <v>#DIV/0!</v>
      </c>
    </row>
    <row r="53" spans="1:10" x14ac:dyDescent="0.25">
      <c r="A53" s="121">
        <f t="shared" si="0"/>
        <v>30</v>
      </c>
      <c r="B53" s="124"/>
      <c r="C53" s="15" t="s">
        <v>322</v>
      </c>
      <c r="D53" s="14"/>
      <c r="E53" s="14"/>
      <c r="F53" s="14"/>
      <c r="G53" s="14"/>
      <c r="H53" s="14" t="str">
        <f>"1-Base TRR L "&amp;'1-BaseTRR'!A128&amp;""</f>
        <v>1-Base TRR L 69</v>
      </c>
      <c r="I53" s="14"/>
      <c r="J53" s="65">
        <f>'1-BaseTRR'!K128</f>
        <v>0</v>
      </c>
    </row>
    <row r="54" spans="1:10" x14ac:dyDescent="0.25">
      <c r="A54" s="121">
        <f t="shared" si="0"/>
        <v>31</v>
      </c>
      <c r="B54" s="124"/>
      <c r="C54" s="15" t="s">
        <v>89</v>
      </c>
      <c r="D54" s="14"/>
      <c r="E54" s="14"/>
      <c r="F54" s="14"/>
      <c r="G54" s="14"/>
      <c r="H54" s="14" t="str">
        <f>"1-Base TRR L "&amp;'1-BaseTRR'!A129&amp;""</f>
        <v>1-Base TRR L 70</v>
      </c>
      <c r="I54" s="14"/>
      <c r="J54" s="65" t="e">
        <f>'1-BaseTRR'!K129</f>
        <v>#DIV/0!</v>
      </c>
    </row>
    <row r="55" spans="1:10" x14ac:dyDescent="0.25">
      <c r="A55" s="121">
        <f t="shared" si="0"/>
        <v>32</v>
      </c>
      <c r="B55" s="124"/>
      <c r="C55" s="14" t="s">
        <v>11</v>
      </c>
      <c r="D55" s="14"/>
      <c r="E55" s="14"/>
      <c r="F55" s="14"/>
      <c r="G55" s="15"/>
      <c r="H55" s="14" t="str">
        <f>"1-Base TRR L "&amp;'1-BaseTRR'!A130&amp;""</f>
        <v>1-Base TRR L 71</v>
      </c>
      <c r="I55" s="14"/>
      <c r="J55" s="65">
        <f>'1-BaseTRR'!K130</f>
        <v>0</v>
      </c>
    </row>
    <row r="56" spans="1:10" x14ac:dyDescent="0.25">
      <c r="A56" s="121">
        <f t="shared" si="0"/>
        <v>33</v>
      </c>
      <c r="B56" s="124"/>
      <c r="C56" s="14" t="s">
        <v>97</v>
      </c>
      <c r="D56" s="14"/>
      <c r="E56" s="14"/>
      <c r="F56" s="14"/>
      <c r="G56" s="14"/>
      <c r="H56" s="14" t="str">
        <f>"Line "&amp;A34&amp;""</f>
        <v>Line 19</v>
      </c>
      <c r="I56" s="14"/>
      <c r="J56" s="65" t="e">
        <f>J34</f>
        <v>#DIV/0!</v>
      </c>
    </row>
    <row r="57" spans="1:10" x14ac:dyDescent="0.25">
      <c r="A57" s="121">
        <f t="shared" si="0"/>
        <v>34</v>
      </c>
      <c r="B57" s="124"/>
      <c r="C57" s="14" t="s">
        <v>5</v>
      </c>
      <c r="D57" s="14"/>
      <c r="E57" s="14"/>
      <c r="F57" s="14"/>
      <c r="G57" s="14"/>
      <c r="H57" s="14" t="str">
        <f>"Line "&amp;A38&amp;""</f>
        <v>Line 20</v>
      </c>
      <c r="I57" s="14"/>
      <c r="J57" s="48" t="e">
        <f>J38</f>
        <v>#DIV/0!</v>
      </c>
    </row>
    <row r="58" spans="1:10" x14ac:dyDescent="0.25">
      <c r="A58" s="121">
        <f t="shared" si="0"/>
        <v>35</v>
      </c>
      <c r="B58" s="124"/>
      <c r="C58" s="15" t="s">
        <v>393</v>
      </c>
      <c r="D58" s="14"/>
      <c r="E58" s="14"/>
      <c r="F58" s="14"/>
      <c r="G58" s="14"/>
      <c r="H58" s="14" t="str">
        <f>"1-Base TRR L "&amp;'1-BaseTRR'!A133&amp;""</f>
        <v>1-Base TRR L 74</v>
      </c>
      <c r="I58" s="14"/>
      <c r="J58" s="48">
        <f>'1-BaseTRR'!K133</f>
        <v>0</v>
      </c>
    </row>
    <row r="59" spans="1:10" x14ac:dyDescent="0.25">
      <c r="A59" s="121">
        <f t="shared" si="0"/>
        <v>36</v>
      </c>
      <c r="B59" s="124"/>
      <c r="C59" s="705" t="s">
        <v>1972</v>
      </c>
      <c r="D59" s="847"/>
      <c r="E59" s="14"/>
      <c r="F59" s="14"/>
      <c r="G59" s="14"/>
      <c r="H59" s="14" t="str">
        <f>"1-Base TRR L "&amp;'1-BaseTRR'!A134&amp;""</f>
        <v>1-Base TRR L 75</v>
      </c>
      <c r="I59" s="14"/>
      <c r="J59" s="112">
        <f>'1-BaseTRR'!K134</f>
        <v>0</v>
      </c>
    </row>
    <row r="60" spans="1:10" x14ac:dyDescent="0.25">
      <c r="A60" s="121">
        <f t="shared" si="0"/>
        <v>37</v>
      </c>
      <c r="B60" s="124"/>
      <c r="C60" s="553" t="s">
        <v>1687</v>
      </c>
      <c r="D60" s="14"/>
      <c r="E60" s="14"/>
      <c r="F60" s="14"/>
      <c r="G60" s="14"/>
      <c r="H60" s="14" t="str">
        <f>"Sum Line "&amp;A48&amp;" to Line "&amp;A59&amp;""</f>
        <v>Sum Line 26 to Line 36</v>
      </c>
      <c r="I60" s="14"/>
      <c r="J60" s="65" t="e">
        <f>SUM(J48:J59)</f>
        <v>#DIV/0!</v>
      </c>
    </row>
    <row r="61" spans="1:10" x14ac:dyDescent="0.25">
      <c r="A61" s="121"/>
      <c r="B61" s="124"/>
      <c r="C61" s="14"/>
      <c r="D61" s="14"/>
      <c r="E61" s="14"/>
      <c r="F61" s="14"/>
      <c r="G61" s="14"/>
      <c r="H61" s="14"/>
      <c r="I61" s="14"/>
      <c r="J61" s="65"/>
    </row>
    <row r="62" spans="1:10" ht="12.75" customHeight="1" x14ac:dyDescent="0.25">
      <c r="A62" s="121">
        <f>A60+1</f>
        <v>38</v>
      </c>
      <c r="B62" s="124"/>
      <c r="C62" s="553" t="s">
        <v>1661</v>
      </c>
      <c r="D62" s="14"/>
      <c r="E62" s="14"/>
      <c r="F62" s="14"/>
      <c r="G62" s="14"/>
      <c r="H62" s="14" t="str">
        <f>"15-IncentiveAdder L "&amp;'15-IncentiveAdder'!A59&amp;""</f>
        <v>15-IncentiveAdder L 20</v>
      </c>
      <c r="I62" s="14"/>
      <c r="J62" s="65" t="e">
        <f>'15-IncentiveAdder'!G59</f>
        <v>#DIV/0!</v>
      </c>
    </row>
    <row r="63" spans="1:10" x14ac:dyDescent="0.25">
      <c r="A63" s="121"/>
      <c r="B63" s="124"/>
      <c r="C63" s="15"/>
      <c r="D63" s="14"/>
      <c r="E63" s="14"/>
      <c r="F63" s="14"/>
      <c r="G63" s="14"/>
      <c r="H63" s="14"/>
      <c r="I63" s="14"/>
      <c r="J63" s="65"/>
    </row>
    <row r="64" spans="1:10" x14ac:dyDescent="0.25">
      <c r="A64" s="121">
        <f>A62+1</f>
        <v>39</v>
      </c>
      <c r="B64" s="124"/>
      <c r="C64" s="553" t="s">
        <v>2770</v>
      </c>
      <c r="D64" s="14"/>
      <c r="E64" s="14"/>
      <c r="F64" s="14"/>
      <c r="G64" s="14"/>
      <c r="H64" s="14" t="str">
        <f>"Line "&amp;A60&amp;" + Line "&amp;A62&amp;""</f>
        <v>Line 37 + Line 38</v>
      </c>
      <c r="I64" s="14"/>
      <c r="J64" s="65" t="e">
        <f>J60+J62</f>
        <v>#DIV/0!</v>
      </c>
    </row>
    <row r="65" spans="1:10" x14ac:dyDescent="0.25">
      <c r="A65" s="121"/>
      <c r="B65" s="124"/>
      <c r="C65" s="15"/>
      <c r="D65" s="14"/>
      <c r="E65" s="14"/>
      <c r="F65" s="14"/>
      <c r="G65" s="14"/>
      <c r="H65" s="14"/>
      <c r="I65" s="14"/>
      <c r="J65" s="65"/>
    </row>
    <row r="66" spans="1:10" x14ac:dyDescent="0.25">
      <c r="A66" s="121"/>
      <c r="B66" s="440" t="s">
        <v>2789</v>
      </c>
      <c r="C66" s="15"/>
      <c r="D66" s="14"/>
      <c r="E66" s="14"/>
      <c r="F66" s="14"/>
      <c r="G66" s="14"/>
      <c r="H66" s="14"/>
      <c r="I66" s="14"/>
      <c r="J66" s="65"/>
    </row>
    <row r="67" spans="1:10" x14ac:dyDescent="0.25">
      <c r="A67" s="55" t="s">
        <v>350</v>
      </c>
      <c r="B67" s="67"/>
      <c r="G67" s="53" t="s">
        <v>1263</v>
      </c>
    </row>
    <row r="68" spans="1:10" x14ac:dyDescent="0.25">
      <c r="A68" s="121">
        <f>A64+1</f>
        <v>40</v>
      </c>
      <c r="B68" s="1148"/>
      <c r="C68" s="14"/>
      <c r="D68" s="1151" t="s">
        <v>1688</v>
      </c>
      <c r="E68" s="65" t="e">
        <f>J64</f>
        <v>#DIV/0!</v>
      </c>
      <c r="F68" s="14"/>
      <c r="G68" s="14" t="str">
        <f>"Line "&amp;A64&amp;""</f>
        <v>Line 39</v>
      </c>
      <c r="H68" s="14"/>
      <c r="I68" s="14"/>
      <c r="J68" s="14"/>
    </row>
    <row r="69" spans="1:10" x14ac:dyDescent="0.25">
      <c r="A69" s="121">
        <f>A68+1</f>
        <v>41</v>
      </c>
      <c r="B69" s="1148"/>
      <c r="C69" s="14"/>
      <c r="D69" s="393" t="s">
        <v>1262</v>
      </c>
      <c r="E69" s="1153">
        <f>'28-FFU'!D22</f>
        <v>0</v>
      </c>
      <c r="F69" s="14"/>
      <c r="G69" s="14" t="str">
        <f>"28-FFU, L "&amp;'28-FFU'!A22&amp;""</f>
        <v>28-FFU, L 5</v>
      </c>
      <c r="H69" s="14"/>
      <c r="I69" s="14"/>
      <c r="J69" s="14"/>
    </row>
    <row r="70" spans="1:10" x14ac:dyDescent="0.25">
      <c r="A70" s="121">
        <f>A69+1</f>
        <v>42</v>
      </c>
      <c r="B70" s="1148"/>
      <c r="C70" s="14"/>
      <c r="D70" s="86" t="s">
        <v>257</v>
      </c>
      <c r="E70" s="65" t="e">
        <f>E68*'28-FFU'!D22</f>
        <v>#DIV/0!</v>
      </c>
      <c r="F70" s="14"/>
      <c r="G70" s="14" t="str">
        <f>"Line "&amp;A68&amp;" * Line "&amp;A69&amp;""</f>
        <v>Line 40 * Line 41</v>
      </c>
      <c r="H70" s="14"/>
      <c r="I70" s="14"/>
      <c r="J70" s="14"/>
    </row>
    <row r="71" spans="1:10" x14ac:dyDescent="0.25">
      <c r="A71" s="121">
        <f>A70+1</f>
        <v>43</v>
      </c>
      <c r="B71" s="1148"/>
      <c r="C71" s="14"/>
      <c r="D71" s="1151" t="s">
        <v>1985</v>
      </c>
      <c r="E71" s="1153">
        <f>'28-FFU'!E22</f>
        <v>0</v>
      </c>
      <c r="F71" s="14"/>
      <c r="G71" s="14" t="str">
        <f>"28-FFU, L "&amp;'28-FFU'!A22&amp;""</f>
        <v>28-FFU, L 5</v>
      </c>
      <c r="H71" s="14"/>
      <c r="I71" s="14"/>
      <c r="J71" s="14"/>
    </row>
    <row r="72" spans="1:10" x14ac:dyDescent="0.25">
      <c r="A72" s="121">
        <f>A71+1</f>
        <v>44</v>
      </c>
      <c r="B72" s="1148"/>
      <c r="C72" s="14"/>
      <c r="D72" s="1151" t="s">
        <v>1637</v>
      </c>
      <c r="E72" s="65" t="e">
        <f>E68*'28-FFU'!E22</f>
        <v>#DIV/0!</v>
      </c>
      <c r="F72" s="14"/>
      <c r="G72" s="14" t="str">
        <f>"Line "&amp;A70&amp;" * Line "&amp;A71&amp;""</f>
        <v>Line 42 * Line 43</v>
      </c>
      <c r="H72" s="14"/>
      <c r="I72" s="14"/>
      <c r="J72" s="14"/>
    </row>
    <row r="73" spans="1:10" x14ac:dyDescent="0.25">
      <c r="A73" s="121">
        <f>A72+1</f>
        <v>45</v>
      </c>
      <c r="B73" s="1148"/>
      <c r="C73" s="14"/>
      <c r="D73" s="1151" t="s">
        <v>1689</v>
      </c>
      <c r="E73" s="65" t="e">
        <f>E68+E70+E72</f>
        <v>#DIV/0!</v>
      </c>
      <c r="F73" s="14"/>
      <c r="G73" s="14" t="str">
        <f>"L "&amp;A68&amp;" + L "&amp;A70&amp;" + L "&amp;A72&amp;""</f>
        <v>L 40 + L 42 + L 44</v>
      </c>
      <c r="H73" s="14"/>
      <c r="I73" s="14"/>
      <c r="J73" s="14"/>
    </row>
    <row r="74" spans="1:10" x14ac:dyDescent="0.25">
      <c r="A74" s="14"/>
      <c r="B74" s="1163" t="s">
        <v>420</v>
      </c>
      <c r="C74" s="14"/>
      <c r="D74" s="86"/>
      <c r="E74" s="65"/>
      <c r="F74" s="14"/>
      <c r="G74" s="14"/>
      <c r="H74" s="724"/>
      <c r="I74" s="14"/>
      <c r="J74" s="14"/>
    </row>
    <row r="75" spans="1:10" x14ac:dyDescent="0.25">
      <c r="A75" s="121"/>
      <c r="B75" s="553" t="s">
        <v>1955</v>
      </c>
      <c r="C75" s="440"/>
      <c r="D75" s="86"/>
      <c r="E75" s="65"/>
      <c r="F75" s="14"/>
      <c r="G75" s="14"/>
      <c r="H75" s="14"/>
      <c r="I75" s="14"/>
      <c r="J75" s="14"/>
    </row>
    <row r="76" spans="1:10" x14ac:dyDescent="0.25">
      <c r="A76" s="121"/>
      <c r="B76" s="553" t="s">
        <v>1956</v>
      </c>
      <c r="C76" s="440"/>
      <c r="D76" s="86"/>
      <c r="E76" s="65"/>
      <c r="F76" s="14"/>
      <c r="G76" s="14"/>
      <c r="H76" s="14"/>
      <c r="I76" s="14"/>
      <c r="J76" s="14"/>
    </row>
    <row r="77" spans="1:10" x14ac:dyDescent="0.25">
      <c r="A77" s="121"/>
      <c r="B77" s="1150" t="s">
        <v>1957</v>
      </c>
      <c r="C77" s="15"/>
      <c r="D77" s="86"/>
      <c r="E77" s="65"/>
      <c r="F77" s="14"/>
      <c r="G77" s="14"/>
      <c r="H77" s="14"/>
      <c r="I77" s="14"/>
      <c r="J77" s="14"/>
    </row>
    <row r="78" spans="1:10" x14ac:dyDescent="0.25">
      <c r="A78" s="121"/>
      <c r="B78" s="1150" t="s">
        <v>2024</v>
      </c>
      <c r="C78" s="14"/>
      <c r="D78" s="86"/>
      <c r="E78" s="65"/>
      <c r="F78" s="14"/>
      <c r="G78" s="14"/>
      <c r="H78" s="14"/>
      <c r="I78" s="14"/>
      <c r="J78" s="14"/>
    </row>
    <row r="79" spans="1:10" x14ac:dyDescent="0.25">
      <c r="A79" s="121"/>
      <c r="B79" s="14"/>
      <c r="C79" s="14"/>
      <c r="D79" s="14"/>
      <c r="E79" s="14"/>
      <c r="F79" s="14"/>
      <c r="G79" s="14"/>
      <c r="H79" s="14"/>
      <c r="I79" s="14"/>
      <c r="J79" s="14"/>
    </row>
    <row r="80" spans="1:10" x14ac:dyDescent="0.25">
      <c r="A80" s="121"/>
      <c r="B80" s="553" t="s">
        <v>2224</v>
      </c>
      <c r="C80" s="14"/>
      <c r="D80" s="14"/>
      <c r="E80" s="14"/>
      <c r="F80" s="14"/>
      <c r="G80" s="14"/>
      <c r="H80" s="14"/>
      <c r="I80" s="14"/>
      <c r="J80" s="14"/>
    </row>
    <row r="81" spans="1:12" x14ac:dyDescent="0.25">
      <c r="A81" s="121"/>
      <c r="B81" s="553"/>
      <c r="C81" s="553" t="s">
        <v>2230</v>
      </c>
      <c r="D81" s="14"/>
      <c r="E81" s="14"/>
      <c r="F81" s="14"/>
      <c r="G81" s="14"/>
      <c r="H81" s="14"/>
      <c r="I81" s="14"/>
      <c r="J81" s="14"/>
    </row>
    <row r="82" spans="1:12" x14ac:dyDescent="0.25">
      <c r="A82" s="121"/>
      <c r="B82" s="553"/>
      <c r="C82" s="14"/>
      <c r="D82" s="14"/>
      <c r="E82" s="14"/>
      <c r="F82" s="14"/>
      <c r="G82" s="14"/>
      <c r="H82" s="14"/>
      <c r="I82" s="14"/>
      <c r="J82" s="121" t="s">
        <v>2221</v>
      </c>
    </row>
    <row r="83" spans="1:12" x14ac:dyDescent="0.25">
      <c r="A83" s="121"/>
      <c r="B83" s="14"/>
      <c r="C83" s="14"/>
      <c r="D83" s="14"/>
      <c r="E83" s="135" t="s">
        <v>1628</v>
      </c>
      <c r="F83" s="1139" t="s">
        <v>1263</v>
      </c>
      <c r="G83" s="135" t="s">
        <v>258</v>
      </c>
      <c r="H83" s="135" t="s">
        <v>259</v>
      </c>
      <c r="I83" s="14"/>
      <c r="J83" s="135" t="s">
        <v>2220</v>
      </c>
    </row>
    <row r="84" spans="1:12" x14ac:dyDescent="0.25">
      <c r="B84" s="1165" t="s">
        <v>1936</v>
      </c>
      <c r="C84" s="553" t="s">
        <v>2219</v>
      </c>
      <c r="D84" s="14"/>
      <c r="E84" s="85">
        <f>'1-BaseTRR'!K85</f>
        <v>9.8000000000000004E-2</v>
      </c>
      <c r="F84" s="14" t="str">
        <f>"1-Base TRR L "&amp;'1-BaseTRR'!A85&amp;""</f>
        <v>1-Base TRR L 49</v>
      </c>
      <c r="G84" s="721"/>
      <c r="H84" s="634"/>
      <c r="I84" s="15"/>
      <c r="J84" s="126"/>
      <c r="K84" s="15"/>
      <c r="L84" s="15"/>
    </row>
    <row r="85" spans="1:12" x14ac:dyDescent="0.25">
      <c r="B85" s="1165" t="s">
        <v>1937</v>
      </c>
      <c r="C85" s="553" t="s">
        <v>2247</v>
      </c>
      <c r="D85" s="14"/>
      <c r="E85" s="1275"/>
      <c r="F85" s="1164" t="s">
        <v>2223</v>
      </c>
      <c r="G85" s="634"/>
      <c r="H85" s="634"/>
      <c r="I85" s="15"/>
      <c r="J85" s="126"/>
      <c r="K85" s="15"/>
      <c r="L85" s="15"/>
    </row>
    <row r="86" spans="1:12" x14ac:dyDescent="0.25">
      <c r="B86" s="1165" t="s">
        <v>1938</v>
      </c>
      <c r="C86" s="553"/>
      <c r="D86" s="14"/>
      <c r="E86" s="1166"/>
      <c r="F86" s="1164"/>
      <c r="G86" s="635"/>
      <c r="H86" s="635"/>
      <c r="I86" s="1151" t="s">
        <v>2487</v>
      </c>
      <c r="J86" s="15">
        <f>SUM(J84:J85)</f>
        <v>0</v>
      </c>
      <c r="K86" s="15"/>
      <c r="L86" s="15"/>
    </row>
    <row r="87" spans="1:12" x14ac:dyDescent="0.25">
      <c r="A87" s="14"/>
      <c r="B87" s="1165" t="s">
        <v>1939</v>
      </c>
      <c r="C87" s="553" t="s">
        <v>2232</v>
      </c>
      <c r="D87" s="14"/>
      <c r="E87" s="85" t="e">
        <f>((E84*J84) + (E85* J85)) / J86</f>
        <v>#DIV/0!</v>
      </c>
      <c r="F87" s="553" t="s">
        <v>2488</v>
      </c>
      <c r="G87" s="14"/>
      <c r="H87" s="15"/>
      <c r="I87" s="15"/>
      <c r="J87" s="15"/>
      <c r="K87" s="15"/>
      <c r="L87" s="15"/>
    </row>
    <row r="88" spans="1:12" x14ac:dyDescent="0.25">
      <c r="A88" s="121"/>
      <c r="B88" s="553"/>
      <c r="C88" s="14"/>
      <c r="D88" s="14"/>
      <c r="E88" s="14"/>
      <c r="F88" s="14"/>
      <c r="G88" s="14"/>
      <c r="H88" s="15"/>
      <c r="I88" s="15"/>
      <c r="J88" s="15"/>
      <c r="K88" s="15"/>
      <c r="L88" s="15"/>
    </row>
    <row r="89" spans="1:12" x14ac:dyDescent="0.25">
      <c r="A89" s="121"/>
      <c r="B89" s="553" t="s">
        <v>2222</v>
      </c>
      <c r="C89" s="14"/>
      <c r="D89" s="14"/>
      <c r="E89" s="14"/>
      <c r="F89" s="14"/>
      <c r="G89" s="14"/>
      <c r="H89" s="15"/>
      <c r="I89" s="15"/>
      <c r="J89" s="15"/>
      <c r="K89" s="15"/>
      <c r="L89" s="15"/>
    </row>
    <row r="90" spans="1:12" x14ac:dyDescent="0.25">
      <c r="A90" s="121"/>
      <c r="B90" s="553"/>
      <c r="C90" s="14"/>
      <c r="D90" s="14"/>
      <c r="E90" s="1139" t="s">
        <v>1263</v>
      </c>
      <c r="F90" s="14"/>
      <c r="G90" s="14"/>
      <c r="H90" s="15"/>
      <c r="I90" s="15"/>
      <c r="J90" s="15"/>
      <c r="K90" s="15"/>
      <c r="L90" s="15"/>
    </row>
    <row r="91" spans="1:12" x14ac:dyDescent="0.25">
      <c r="A91" s="14"/>
      <c r="B91" s="1165" t="s">
        <v>1940</v>
      </c>
      <c r="C91" s="553" t="s">
        <v>2249</v>
      </c>
      <c r="D91" s="14"/>
      <c r="E91" s="105"/>
      <c r="F91" s="105"/>
      <c r="G91" s="105"/>
      <c r="H91" s="126"/>
      <c r="I91" s="126"/>
      <c r="J91" s="126"/>
      <c r="K91" s="15"/>
      <c r="L91" s="15"/>
    </row>
    <row r="92" spans="1:12" x14ac:dyDescent="0.25">
      <c r="B92" s="1165" t="s">
        <v>1941</v>
      </c>
      <c r="C92" s="553" t="s">
        <v>2248</v>
      </c>
      <c r="D92" s="14"/>
      <c r="E92" s="105"/>
      <c r="F92" s="105"/>
      <c r="G92" s="105"/>
      <c r="H92" s="126"/>
      <c r="I92" s="126"/>
      <c r="J92" s="126"/>
      <c r="K92" s="15"/>
      <c r="L92" s="15"/>
    </row>
    <row r="93" spans="1:12" x14ac:dyDescent="0.25">
      <c r="B93" s="14"/>
      <c r="C93" s="553"/>
      <c r="D93" s="14"/>
      <c r="E93" s="635"/>
      <c r="F93" s="14"/>
      <c r="G93" s="14"/>
      <c r="H93" s="14"/>
      <c r="I93" s="15"/>
      <c r="J93" s="15"/>
      <c r="K93" s="15"/>
      <c r="L93" s="15"/>
    </row>
    <row r="94" spans="1:12" x14ac:dyDescent="0.25">
      <c r="B94" s="14"/>
      <c r="C94" s="14"/>
      <c r="D94" s="14"/>
      <c r="E94" s="135" t="s">
        <v>1628</v>
      </c>
      <c r="F94" s="1139" t="s">
        <v>1263</v>
      </c>
      <c r="G94" s="14"/>
      <c r="H94" s="15"/>
      <c r="I94" s="15"/>
      <c r="J94" s="14"/>
    </row>
    <row r="95" spans="1:12" x14ac:dyDescent="0.25">
      <c r="B95" s="1165" t="s">
        <v>1943</v>
      </c>
      <c r="C95" s="553" t="s">
        <v>2233</v>
      </c>
      <c r="D95" s="15"/>
      <c r="E95" s="72" t="e">
        <f>'1-BaseTRR'!K88</f>
        <v>#DIV/0!</v>
      </c>
      <c r="F95" s="14" t="str">
        <f>"1-Base TRR L "&amp;'1-BaseTRR'!A88&amp;""</f>
        <v>1-Base TRR L 50</v>
      </c>
      <c r="G95" s="14"/>
      <c r="H95" s="15"/>
      <c r="I95" s="15"/>
      <c r="J95" s="14"/>
    </row>
    <row r="96" spans="1:12" x14ac:dyDescent="0.25">
      <c r="B96" s="1165" t="s">
        <v>2225</v>
      </c>
      <c r="C96" s="553" t="s">
        <v>2234</v>
      </c>
      <c r="D96" s="14"/>
      <c r="E96" s="72" t="e">
        <f>'1-BaseTRR'!K89</f>
        <v>#DIV/0!</v>
      </c>
      <c r="F96" s="14" t="str">
        <f>"1-Base TRR L "&amp;'1-BaseTRR'!A89&amp;""</f>
        <v>1-Base TRR L 51</v>
      </c>
      <c r="G96" s="14"/>
      <c r="H96" s="15"/>
      <c r="I96" s="15"/>
      <c r="J96" s="14"/>
    </row>
    <row r="97" spans="1:10" x14ac:dyDescent="0.25">
      <c r="B97" s="1165" t="s">
        <v>2226</v>
      </c>
      <c r="C97" s="553" t="s">
        <v>2235</v>
      </c>
      <c r="D97" s="14"/>
      <c r="E97" s="50" t="e">
        <f>('1-BaseTRR'!K80) * E87</f>
        <v>#DIV/0!</v>
      </c>
      <c r="F97" s="14" t="str">
        <f>"1-Base TRR L "&amp;'1-BaseTRR'!A80&amp;" * Line d"</f>
        <v>1-Base TRR L 46 * Line d</v>
      </c>
      <c r="G97" s="15"/>
      <c r="H97" s="15"/>
      <c r="I97" s="14"/>
      <c r="J97" s="14"/>
    </row>
    <row r="98" spans="1:10" x14ac:dyDescent="0.25">
      <c r="A98" s="14"/>
      <c r="B98" s="121" t="s">
        <v>2227</v>
      </c>
      <c r="C98" s="47" t="s">
        <v>62</v>
      </c>
      <c r="D98" s="14"/>
      <c r="E98" s="49" t="e">
        <f>SUM(E95:E97)</f>
        <v>#DIV/0!</v>
      </c>
      <c r="F98" s="65" t="str">
        <f>"Sum of Lines "&amp;B92&amp;" to "&amp;B96&amp;""</f>
        <v>Sum of Lines f to h</v>
      </c>
      <c r="G98" s="116"/>
      <c r="H98" s="14"/>
      <c r="I98" s="14"/>
      <c r="J98" s="1167"/>
    </row>
    <row r="99" spans="1:10" x14ac:dyDescent="0.25">
      <c r="A99" s="121"/>
      <c r="B99" s="14"/>
      <c r="C99" s="21"/>
      <c r="D99" s="24"/>
      <c r="E99" s="65"/>
      <c r="F99" s="65"/>
      <c r="G99" s="116"/>
      <c r="H99" s="65"/>
      <c r="I99" s="14"/>
      <c r="J99" s="1167"/>
    </row>
    <row r="100" spans="1:10" x14ac:dyDescent="0.25">
      <c r="A100" s="121"/>
      <c r="B100" s="553" t="s">
        <v>2228</v>
      </c>
      <c r="C100" s="14"/>
      <c r="D100" s="14"/>
      <c r="E100" s="14"/>
      <c r="F100" s="14"/>
      <c r="G100" s="14"/>
      <c r="H100" s="14"/>
      <c r="I100" s="14"/>
      <c r="J100" s="14"/>
    </row>
    <row r="101" spans="1:10" x14ac:dyDescent="0.25">
      <c r="A101" s="121"/>
      <c r="B101" s="14"/>
      <c r="C101" s="14"/>
      <c r="D101" s="14"/>
      <c r="E101" s="14"/>
      <c r="F101" s="14"/>
      <c r="G101" s="14"/>
      <c r="H101" s="14"/>
      <c r="I101" s="14"/>
      <c r="J101" s="14"/>
    </row>
    <row r="102" spans="1:10" x14ac:dyDescent="0.25">
      <c r="A102" s="121"/>
      <c r="B102" s="14"/>
      <c r="C102" s="14"/>
      <c r="D102" s="14"/>
      <c r="E102" s="135" t="s">
        <v>1628</v>
      </c>
      <c r="F102" s="1139" t="s">
        <v>1263</v>
      </c>
      <c r="G102" s="14"/>
      <c r="H102" s="14"/>
      <c r="I102" s="14"/>
      <c r="J102" s="14"/>
    </row>
    <row r="103" spans="1:10" x14ac:dyDescent="0.25">
      <c r="A103" s="14"/>
      <c r="B103" s="1165" t="s">
        <v>2771</v>
      </c>
      <c r="C103" s="14"/>
      <c r="D103" s="14"/>
      <c r="E103" s="72" t="e">
        <f>E96+E97</f>
        <v>#DIV/0!</v>
      </c>
      <c r="F103" s="65" t="str">
        <f>"Sum of Lines "&amp;B95&amp;" to "&amp;B96&amp;""</f>
        <v>Sum of Lines g to h</v>
      </c>
      <c r="G103" s="14"/>
      <c r="H103" s="14"/>
      <c r="I103" s="14"/>
      <c r="J103" s="14"/>
    </row>
    <row r="104" spans="1:10" x14ac:dyDescent="0.25">
      <c r="A104" s="121"/>
      <c r="B104" s="14"/>
      <c r="C104" s="14"/>
      <c r="D104" s="14"/>
      <c r="E104" s="72"/>
      <c r="F104" s="65"/>
      <c r="G104" s="14"/>
      <c r="H104" s="14"/>
      <c r="I104" s="14"/>
      <c r="J104" s="14"/>
    </row>
    <row r="105" spans="1:10" x14ac:dyDescent="0.25">
      <c r="A105" s="121"/>
      <c r="B105" s="1150" t="s">
        <v>2204</v>
      </c>
      <c r="C105" s="14"/>
      <c r="D105" s="14"/>
      <c r="E105" s="116"/>
      <c r="F105" s="116"/>
      <c r="G105" s="116"/>
      <c r="H105" s="65"/>
      <c r="I105" s="14"/>
      <c r="J105" s="14"/>
    </row>
    <row r="106" spans="1:10" x14ac:dyDescent="0.25">
      <c r="A106" s="121"/>
      <c r="B106" s="1164" t="s">
        <v>2213</v>
      </c>
      <c r="C106" s="14"/>
      <c r="D106" s="14"/>
      <c r="E106" s="14"/>
      <c r="F106" s="14"/>
      <c r="G106" s="14"/>
      <c r="H106" s="14"/>
      <c r="I106" s="14"/>
      <c r="J106" s="14"/>
    </row>
    <row r="107" spans="1:10" x14ac:dyDescent="0.25">
      <c r="A107" s="2"/>
      <c r="B107" s="1164" t="s">
        <v>2214</v>
      </c>
      <c r="C107" s="14"/>
      <c r="D107" s="121"/>
      <c r="E107" s="121"/>
      <c r="F107" s="121"/>
      <c r="G107" s="121"/>
      <c r="H107" s="121"/>
      <c r="I107" s="14"/>
      <c r="J107" s="14"/>
    </row>
    <row r="108" spans="1:10" x14ac:dyDescent="0.25">
      <c r="A108" s="2"/>
      <c r="B108" s="1150" t="s">
        <v>2216</v>
      </c>
      <c r="C108" s="14"/>
      <c r="D108" s="121"/>
      <c r="E108" s="121"/>
      <c r="F108" s="121"/>
      <c r="G108" s="121"/>
      <c r="H108" s="121"/>
      <c r="I108" s="14"/>
      <c r="J108" s="14"/>
    </row>
    <row r="109" spans="1:10" x14ac:dyDescent="0.25">
      <c r="A109" s="2"/>
      <c r="B109" s="14" t="s">
        <v>2215</v>
      </c>
      <c r="C109" s="29"/>
      <c r="D109" s="29"/>
      <c r="E109" s="135"/>
      <c r="F109" s="135"/>
      <c r="G109" s="135"/>
      <c r="H109" s="135"/>
      <c r="I109" s="14"/>
      <c r="J109" s="14"/>
    </row>
    <row r="110" spans="1:10" x14ac:dyDescent="0.25">
      <c r="A110" s="2"/>
    </row>
    <row r="111" spans="1:10" x14ac:dyDescent="0.25">
      <c r="A111" s="2"/>
    </row>
    <row r="112" spans="1:10" x14ac:dyDescent="0.25">
      <c r="A112" s="2"/>
    </row>
    <row r="113" spans="1:10" x14ac:dyDescent="0.25">
      <c r="A113" s="2"/>
      <c r="C113" s="21"/>
      <c r="E113" s="65"/>
      <c r="F113" s="65"/>
      <c r="H113" s="7"/>
      <c r="J113" s="90"/>
    </row>
    <row r="114" spans="1:10" x14ac:dyDescent="0.25">
      <c r="A114" s="2"/>
      <c r="C114" s="21"/>
      <c r="E114" s="65"/>
      <c r="F114" s="65"/>
      <c r="H114" s="7"/>
      <c r="J114" s="90"/>
    </row>
    <row r="115" spans="1:10" x14ac:dyDescent="0.25">
      <c r="A115" s="55"/>
      <c r="C115" s="21"/>
      <c r="E115" s="65"/>
      <c r="F115" s="65"/>
      <c r="H115" s="7"/>
      <c r="J115" s="90"/>
    </row>
    <row r="116" spans="1:10" x14ac:dyDescent="0.25">
      <c r="A116" s="2"/>
      <c r="D116" s="34"/>
      <c r="E116" s="65"/>
      <c r="F116" s="65"/>
      <c r="G116" s="12"/>
      <c r="H116" s="7"/>
      <c r="J116" s="90"/>
    </row>
    <row r="117" spans="1:10" x14ac:dyDescent="0.25">
      <c r="A117" s="2"/>
      <c r="C117" s="21"/>
      <c r="D117" s="102"/>
      <c r="E117" s="99"/>
      <c r="F117" s="7"/>
      <c r="G117" s="12"/>
      <c r="H117" s="7"/>
      <c r="J117" s="90"/>
    </row>
    <row r="118" spans="1:10" x14ac:dyDescent="0.25">
      <c r="A118" s="2"/>
      <c r="C118" s="21"/>
      <c r="D118" s="102"/>
      <c r="E118" s="7"/>
      <c r="F118" s="7"/>
      <c r="G118" s="12"/>
      <c r="H118" s="7"/>
      <c r="J118" s="90"/>
    </row>
    <row r="119" spans="1:10" x14ac:dyDescent="0.25">
      <c r="A119" s="2"/>
    </row>
    <row r="120" spans="1:10" x14ac:dyDescent="0.25">
      <c r="A120" s="2"/>
      <c r="B120" s="1"/>
    </row>
    <row r="121" spans="1:10" x14ac:dyDescent="0.25">
      <c r="A121" s="2"/>
    </row>
    <row r="122" spans="1:10" x14ac:dyDescent="0.25">
      <c r="A122" s="2"/>
    </row>
    <row r="123" spans="1:10" x14ac:dyDescent="0.25">
      <c r="A123" s="2"/>
      <c r="F123" s="2"/>
    </row>
    <row r="124" spans="1:10" x14ac:dyDescent="0.25">
      <c r="A124" s="2"/>
      <c r="F124" s="2"/>
    </row>
    <row r="125" spans="1:10" x14ac:dyDescent="0.25">
      <c r="A125" s="2"/>
      <c r="D125" s="2"/>
      <c r="E125" s="2"/>
      <c r="F125" s="2"/>
      <c r="H125" s="2"/>
    </row>
    <row r="126" spans="1:10" x14ac:dyDescent="0.25">
      <c r="A126" s="2"/>
      <c r="D126" s="2"/>
      <c r="E126" s="2"/>
      <c r="F126" s="2"/>
      <c r="G126" s="2"/>
      <c r="H126" s="4"/>
    </row>
    <row r="127" spans="1:10" x14ac:dyDescent="0.25">
      <c r="A127" s="55"/>
      <c r="C127" s="25"/>
      <c r="D127" s="25"/>
      <c r="E127" s="3"/>
      <c r="F127" s="92"/>
      <c r="G127" s="3"/>
      <c r="H127" s="4"/>
    </row>
    <row r="128" spans="1:10" x14ac:dyDescent="0.25">
      <c r="A128" s="2"/>
      <c r="C128" s="20"/>
      <c r="D128" s="24"/>
      <c r="E128" s="65"/>
      <c r="F128" s="65"/>
      <c r="G128" s="85"/>
      <c r="H128" s="7"/>
    </row>
    <row r="129" spans="1:8" x14ac:dyDescent="0.25">
      <c r="A129" s="2"/>
      <c r="C129" s="21"/>
      <c r="D129" s="24"/>
      <c r="E129" s="65"/>
      <c r="F129" s="65"/>
      <c r="G129" s="85"/>
      <c r="H129" s="7"/>
    </row>
    <row r="130" spans="1:8" x14ac:dyDescent="0.25">
      <c r="A130" s="2"/>
      <c r="C130" s="21"/>
      <c r="D130" s="24"/>
      <c r="E130" s="65"/>
      <c r="F130" s="65"/>
      <c r="G130" s="85"/>
      <c r="H130" s="7"/>
    </row>
    <row r="131" spans="1:8" x14ac:dyDescent="0.25">
      <c r="A131" s="2"/>
      <c r="C131" s="20"/>
      <c r="D131" s="24"/>
      <c r="E131" s="65"/>
      <c r="F131" s="65"/>
      <c r="G131" s="85"/>
      <c r="H131" s="7"/>
    </row>
    <row r="132" spans="1:8" x14ac:dyDescent="0.25">
      <c r="A132" s="2"/>
      <c r="C132" s="21"/>
      <c r="D132" s="24"/>
      <c r="E132" s="65"/>
      <c r="F132" s="65"/>
      <c r="G132" s="85"/>
      <c r="H132" s="7"/>
    </row>
    <row r="133" spans="1:8" x14ac:dyDescent="0.25">
      <c r="A133" s="2"/>
      <c r="C133" s="21"/>
      <c r="D133" s="24"/>
      <c r="E133" s="65"/>
      <c r="F133" s="65"/>
      <c r="G133" s="85"/>
      <c r="H133" s="7"/>
    </row>
    <row r="134" spans="1:8" x14ac:dyDescent="0.25">
      <c r="A134" s="2"/>
      <c r="C134" s="20"/>
      <c r="D134" s="24"/>
      <c r="E134" s="65"/>
      <c r="F134" s="65"/>
      <c r="G134" s="85"/>
      <c r="H134" s="7"/>
    </row>
    <row r="135" spans="1:8" x14ac:dyDescent="0.25">
      <c r="A135" s="2"/>
      <c r="C135" s="21"/>
      <c r="D135" s="24"/>
      <c r="E135" s="65"/>
      <c r="F135" s="65"/>
      <c r="G135" s="85"/>
      <c r="H135" s="7"/>
    </row>
    <row r="136" spans="1:8" x14ac:dyDescent="0.25">
      <c r="A136" s="2"/>
      <c r="C136" s="21"/>
      <c r="D136" s="24"/>
      <c r="E136" s="65"/>
      <c r="F136" s="65"/>
      <c r="G136" s="85"/>
      <c r="H136" s="7"/>
    </row>
    <row r="137" spans="1:8" x14ac:dyDescent="0.25">
      <c r="A137" s="2"/>
      <c r="C137" s="20"/>
      <c r="D137" s="24"/>
      <c r="E137" s="65"/>
      <c r="F137" s="65"/>
      <c r="G137" s="85"/>
      <c r="H137" s="7"/>
    </row>
    <row r="138" spans="1:8" x14ac:dyDescent="0.25">
      <c r="A138" s="2"/>
      <c r="C138" s="20"/>
      <c r="D138" s="24"/>
      <c r="E138" s="65"/>
      <c r="F138" s="65"/>
      <c r="G138" s="85"/>
      <c r="H138" s="7"/>
    </row>
    <row r="139" spans="1:8" x14ac:dyDescent="0.25">
      <c r="A139" s="2"/>
      <c r="C139" s="21"/>
      <c r="D139" s="24"/>
      <c r="E139" s="65"/>
      <c r="F139" s="65"/>
      <c r="G139" s="85"/>
      <c r="H139" s="59"/>
    </row>
    <row r="140" spans="1:8" x14ac:dyDescent="0.25">
      <c r="A140" s="2"/>
      <c r="E140" s="14"/>
      <c r="F140" s="14"/>
      <c r="G140" s="14"/>
      <c r="H140" s="7"/>
    </row>
    <row r="141" spans="1:8" x14ac:dyDescent="0.25">
      <c r="A141" s="2"/>
      <c r="C141" s="21"/>
      <c r="D141" s="24"/>
      <c r="E141" s="14"/>
      <c r="F141" s="158"/>
      <c r="G141" s="85"/>
      <c r="H141" s="77"/>
    </row>
    <row r="142" spans="1:8" x14ac:dyDescent="0.25">
      <c r="A142" s="2"/>
      <c r="B142" s="1"/>
      <c r="C142" s="21"/>
      <c r="D142" s="24"/>
      <c r="E142" s="14"/>
      <c r="F142" s="158"/>
      <c r="G142" s="85"/>
      <c r="H142" s="77"/>
    </row>
    <row r="143" spans="1:8" x14ac:dyDescent="0.25">
      <c r="A143" s="55"/>
      <c r="B143" s="1"/>
      <c r="C143" s="21"/>
      <c r="D143" s="24"/>
      <c r="E143" s="14"/>
      <c r="F143" s="158"/>
      <c r="G143" s="85"/>
      <c r="H143" s="77"/>
    </row>
    <row r="144" spans="1:8" x14ac:dyDescent="0.25">
      <c r="A144" s="2"/>
      <c r="C144" s="21"/>
      <c r="D144" s="93"/>
      <c r="E144" s="65"/>
      <c r="F144" s="159"/>
      <c r="G144" s="85"/>
      <c r="H144" s="77"/>
    </row>
    <row r="145" spans="1:10" x14ac:dyDescent="0.25">
      <c r="A145" s="2"/>
      <c r="C145" s="21"/>
      <c r="D145" s="37"/>
      <c r="E145" s="65"/>
      <c r="F145" s="159"/>
      <c r="G145" s="85"/>
      <c r="H145" s="77"/>
    </row>
    <row r="146" spans="1:10" x14ac:dyDescent="0.25">
      <c r="A146" s="2"/>
      <c r="C146" s="21"/>
      <c r="D146" s="37"/>
      <c r="E146" s="59"/>
      <c r="F146" s="128"/>
      <c r="G146" s="85"/>
      <c r="H146" s="77"/>
    </row>
    <row r="147" spans="1:10" x14ac:dyDescent="0.25">
      <c r="A147" s="2"/>
      <c r="C147" s="21"/>
      <c r="D147" s="93"/>
      <c r="E147" s="7"/>
      <c r="F147" s="77"/>
      <c r="G147" s="85"/>
      <c r="H147" s="77"/>
    </row>
    <row r="148" spans="1:10" x14ac:dyDescent="0.25">
      <c r="A148" s="2"/>
      <c r="C148" s="21"/>
      <c r="D148" s="24"/>
      <c r="F148" s="77"/>
      <c r="G148" s="85"/>
      <c r="H148" s="77"/>
    </row>
    <row r="149" spans="1:10" x14ac:dyDescent="0.25">
      <c r="A149" s="2"/>
    </row>
    <row r="150" spans="1:10" x14ac:dyDescent="0.25">
      <c r="A150" s="2"/>
    </row>
    <row r="151" spans="1:10" x14ac:dyDescent="0.25">
      <c r="A151" s="2"/>
    </row>
    <row r="152" spans="1:10" x14ac:dyDescent="0.25">
      <c r="A152" s="2"/>
      <c r="B152" s="1"/>
    </row>
    <row r="153" spans="1:10" x14ac:dyDescent="0.25">
      <c r="A153" s="2"/>
      <c r="B153" s="12"/>
    </row>
    <row r="154" spans="1:10" x14ac:dyDescent="0.25">
      <c r="A154" s="2"/>
      <c r="B154" s="12"/>
    </row>
    <row r="155" spans="1:10" x14ac:dyDescent="0.25">
      <c r="A155" s="2"/>
      <c r="B155" s="12"/>
    </row>
    <row r="156" spans="1:10" x14ac:dyDescent="0.25">
      <c r="A156" s="2"/>
    </row>
    <row r="157" spans="1:10" x14ac:dyDescent="0.25">
      <c r="A157" s="2"/>
      <c r="B157" s="1"/>
    </row>
    <row r="158" spans="1:10" x14ac:dyDescent="0.25">
      <c r="A158" s="2"/>
    </row>
    <row r="159" spans="1:10" x14ac:dyDescent="0.25">
      <c r="A159" s="55"/>
      <c r="C159" s="25"/>
      <c r="D159" s="3"/>
      <c r="G159" s="14"/>
      <c r="H159" s="14"/>
      <c r="I159" s="14"/>
      <c r="J159" s="14"/>
    </row>
    <row r="160" spans="1:10" x14ac:dyDescent="0.25">
      <c r="A160" s="2"/>
      <c r="C160" s="20"/>
      <c r="D160" s="156"/>
      <c r="F160" s="8"/>
      <c r="G160" s="14"/>
      <c r="H160" s="14"/>
      <c r="I160" s="14"/>
      <c r="J160" s="14"/>
    </row>
    <row r="161" spans="1:10" x14ac:dyDescent="0.25">
      <c r="A161" s="2"/>
      <c r="C161" s="21"/>
      <c r="D161" s="156"/>
      <c r="F161" s="8"/>
      <c r="G161" s="14"/>
      <c r="H161" s="14"/>
      <c r="I161" s="14"/>
      <c r="J161" s="14"/>
    </row>
    <row r="162" spans="1:10" x14ac:dyDescent="0.25">
      <c r="A162" s="2"/>
      <c r="C162" s="21"/>
      <c r="D162" s="156"/>
      <c r="F162" s="8"/>
      <c r="G162" s="14"/>
      <c r="H162" s="14"/>
      <c r="I162" s="14"/>
      <c r="J162" s="14"/>
    </row>
    <row r="163" spans="1:10" x14ac:dyDescent="0.25">
      <c r="A163" s="2"/>
      <c r="C163" s="20"/>
      <c r="D163" s="156"/>
      <c r="F163" s="8"/>
      <c r="G163" s="14"/>
      <c r="H163" s="14"/>
      <c r="I163" s="14"/>
      <c r="J163" s="14"/>
    </row>
    <row r="164" spans="1:10" x14ac:dyDescent="0.25">
      <c r="A164" s="2"/>
      <c r="C164" s="21"/>
      <c r="D164" s="156"/>
      <c r="F164" s="8"/>
      <c r="G164" s="14"/>
      <c r="H164" s="14"/>
      <c r="I164" s="14"/>
      <c r="J164" s="14"/>
    </row>
    <row r="165" spans="1:10" x14ac:dyDescent="0.25">
      <c r="A165" s="2"/>
      <c r="C165" s="21"/>
      <c r="D165" s="156"/>
      <c r="F165" s="8"/>
      <c r="G165" s="14"/>
      <c r="H165" s="14"/>
      <c r="I165" s="14"/>
      <c r="J165" s="14"/>
    </row>
    <row r="166" spans="1:10" x14ac:dyDescent="0.25">
      <c r="A166" s="2"/>
      <c r="C166" s="20"/>
      <c r="D166" s="156"/>
      <c r="F166" s="8"/>
      <c r="G166" s="14"/>
      <c r="H166" s="14"/>
      <c r="I166" s="14"/>
      <c r="J166" s="14"/>
    </row>
    <row r="167" spans="1:10" x14ac:dyDescent="0.25">
      <c r="A167" s="2"/>
      <c r="C167" s="21"/>
      <c r="D167" s="156"/>
      <c r="F167" s="8"/>
      <c r="G167" s="14"/>
      <c r="H167" s="14"/>
      <c r="I167" s="14"/>
      <c r="J167" s="14"/>
    </row>
    <row r="168" spans="1:10" x14ac:dyDescent="0.25">
      <c r="A168" s="2"/>
      <c r="C168" s="21"/>
      <c r="D168" s="156"/>
      <c r="F168" s="8"/>
      <c r="G168" s="14"/>
      <c r="H168" s="14"/>
      <c r="I168" s="14"/>
      <c r="J168" s="14"/>
    </row>
    <row r="169" spans="1:10" x14ac:dyDescent="0.25">
      <c r="A169" s="2"/>
      <c r="C169" s="20"/>
      <c r="D169" s="156"/>
      <c r="F169" s="8"/>
      <c r="G169" s="14"/>
      <c r="H169" s="14"/>
      <c r="I169" s="14"/>
      <c r="J169" s="14"/>
    </row>
    <row r="170" spans="1:10" x14ac:dyDescent="0.25">
      <c r="A170" s="2"/>
      <c r="C170" s="20"/>
      <c r="D170" s="156"/>
      <c r="F170" s="8"/>
    </row>
    <row r="171" spans="1:10" x14ac:dyDescent="0.25">
      <c r="A171" s="2"/>
      <c r="C171" s="21"/>
      <c r="D171" s="157"/>
      <c r="F171" s="89"/>
    </row>
    <row r="172" spans="1:10" x14ac:dyDescent="0.25">
      <c r="A172" s="2"/>
      <c r="C172" s="34"/>
      <c r="D172" s="156"/>
    </row>
  </sheetData>
  <phoneticPr fontId="12" type="noConversion"/>
  <pageMargins left="0.75" right="0.75" top="1" bottom="1" header="0.5" footer="0.5"/>
  <pageSetup scale="80" orientation="landscape" cellComments="asDisplayed" r:id="rId1"/>
  <headerFooter alignWithMargins="0">
    <oddHeader>&amp;CSchedule 4
True Up TRR
&amp;"Arial,Bold"Attachment 5</oddHeader>
    <oddFooter>&amp;R&amp;A</oddFooter>
  </headerFooter>
  <rowBreaks count="4" manualBreakCount="4">
    <brk id="46" max="9" man="1"/>
    <brk id="73" max="16383" man="1"/>
    <brk id="119" max="9" man="1"/>
    <brk id="151"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1"/>
  <sheetViews>
    <sheetView zoomScale="90" zoomScaleNormal="90" workbookViewId="0">
      <selection activeCell="J2" sqref="J2"/>
    </sheetView>
  </sheetViews>
  <sheetFormatPr defaultRowHeight="13.2" x14ac:dyDescent="0.25"/>
  <cols>
    <col min="1" max="1" width="4.6640625" customWidth="1"/>
    <col min="2" max="2" width="3.6640625" customWidth="1"/>
    <col min="4" max="4" width="13.6640625" customWidth="1"/>
    <col min="6" max="7" width="10.6640625" customWidth="1"/>
    <col min="9" max="9" width="27.6640625" customWidth="1"/>
    <col min="10" max="10" width="30.6640625" customWidth="1"/>
    <col min="11" max="11" width="2.6640625" customWidth="1"/>
    <col min="12" max="12" width="16.6640625" customWidth="1"/>
    <col min="13" max="13" width="1.6640625" customWidth="1"/>
    <col min="14" max="14" width="4.6640625" style="14" customWidth="1"/>
    <col min="15" max="28" width="14.6640625" style="14" customWidth="1"/>
  </cols>
  <sheetData>
    <row r="1" spans="1:28" x14ac:dyDescent="0.25">
      <c r="A1" s="1" t="s">
        <v>24</v>
      </c>
      <c r="J1" s="105" t="s">
        <v>332</v>
      </c>
      <c r="K1" s="14"/>
      <c r="L1" s="14"/>
    </row>
    <row r="2" spans="1:28" x14ac:dyDescent="0.25">
      <c r="B2" s="1"/>
      <c r="I2" s="652"/>
      <c r="J2" s="652" t="s">
        <v>188</v>
      </c>
      <c r="L2" s="274"/>
    </row>
    <row r="3" spans="1:28" x14ac:dyDescent="0.25">
      <c r="I3" s="3" t="s">
        <v>187</v>
      </c>
      <c r="J3" s="3" t="s">
        <v>189</v>
      </c>
      <c r="L3" s="3" t="s">
        <v>190</v>
      </c>
    </row>
    <row r="5" spans="1:28" x14ac:dyDescent="0.25">
      <c r="A5" s="10" t="s">
        <v>196</v>
      </c>
      <c r="B5" s="131"/>
      <c r="C5" s="11"/>
      <c r="D5" s="11"/>
      <c r="E5" s="11"/>
      <c r="F5" s="11"/>
      <c r="G5" s="11"/>
      <c r="H5" s="11"/>
      <c r="I5" s="9"/>
      <c r="J5" s="9"/>
      <c r="K5" s="9"/>
      <c r="L5" s="9"/>
      <c r="N5" s="659"/>
      <c r="O5" s="660"/>
      <c r="P5" s="660"/>
      <c r="Q5" s="660"/>
      <c r="R5" s="660"/>
      <c r="S5" s="660"/>
      <c r="T5" s="660"/>
    </row>
    <row r="6" spans="1:28" x14ac:dyDescent="0.25">
      <c r="B6" s="45"/>
      <c r="C6" s="553"/>
      <c r="D6" s="553"/>
      <c r="E6" s="553"/>
      <c r="F6" s="553"/>
      <c r="G6" s="553"/>
      <c r="H6" s="553"/>
      <c r="I6" s="553"/>
      <c r="J6" s="553"/>
      <c r="K6" s="553"/>
      <c r="L6" s="553"/>
      <c r="O6" s="388"/>
      <c r="P6" s="388"/>
      <c r="Q6" s="388"/>
      <c r="R6" s="388"/>
      <c r="S6" s="388"/>
      <c r="T6" s="388"/>
      <c r="U6" s="388"/>
      <c r="V6" s="388"/>
      <c r="W6" s="388"/>
      <c r="X6" s="388"/>
      <c r="Y6" s="388"/>
      <c r="Z6" s="388"/>
      <c r="AA6" s="388"/>
      <c r="AB6" s="388"/>
    </row>
    <row r="7" spans="1:28" x14ac:dyDescent="0.25">
      <c r="A7" s="55" t="s">
        <v>350</v>
      </c>
      <c r="B7" s="45"/>
      <c r="C7" s="46" t="s">
        <v>294</v>
      </c>
      <c r="D7" s="553"/>
      <c r="E7" s="553"/>
      <c r="F7" s="553"/>
      <c r="G7" s="553"/>
      <c r="H7" s="553"/>
      <c r="I7" s="553"/>
      <c r="J7" s="551"/>
      <c r="K7" s="553"/>
      <c r="L7" s="553"/>
      <c r="N7" s="661"/>
      <c r="O7" s="86"/>
      <c r="P7" s="662"/>
      <c r="Q7" s="635"/>
      <c r="R7" s="635"/>
      <c r="S7" s="635"/>
      <c r="T7" s="635"/>
      <c r="U7" s="635"/>
      <c r="V7" s="635"/>
      <c r="W7" s="635"/>
      <c r="X7" s="635"/>
      <c r="Y7" s="635"/>
      <c r="Z7" s="635"/>
      <c r="AA7" s="635"/>
      <c r="AB7" s="635"/>
    </row>
    <row r="8" spans="1:28" x14ac:dyDescent="0.25">
      <c r="A8" s="121">
        <v>1</v>
      </c>
      <c r="B8" s="45"/>
      <c r="C8" s="553" t="s">
        <v>225</v>
      </c>
      <c r="D8" s="553"/>
      <c r="E8" s="553"/>
      <c r="F8" s="553"/>
      <c r="G8" s="553"/>
      <c r="H8" s="553"/>
      <c r="I8" s="553" t="s">
        <v>1848</v>
      </c>
      <c r="J8" s="550" t="str">
        <f>"5-ROR-2, Line "&amp;'5-ROR-2'!A8&amp;""</f>
        <v>5-ROR-2, Line 1</v>
      </c>
      <c r="K8" s="553"/>
      <c r="L8" s="566">
        <f>'5-ROR-2'!C8</f>
        <v>0</v>
      </c>
      <c r="N8" s="121"/>
      <c r="O8" s="566"/>
      <c r="P8" s="566"/>
      <c r="Q8" s="566"/>
      <c r="R8" s="566"/>
      <c r="S8" s="566"/>
      <c r="T8" s="566"/>
      <c r="U8" s="566"/>
      <c r="V8" s="566"/>
      <c r="W8" s="566"/>
      <c r="X8" s="566"/>
      <c r="Y8" s="566"/>
      <c r="Z8" s="566"/>
      <c r="AA8" s="566"/>
      <c r="AB8" s="566"/>
    </row>
    <row r="9" spans="1:28" x14ac:dyDescent="0.25">
      <c r="A9" s="121">
        <f>A8+1</f>
        <v>2</v>
      </c>
      <c r="B9" s="45"/>
      <c r="C9" s="553" t="s">
        <v>226</v>
      </c>
      <c r="D9" s="553"/>
      <c r="E9" s="553"/>
      <c r="F9" s="553"/>
      <c r="G9" s="553"/>
      <c r="H9" s="553"/>
      <c r="I9" s="553" t="s">
        <v>1848</v>
      </c>
      <c r="J9" s="550" t="str">
        <f>"5-ROR-2, Line "&amp;'5-ROR-2'!A10&amp;""</f>
        <v>5-ROR-2, Line 2</v>
      </c>
      <c r="K9" s="553"/>
      <c r="L9" s="566">
        <f>'5-ROR-2'!C10</f>
        <v>0</v>
      </c>
      <c r="N9" s="121"/>
      <c r="O9" s="566"/>
      <c r="P9" s="566"/>
      <c r="Q9" s="566"/>
      <c r="R9" s="566"/>
      <c r="S9" s="566"/>
      <c r="T9" s="566"/>
      <c r="U9" s="566"/>
      <c r="V9" s="566"/>
      <c r="W9" s="566"/>
      <c r="X9" s="566"/>
      <c r="Y9" s="566"/>
      <c r="Z9" s="566"/>
      <c r="AA9" s="566"/>
      <c r="AB9" s="566"/>
    </row>
    <row r="10" spans="1:28" x14ac:dyDescent="0.25">
      <c r="A10" s="121" t="s">
        <v>569</v>
      </c>
      <c r="B10" s="45"/>
      <c r="C10" s="553" t="s">
        <v>2209</v>
      </c>
      <c r="D10" s="1168"/>
      <c r="E10" s="1168"/>
      <c r="F10" s="1168"/>
      <c r="G10" s="1168"/>
      <c r="H10" s="1168"/>
      <c r="I10" s="553" t="s">
        <v>1848</v>
      </c>
      <c r="J10" s="550" t="str">
        <f>"5-ROR-2, Line "&amp;'5-ROR-2'!A12&amp;""</f>
        <v>5-ROR-2, Line 2a</v>
      </c>
      <c r="K10" s="553"/>
      <c r="L10" s="566">
        <f>'5-ROR-2'!C12</f>
        <v>0</v>
      </c>
      <c r="N10" s="121"/>
      <c r="O10" s="566"/>
      <c r="P10" s="566"/>
      <c r="Q10" s="566"/>
      <c r="R10" s="566"/>
      <c r="S10" s="566"/>
      <c r="T10" s="566"/>
      <c r="U10" s="566"/>
      <c r="V10" s="566"/>
      <c r="W10" s="566"/>
      <c r="X10" s="566"/>
      <c r="Y10" s="566"/>
      <c r="Z10" s="566"/>
      <c r="AA10" s="566"/>
      <c r="AB10" s="566"/>
    </row>
    <row r="11" spans="1:28" x14ac:dyDescent="0.25">
      <c r="A11" s="121">
        <f>A9+1</f>
        <v>3</v>
      </c>
      <c r="B11" s="45"/>
      <c r="C11" s="553" t="s">
        <v>227</v>
      </c>
      <c r="D11" s="553"/>
      <c r="E11" s="553"/>
      <c r="F11" s="553"/>
      <c r="G11" s="553"/>
      <c r="H11" s="553"/>
      <c r="I11" s="553" t="s">
        <v>1848</v>
      </c>
      <c r="J11" s="550" t="str">
        <f>"5-ROR-2, Line "&amp;'5-ROR-2'!A14&amp;""</f>
        <v>5-ROR-2, Line 3</v>
      </c>
      <c r="K11" s="553"/>
      <c r="L11" s="566">
        <f>'5-ROR-2'!C14</f>
        <v>0</v>
      </c>
      <c r="N11" s="121"/>
      <c r="O11" s="566"/>
      <c r="P11" s="566"/>
      <c r="Q11" s="566"/>
      <c r="R11" s="566"/>
      <c r="S11" s="566"/>
      <c r="T11" s="566"/>
      <c r="U11" s="566"/>
      <c r="V11" s="566"/>
      <c r="W11" s="566"/>
      <c r="X11" s="566"/>
      <c r="Y11" s="566"/>
      <c r="Z11" s="566"/>
      <c r="AA11" s="566"/>
      <c r="AB11" s="566"/>
    </row>
    <row r="12" spans="1:28" x14ac:dyDescent="0.25">
      <c r="A12" s="121">
        <f>A11+1</f>
        <v>4</v>
      </c>
      <c r="B12" s="45"/>
      <c r="C12" s="553" t="s">
        <v>2494</v>
      </c>
      <c r="D12" s="553"/>
      <c r="E12" s="553"/>
      <c r="F12" s="553"/>
      <c r="G12" s="553"/>
      <c r="H12" s="553"/>
      <c r="I12" s="553"/>
      <c r="J12" s="550"/>
      <c r="K12" s="553"/>
      <c r="L12" s="566"/>
      <c r="N12" s="121"/>
      <c r="O12" s="566"/>
      <c r="P12" s="566"/>
      <c r="Q12" s="566"/>
      <c r="R12" s="566"/>
      <c r="S12" s="566"/>
      <c r="T12" s="566"/>
      <c r="U12" s="566"/>
      <c r="V12" s="566"/>
      <c r="W12" s="566"/>
      <c r="X12" s="566"/>
      <c r="Y12" s="566"/>
      <c r="Z12" s="566"/>
      <c r="AA12" s="566"/>
      <c r="AB12" s="566"/>
    </row>
    <row r="13" spans="1:28" x14ac:dyDescent="0.25">
      <c r="A13" s="121">
        <f>A12+1</f>
        <v>5</v>
      </c>
      <c r="B13" s="45"/>
      <c r="C13" s="553" t="s">
        <v>2494</v>
      </c>
      <c r="D13" s="553"/>
      <c r="E13" s="553"/>
      <c r="F13" s="553"/>
      <c r="G13" s="553"/>
      <c r="H13" s="553"/>
      <c r="I13" s="553"/>
      <c r="J13" s="550"/>
      <c r="K13" s="553"/>
      <c r="L13" s="566"/>
      <c r="N13" s="121"/>
      <c r="O13" s="566"/>
      <c r="P13" s="566"/>
      <c r="Q13" s="566"/>
      <c r="R13" s="566"/>
      <c r="S13" s="566"/>
      <c r="T13" s="566"/>
      <c r="U13" s="566"/>
      <c r="V13" s="566"/>
      <c r="W13" s="566"/>
      <c r="X13" s="566"/>
      <c r="Y13" s="566"/>
      <c r="Z13" s="566"/>
      <c r="AA13" s="566"/>
      <c r="AB13" s="566"/>
    </row>
    <row r="14" spans="1:28" x14ac:dyDescent="0.25">
      <c r="A14" s="121">
        <f>A13+1</f>
        <v>6</v>
      </c>
      <c r="B14" s="45"/>
      <c r="C14" s="553" t="s">
        <v>2494</v>
      </c>
      <c r="D14" s="553"/>
      <c r="E14" s="553"/>
      <c r="F14" s="553"/>
      <c r="G14" s="553"/>
      <c r="H14" s="553"/>
      <c r="I14" s="553"/>
      <c r="J14" s="550"/>
      <c r="K14" s="553"/>
      <c r="L14" s="566"/>
      <c r="N14" s="121"/>
      <c r="O14" s="566"/>
      <c r="P14" s="566"/>
      <c r="Q14" s="566"/>
      <c r="R14" s="566"/>
      <c r="S14" s="566"/>
      <c r="T14" s="566"/>
      <c r="U14" s="566"/>
      <c r="V14" s="566"/>
      <c r="W14" s="566"/>
      <c r="X14" s="566"/>
      <c r="Y14" s="566"/>
      <c r="Z14" s="566"/>
      <c r="AA14" s="566"/>
      <c r="AB14" s="566"/>
    </row>
    <row r="15" spans="1:28" x14ac:dyDescent="0.25">
      <c r="A15" s="121">
        <f t="shared" ref="A15:A16" si="0">A14+1</f>
        <v>7</v>
      </c>
      <c r="B15" s="45"/>
      <c r="C15" s="553" t="s">
        <v>2494</v>
      </c>
      <c r="D15" s="553"/>
      <c r="E15" s="553"/>
      <c r="F15" s="553"/>
      <c r="G15" s="553"/>
      <c r="H15" s="553"/>
      <c r="I15" s="553"/>
      <c r="J15" s="550"/>
      <c r="K15" s="553"/>
      <c r="L15" s="566"/>
      <c r="N15" s="121"/>
      <c r="O15" s="566"/>
      <c r="P15" s="566"/>
      <c r="Q15" s="566"/>
      <c r="R15" s="566"/>
      <c r="S15" s="566"/>
      <c r="T15" s="566"/>
      <c r="U15" s="566"/>
      <c r="V15" s="566"/>
      <c r="W15" s="566"/>
      <c r="X15" s="566"/>
      <c r="Y15" s="566"/>
      <c r="Z15" s="566"/>
      <c r="AA15" s="566"/>
      <c r="AB15" s="566"/>
    </row>
    <row r="16" spans="1:28" x14ac:dyDescent="0.25">
      <c r="A16" s="121">
        <f t="shared" si="0"/>
        <v>8</v>
      </c>
      <c r="B16" s="45"/>
      <c r="C16" s="550" t="s">
        <v>228</v>
      </c>
      <c r="D16" s="553"/>
      <c r="E16" s="553"/>
      <c r="F16" s="553"/>
      <c r="G16" s="553"/>
      <c r="H16" s="553"/>
      <c r="I16" s="14"/>
      <c r="J16" s="550" t="str">
        <f>"L"&amp;A8&amp;" + L"&amp;A9&amp;" + L"&amp;A10&amp;" + L"&amp;A11&amp;""</f>
        <v>L1 + L2 + L2a + L3</v>
      </c>
      <c r="K16" s="553"/>
      <c r="L16" s="568">
        <f>SUM(L8:L11)</f>
        <v>0</v>
      </c>
    </row>
    <row r="17" spans="1:28" x14ac:dyDescent="0.25">
      <c r="A17" s="14"/>
      <c r="B17" s="45"/>
      <c r="C17" s="553"/>
      <c r="D17" s="553"/>
      <c r="E17" s="553"/>
      <c r="F17" s="553"/>
      <c r="G17" s="553" t="s">
        <v>359</v>
      </c>
      <c r="H17" s="553"/>
      <c r="I17" s="553"/>
      <c r="J17" s="550"/>
      <c r="K17" s="553"/>
      <c r="L17" s="553"/>
    </row>
    <row r="18" spans="1:28" x14ac:dyDescent="0.25">
      <c r="A18" s="121"/>
      <c r="B18" s="45"/>
      <c r="C18" s="46" t="s">
        <v>295</v>
      </c>
      <c r="D18" s="553"/>
      <c r="E18" s="553"/>
      <c r="F18" s="553"/>
      <c r="G18" s="553"/>
      <c r="H18" s="553"/>
      <c r="I18" s="553"/>
      <c r="J18" s="550"/>
      <c r="K18" s="553"/>
      <c r="L18" s="553"/>
    </row>
    <row r="19" spans="1:28" x14ac:dyDescent="0.25">
      <c r="A19" s="121">
        <f>A16+1</f>
        <v>9</v>
      </c>
      <c r="B19" s="45"/>
      <c r="C19" s="553" t="s">
        <v>230</v>
      </c>
      <c r="D19" s="553"/>
      <c r="E19" s="553"/>
      <c r="F19" s="553"/>
      <c r="G19" s="553"/>
      <c r="H19" s="553"/>
      <c r="I19" s="553"/>
      <c r="J19" s="550" t="s">
        <v>402</v>
      </c>
      <c r="K19" s="553"/>
      <c r="L19" s="567"/>
    </row>
    <row r="20" spans="1:28" x14ac:dyDescent="0.25">
      <c r="A20" s="121">
        <f>A19+1</f>
        <v>10</v>
      </c>
      <c r="B20" s="45"/>
      <c r="C20" s="553" t="s">
        <v>229</v>
      </c>
      <c r="D20" s="553"/>
      <c r="E20" s="553"/>
      <c r="F20" s="553"/>
      <c r="G20" s="553"/>
      <c r="H20" s="553"/>
      <c r="I20" s="553"/>
      <c r="J20" s="550" t="s">
        <v>403</v>
      </c>
      <c r="K20" s="553"/>
      <c r="L20" s="567"/>
    </row>
    <row r="21" spans="1:28" x14ac:dyDescent="0.25">
      <c r="A21" s="121">
        <f t="shared" ref="A21:A27" si="1">A20+1</f>
        <v>11</v>
      </c>
      <c r="B21" s="45"/>
      <c r="C21" s="553" t="s">
        <v>231</v>
      </c>
      <c r="D21" s="553"/>
      <c r="E21" s="553"/>
      <c r="F21" s="553"/>
      <c r="G21" s="553"/>
      <c r="H21" s="553"/>
      <c r="I21" s="553"/>
      <c r="J21" s="550" t="s">
        <v>404</v>
      </c>
      <c r="K21" s="553"/>
      <c r="L21" s="567"/>
    </row>
    <row r="22" spans="1:28" x14ac:dyDescent="0.25">
      <c r="A22" s="121">
        <f t="shared" si="1"/>
        <v>12</v>
      </c>
      <c r="B22" s="45"/>
      <c r="C22" s="553" t="s">
        <v>297</v>
      </c>
      <c r="D22" s="553"/>
      <c r="E22" s="553"/>
      <c r="F22" s="553"/>
      <c r="G22" s="553"/>
      <c r="H22" s="553"/>
      <c r="I22" s="553" t="s">
        <v>232</v>
      </c>
      <c r="J22" s="550" t="s">
        <v>405</v>
      </c>
      <c r="K22" s="553"/>
      <c r="L22" s="567"/>
    </row>
    <row r="23" spans="1:28" x14ac:dyDescent="0.25">
      <c r="A23" s="121">
        <f t="shared" si="1"/>
        <v>13</v>
      </c>
      <c r="B23" s="45"/>
      <c r="C23" s="553" t="s">
        <v>233</v>
      </c>
      <c r="D23" s="553"/>
      <c r="E23" s="553"/>
      <c r="F23" s="553"/>
      <c r="G23" s="553"/>
      <c r="H23" s="553"/>
      <c r="I23" s="553" t="s">
        <v>232</v>
      </c>
      <c r="J23" s="550" t="s">
        <v>406</v>
      </c>
      <c r="K23" s="553"/>
      <c r="L23" s="567"/>
    </row>
    <row r="24" spans="1:28" x14ac:dyDescent="0.25">
      <c r="A24" s="121" t="s">
        <v>1314</v>
      </c>
      <c r="B24" s="45"/>
      <c r="C24" s="553" t="s">
        <v>2210</v>
      </c>
      <c r="D24" s="553"/>
      <c r="E24" s="553"/>
      <c r="F24" s="553"/>
      <c r="G24" s="553"/>
      <c r="H24" s="553"/>
      <c r="I24" s="553"/>
      <c r="J24" s="550" t="s">
        <v>2211</v>
      </c>
      <c r="K24" s="553"/>
      <c r="L24" s="567"/>
    </row>
    <row r="25" spans="1:28" x14ac:dyDescent="0.25">
      <c r="A25" s="121">
        <f>A23+1</f>
        <v>14</v>
      </c>
      <c r="B25" s="45"/>
      <c r="C25" s="553" t="s">
        <v>2494</v>
      </c>
      <c r="D25" s="553"/>
      <c r="E25" s="553"/>
      <c r="F25" s="553"/>
      <c r="G25" s="553"/>
      <c r="H25" s="553"/>
      <c r="I25" s="553"/>
      <c r="J25" s="550"/>
      <c r="K25" s="553"/>
      <c r="L25" s="566"/>
    </row>
    <row r="26" spans="1:28" x14ac:dyDescent="0.25">
      <c r="A26" s="121">
        <f t="shared" si="1"/>
        <v>15</v>
      </c>
      <c r="B26" s="45"/>
      <c r="C26" s="553" t="s">
        <v>2494</v>
      </c>
      <c r="D26" s="553"/>
      <c r="E26" s="553"/>
      <c r="F26" s="553"/>
      <c r="G26" s="553"/>
      <c r="H26" s="553"/>
      <c r="I26" s="553"/>
      <c r="J26" s="550"/>
      <c r="K26" s="553"/>
      <c r="L26" s="1169"/>
    </row>
    <row r="27" spans="1:28" x14ac:dyDescent="0.25">
      <c r="A27" s="121">
        <f t="shared" si="1"/>
        <v>16</v>
      </c>
      <c r="B27" s="45"/>
      <c r="C27" s="550" t="s">
        <v>279</v>
      </c>
      <c r="D27" s="553"/>
      <c r="E27" s="553"/>
      <c r="F27" s="553"/>
      <c r="G27" s="553"/>
      <c r="H27" s="553"/>
      <c r="I27" s="14"/>
      <c r="J27" s="550" t="str">
        <f>"Sum of Lines "&amp;A19&amp;" to "&amp;A24&amp;""</f>
        <v>Sum of Lines 9 to 13a</v>
      </c>
      <c r="K27" s="553"/>
      <c r="L27" s="568">
        <f>SUM(L19:L24)</f>
        <v>0</v>
      </c>
    </row>
    <row r="28" spans="1:28" x14ac:dyDescent="0.25">
      <c r="A28" s="14"/>
      <c r="B28" s="45"/>
      <c r="C28" s="553"/>
      <c r="D28" s="553"/>
      <c r="E28" s="553"/>
      <c r="F28" s="553"/>
      <c r="G28" s="553"/>
      <c r="H28" s="553"/>
      <c r="I28" s="553"/>
      <c r="J28" s="550"/>
      <c r="K28" s="553"/>
      <c r="L28" s="553"/>
    </row>
    <row r="29" spans="1:28" x14ac:dyDescent="0.25">
      <c r="A29" s="121">
        <f>A27+1</f>
        <v>17</v>
      </c>
      <c r="B29" s="45"/>
      <c r="C29" s="553" t="s">
        <v>49</v>
      </c>
      <c r="D29" s="553"/>
      <c r="E29" s="553"/>
      <c r="F29" s="553"/>
      <c r="G29" s="553"/>
      <c r="H29" s="553"/>
      <c r="I29" s="14"/>
      <c r="J29" s="550" t="str">
        <f>"Line "&amp;A27&amp;" / Line "&amp;A16&amp;""</f>
        <v>Line 16 / Line 8</v>
      </c>
      <c r="K29" s="553"/>
      <c r="L29" s="460" t="e">
        <f>L27/L16</f>
        <v>#DIV/0!</v>
      </c>
    </row>
    <row r="30" spans="1:28" x14ac:dyDescent="0.25">
      <c r="A30" s="121"/>
      <c r="B30" s="45"/>
      <c r="C30" s="553"/>
      <c r="D30" s="553"/>
      <c r="E30" s="553"/>
      <c r="F30" s="553"/>
      <c r="G30" s="553"/>
      <c r="H30" s="553"/>
      <c r="I30" s="14"/>
      <c r="J30" s="550"/>
      <c r="K30" s="553"/>
      <c r="L30" s="460"/>
    </row>
    <row r="31" spans="1:28" x14ac:dyDescent="0.25">
      <c r="A31" s="14"/>
      <c r="B31" s="45"/>
      <c r="C31" s="46" t="s">
        <v>1668</v>
      </c>
      <c r="D31" s="553"/>
      <c r="E31" s="553"/>
      <c r="F31" s="553"/>
      <c r="G31" s="553"/>
      <c r="H31" s="553"/>
      <c r="I31" s="553"/>
      <c r="J31" s="550"/>
      <c r="K31" s="553"/>
      <c r="L31" s="553"/>
    </row>
    <row r="32" spans="1:28" x14ac:dyDescent="0.25">
      <c r="A32" s="121">
        <f>A29+1</f>
        <v>18</v>
      </c>
      <c r="B32" s="45"/>
      <c r="C32" s="553" t="s">
        <v>50</v>
      </c>
      <c r="D32" s="553"/>
      <c r="E32" s="553"/>
      <c r="F32" s="553"/>
      <c r="G32" s="553"/>
      <c r="H32" s="553"/>
      <c r="I32" s="553" t="s">
        <v>1848</v>
      </c>
      <c r="J32" s="550" t="str">
        <f>"5-ROR-2, Line "&amp;'5-ROR-2'!A24&amp;""</f>
        <v>5-ROR-2, Line 18</v>
      </c>
      <c r="K32" s="553"/>
      <c r="L32" s="566">
        <f>'5-ROR-2'!C24</f>
        <v>0</v>
      </c>
      <c r="N32" s="121"/>
      <c r="O32" s="566"/>
      <c r="P32" s="566"/>
      <c r="Q32" s="566"/>
      <c r="R32" s="566"/>
      <c r="S32" s="566"/>
      <c r="T32" s="566"/>
      <c r="U32" s="566"/>
      <c r="V32" s="566"/>
      <c r="W32" s="566"/>
      <c r="X32" s="566"/>
      <c r="Y32" s="566"/>
      <c r="Z32" s="566"/>
      <c r="AA32" s="566"/>
      <c r="AB32" s="566"/>
    </row>
    <row r="33" spans="1:28" x14ac:dyDescent="0.25">
      <c r="A33" s="121">
        <f t="shared" ref="A33:A34" si="2">A32+1</f>
        <v>19</v>
      </c>
      <c r="B33" s="45"/>
      <c r="C33" s="553" t="s">
        <v>1664</v>
      </c>
      <c r="D33" s="553"/>
      <c r="E33" s="553"/>
      <c r="F33" s="553"/>
      <c r="G33" s="553"/>
      <c r="H33" s="553"/>
      <c r="I33" s="553" t="s">
        <v>1848</v>
      </c>
      <c r="J33" s="550" t="str">
        <f>"5-ROR-2, Line "&amp;'5-ROR-2'!A26&amp;""</f>
        <v>5-ROR-2, Line 19</v>
      </c>
      <c r="K33" s="553"/>
      <c r="L33" s="566">
        <f>'5-ROR-2'!C26</f>
        <v>0</v>
      </c>
      <c r="N33" s="121"/>
      <c r="O33" s="566"/>
      <c r="P33" s="566"/>
      <c r="Q33" s="566"/>
      <c r="R33" s="566"/>
      <c r="S33" s="566"/>
      <c r="T33" s="566"/>
      <c r="U33" s="566"/>
      <c r="V33" s="566"/>
      <c r="W33" s="566"/>
      <c r="X33" s="566"/>
      <c r="Y33" s="566"/>
      <c r="Z33" s="566"/>
      <c r="AA33" s="566"/>
      <c r="AB33" s="566"/>
    </row>
    <row r="34" spans="1:28" x14ac:dyDescent="0.25">
      <c r="A34" s="121">
        <f t="shared" si="2"/>
        <v>20</v>
      </c>
      <c r="B34" s="45"/>
      <c r="C34" s="553" t="s">
        <v>1289</v>
      </c>
      <c r="D34" s="553"/>
      <c r="E34" s="553"/>
      <c r="F34" s="553"/>
      <c r="G34" s="553"/>
      <c r="H34" s="553"/>
      <c r="I34" s="553" t="s">
        <v>1848</v>
      </c>
      <c r="J34" s="550" t="str">
        <f>"5-ROR-2, Line "&amp;'5-ROR-2'!A28&amp;""</f>
        <v>5-ROR-2, Line 20</v>
      </c>
      <c r="K34" s="553"/>
      <c r="L34" s="569">
        <f>'5-ROR-2'!C28</f>
        <v>0</v>
      </c>
      <c r="N34" s="121"/>
      <c r="O34" s="566"/>
      <c r="P34" s="566"/>
      <c r="Q34" s="566"/>
      <c r="R34" s="566"/>
      <c r="S34" s="566"/>
      <c r="T34" s="566"/>
      <c r="U34" s="566"/>
      <c r="V34" s="566"/>
      <c r="W34" s="566"/>
      <c r="X34" s="566"/>
      <c r="Y34" s="566"/>
      <c r="Z34" s="566"/>
      <c r="AA34" s="566"/>
      <c r="AB34" s="566"/>
    </row>
    <row r="35" spans="1:28" x14ac:dyDescent="0.25">
      <c r="A35" s="121">
        <f>A34+1</f>
        <v>21</v>
      </c>
      <c r="B35" s="45"/>
      <c r="C35" s="550" t="s">
        <v>56</v>
      </c>
      <c r="D35" s="553"/>
      <c r="E35" s="553"/>
      <c r="F35" s="553"/>
      <c r="G35" s="553"/>
      <c r="H35" s="553"/>
      <c r="I35" s="553"/>
      <c r="J35" s="550" t="str">
        <f>"Sum of Lines "&amp;A32&amp;" to "&amp;A34&amp;""</f>
        <v>Sum of Lines 18 to 20</v>
      </c>
      <c r="K35" s="553"/>
      <c r="L35" s="566">
        <f>SUM(L32:L34)</f>
        <v>0</v>
      </c>
    </row>
    <row r="36" spans="1:28" x14ac:dyDescent="0.25">
      <c r="A36" s="121"/>
      <c r="B36" s="45"/>
      <c r="C36" s="553"/>
      <c r="D36" s="553"/>
      <c r="E36" s="553"/>
      <c r="F36" s="553"/>
      <c r="G36" s="553"/>
      <c r="H36" s="553"/>
      <c r="I36" s="553"/>
      <c r="J36" s="550"/>
      <c r="K36" s="553"/>
      <c r="L36" s="566"/>
    </row>
    <row r="37" spans="1:28" x14ac:dyDescent="0.25">
      <c r="A37" s="121"/>
      <c r="B37" s="45"/>
      <c r="C37" s="46" t="s">
        <v>1669</v>
      </c>
      <c r="D37" s="553"/>
      <c r="E37" s="553"/>
      <c r="F37" s="553"/>
      <c r="G37" s="553"/>
      <c r="H37" s="553"/>
      <c r="I37" s="553"/>
      <c r="J37" s="550"/>
      <c r="K37" s="553"/>
      <c r="L37" s="566"/>
    </row>
    <row r="38" spans="1:28" x14ac:dyDescent="0.25">
      <c r="A38" s="121">
        <f>A35+1</f>
        <v>22</v>
      </c>
      <c r="B38" s="45"/>
      <c r="C38" s="553" t="s">
        <v>51</v>
      </c>
      <c r="D38" s="553"/>
      <c r="E38" s="553"/>
      <c r="F38" s="553"/>
      <c r="G38" s="553"/>
      <c r="H38" s="553"/>
      <c r="I38" s="553" t="s">
        <v>98</v>
      </c>
      <c r="J38" s="550" t="s">
        <v>407</v>
      </c>
      <c r="K38" s="553"/>
      <c r="L38" s="567"/>
    </row>
    <row r="39" spans="1:28" x14ac:dyDescent="0.25">
      <c r="A39" s="121">
        <f>A38+1</f>
        <v>23</v>
      </c>
      <c r="B39" s="45"/>
      <c r="C39" s="553" t="s">
        <v>1290</v>
      </c>
      <c r="D39" s="553"/>
      <c r="E39" s="553"/>
      <c r="F39" s="553"/>
      <c r="G39" s="553"/>
      <c r="H39" s="553"/>
      <c r="I39" s="553"/>
      <c r="J39" s="550" t="s">
        <v>311</v>
      </c>
      <c r="K39" s="553"/>
      <c r="L39" s="566">
        <f>'5-ROR-2'!H74</f>
        <v>0</v>
      </c>
    </row>
    <row r="40" spans="1:28" x14ac:dyDescent="0.25">
      <c r="A40" s="121">
        <f>A39+1</f>
        <v>24</v>
      </c>
      <c r="B40" s="45"/>
      <c r="C40" s="553" t="s">
        <v>1291</v>
      </c>
      <c r="D40" s="553"/>
      <c r="E40" s="553"/>
      <c r="F40" s="553"/>
      <c r="G40" s="553"/>
      <c r="H40" s="553"/>
      <c r="I40" s="553"/>
      <c r="J40" s="550" t="s">
        <v>1048</v>
      </c>
      <c r="K40" s="553"/>
      <c r="L40" s="566">
        <f>'5-ROR-2'!I64</f>
        <v>0</v>
      </c>
    </row>
    <row r="41" spans="1:28" x14ac:dyDescent="0.25">
      <c r="A41" s="121">
        <f t="shared" ref="A41" si="3">A40+1</f>
        <v>25</v>
      </c>
      <c r="B41" s="45"/>
      <c r="C41" s="550" t="s">
        <v>51</v>
      </c>
      <c r="D41" s="553"/>
      <c r="E41" s="553"/>
      <c r="F41" s="553"/>
      <c r="G41" s="553"/>
      <c r="H41" s="553"/>
      <c r="I41" s="14"/>
      <c r="J41" s="550" t="str">
        <f>"Sum of Lines "&amp;A38&amp;" to "&amp;A40&amp;""</f>
        <v>Sum of Lines 22 to 24</v>
      </c>
      <c r="K41" s="553"/>
      <c r="L41" s="568">
        <f>SUM(L38:L40)</f>
        <v>0</v>
      </c>
    </row>
    <row r="42" spans="1:28" x14ac:dyDescent="0.25">
      <c r="A42" s="14"/>
      <c r="B42" s="45"/>
      <c r="C42" s="553"/>
      <c r="D42" s="553"/>
      <c r="E42" s="553"/>
      <c r="F42" s="553"/>
      <c r="G42" s="553"/>
      <c r="H42" s="553"/>
      <c r="I42" s="553"/>
      <c r="J42" s="550"/>
      <c r="K42" s="553"/>
      <c r="L42" s="566"/>
    </row>
    <row r="43" spans="1:28" x14ac:dyDescent="0.25">
      <c r="A43" s="121">
        <f>A41+1</f>
        <v>26</v>
      </c>
      <c r="B43" s="45"/>
      <c r="C43" s="553" t="s">
        <v>52</v>
      </c>
      <c r="D43" s="553"/>
      <c r="E43" s="553"/>
      <c r="F43" s="553"/>
      <c r="G43" s="553"/>
      <c r="H43" s="553"/>
      <c r="I43" s="14"/>
      <c r="J43" s="550" t="str">
        <f>"Line "&amp;A41&amp;" / Line "&amp;A35&amp;""</f>
        <v>Line 25 / Line 21</v>
      </c>
      <c r="K43" s="553"/>
      <c r="L43" s="460" t="e">
        <f>L41/L35</f>
        <v>#DIV/0!</v>
      </c>
    </row>
    <row r="44" spans="1:28" x14ac:dyDescent="0.25">
      <c r="A44" s="14"/>
      <c r="B44" s="45"/>
      <c r="C44" s="553"/>
      <c r="D44" s="553"/>
      <c r="E44" s="553"/>
      <c r="F44" s="553"/>
      <c r="G44" s="553"/>
      <c r="H44" s="553"/>
      <c r="I44" s="553"/>
      <c r="J44" s="550"/>
      <c r="K44" s="553"/>
      <c r="L44" s="553"/>
    </row>
    <row r="45" spans="1:28" x14ac:dyDescent="0.25">
      <c r="A45" s="14"/>
      <c r="B45" s="45"/>
      <c r="C45" s="46" t="s">
        <v>296</v>
      </c>
      <c r="D45" s="553"/>
      <c r="E45" s="553"/>
      <c r="F45" s="553"/>
      <c r="G45" s="553"/>
      <c r="H45" s="553"/>
      <c r="I45" s="570"/>
      <c r="J45" s="550"/>
      <c r="K45" s="553"/>
      <c r="L45" s="553"/>
    </row>
    <row r="46" spans="1:28" x14ac:dyDescent="0.25">
      <c r="A46" s="121">
        <f>A43+1</f>
        <v>27</v>
      </c>
      <c r="B46" s="45"/>
      <c r="C46" s="553" t="s">
        <v>234</v>
      </c>
      <c r="D46" s="553"/>
      <c r="E46" s="553"/>
      <c r="F46" s="553"/>
      <c r="G46" s="553"/>
      <c r="H46" s="553"/>
      <c r="I46" s="553" t="s">
        <v>1848</v>
      </c>
      <c r="J46" s="550" t="str">
        <f>"5-ROR-2, Line "&amp;'5-ROR-2'!A30&amp;""</f>
        <v>5-ROR-2, Line 27</v>
      </c>
      <c r="K46" s="553"/>
      <c r="L46" s="566">
        <f>'5-ROR-2'!C30</f>
        <v>0</v>
      </c>
      <c r="N46" s="121"/>
      <c r="O46" s="566"/>
      <c r="P46" s="566"/>
      <c r="Q46" s="566"/>
      <c r="R46" s="566"/>
      <c r="S46" s="566"/>
      <c r="T46" s="566"/>
      <c r="U46" s="566"/>
      <c r="V46" s="566"/>
      <c r="W46" s="566"/>
      <c r="X46" s="566"/>
      <c r="Y46" s="566"/>
      <c r="Z46" s="566"/>
      <c r="AA46" s="566"/>
      <c r="AB46" s="566"/>
    </row>
    <row r="47" spans="1:28" x14ac:dyDescent="0.25">
      <c r="A47" s="121">
        <f>A46+1</f>
        <v>28</v>
      </c>
      <c r="B47" s="45"/>
      <c r="C47" s="553" t="s">
        <v>54</v>
      </c>
      <c r="D47" s="553"/>
      <c r="E47" s="553"/>
      <c r="F47" s="553"/>
      <c r="G47" s="553"/>
      <c r="H47" s="553"/>
      <c r="I47" s="553" t="str">
        <f>"Same as L "&amp;A32&amp;", but negative"</f>
        <v>Same as L 18, but negative</v>
      </c>
      <c r="J47" s="550" t="str">
        <f>"5-ROR-2, Line "&amp;'5-ROR-2'!A24&amp;""</f>
        <v>5-ROR-2, Line 18</v>
      </c>
      <c r="K47" s="553"/>
      <c r="L47" s="566">
        <f>-'5-ROR-2'!C24</f>
        <v>0</v>
      </c>
      <c r="N47" s="121"/>
      <c r="O47" s="566"/>
      <c r="P47" s="566"/>
      <c r="Q47" s="566"/>
      <c r="R47" s="566"/>
      <c r="S47" s="566"/>
      <c r="T47" s="566"/>
      <c r="U47" s="566"/>
      <c r="V47" s="566"/>
      <c r="W47" s="566"/>
      <c r="X47" s="566"/>
      <c r="Y47" s="566"/>
      <c r="Z47" s="566"/>
      <c r="AA47" s="566"/>
      <c r="AB47" s="566"/>
    </row>
    <row r="48" spans="1:28" x14ac:dyDescent="0.25">
      <c r="A48" s="121">
        <f t="shared" ref="A48:A50" si="4">A47+1</f>
        <v>29</v>
      </c>
      <c r="B48" s="45"/>
      <c r="C48" s="553" t="s">
        <v>1665</v>
      </c>
      <c r="D48" s="553"/>
      <c r="E48" s="553"/>
      <c r="F48" s="553"/>
      <c r="G48" s="553"/>
      <c r="H48" s="553"/>
      <c r="I48" s="553" t="str">
        <f>"Same as L "&amp;A34&amp;", but reverse sign"</f>
        <v>Same as L 20, but reverse sign</v>
      </c>
      <c r="J48" s="550" t="s">
        <v>1049</v>
      </c>
      <c r="K48" s="553"/>
      <c r="L48" s="566">
        <f>-L34</f>
        <v>0</v>
      </c>
      <c r="N48" s="121"/>
      <c r="O48" s="566"/>
      <c r="P48" s="566"/>
      <c r="Q48" s="566"/>
      <c r="R48" s="566"/>
      <c r="S48" s="566"/>
      <c r="T48" s="566"/>
      <c r="U48" s="566"/>
      <c r="V48" s="566"/>
      <c r="W48" s="566"/>
      <c r="X48" s="566"/>
      <c r="Y48" s="566"/>
      <c r="Z48" s="566"/>
      <c r="AA48" s="566"/>
      <c r="AB48" s="566"/>
    </row>
    <row r="49" spans="1:28" x14ac:dyDescent="0.25">
      <c r="A49" s="121">
        <f t="shared" si="4"/>
        <v>30</v>
      </c>
      <c r="B49" s="45"/>
      <c r="C49" s="553" t="s">
        <v>1666</v>
      </c>
      <c r="D49" s="553"/>
      <c r="E49" s="553"/>
      <c r="F49" s="553"/>
      <c r="G49" s="553"/>
      <c r="H49" s="553"/>
      <c r="I49" s="553" t="s">
        <v>1848</v>
      </c>
      <c r="J49" s="550" t="str">
        <f>"5-ROR-2, Line "&amp;'5-ROR-2'!A32&amp;""</f>
        <v>5-ROR-2, Line 30</v>
      </c>
      <c r="K49" s="553"/>
      <c r="L49" s="566">
        <f>'5-ROR-2'!C32</f>
        <v>0</v>
      </c>
      <c r="N49" s="121"/>
      <c r="O49" s="566"/>
      <c r="P49" s="566"/>
      <c r="Q49" s="566"/>
      <c r="R49" s="566"/>
      <c r="S49" s="566"/>
      <c r="T49" s="566"/>
      <c r="U49" s="566"/>
      <c r="V49" s="566"/>
      <c r="W49" s="566"/>
      <c r="X49" s="566"/>
      <c r="Y49" s="566"/>
      <c r="Z49" s="566"/>
      <c r="AA49" s="566"/>
      <c r="AB49" s="566"/>
    </row>
    <row r="50" spans="1:28" x14ac:dyDescent="0.25">
      <c r="A50" s="121">
        <f t="shared" si="4"/>
        <v>31</v>
      </c>
      <c r="B50" s="45"/>
      <c r="C50" s="553" t="s">
        <v>1667</v>
      </c>
      <c r="D50" s="553"/>
      <c r="E50" s="553"/>
      <c r="F50" s="553"/>
      <c r="G50" s="553"/>
      <c r="H50" s="553"/>
      <c r="I50" s="553" t="s">
        <v>1848</v>
      </c>
      <c r="J50" s="550" t="str">
        <f>"5-ROR-2, Line "&amp;'5-ROR-2'!A34&amp;""</f>
        <v>5-ROR-2, Line 31</v>
      </c>
      <c r="K50" s="553"/>
      <c r="L50" s="566">
        <f>'5-ROR-2'!C34</f>
        <v>0</v>
      </c>
      <c r="N50" s="121"/>
      <c r="O50" s="566"/>
      <c r="P50" s="566"/>
      <c r="Q50" s="566"/>
      <c r="R50" s="566"/>
      <c r="S50" s="566"/>
      <c r="T50" s="566"/>
      <c r="U50" s="566"/>
      <c r="V50" s="566"/>
      <c r="W50" s="566"/>
      <c r="X50" s="566"/>
      <c r="Y50" s="566"/>
      <c r="Z50" s="566"/>
      <c r="AA50" s="566"/>
      <c r="AB50" s="566"/>
    </row>
    <row r="51" spans="1:28" x14ac:dyDescent="0.25">
      <c r="A51" s="121">
        <f>A50+1</f>
        <v>32</v>
      </c>
      <c r="B51" s="45"/>
      <c r="C51" s="553" t="s">
        <v>53</v>
      </c>
      <c r="D51" s="553"/>
      <c r="E51" s="553"/>
      <c r="F51" s="553"/>
      <c r="G51" s="553"/>
      <c r="H51" s="553"/>
      <c r="I51" s="553"/>
      <c r="J51" s="550" t="str">
        <f>"Sum of Lines "&amp;A46&amp;" to "&amp;A50&amp;""</f>
        <v>Sum of Lines 27 to 31</v>
      </c>
      <c r="K51" s="553"/>
      <c r="L51" s="568">
        <f>SUM(L46:L50)</f>
        <v>0</v>
      </c>
    </row>
    <row r="52" spans="1:28" x14ac:dyDescent="0.25">
      <c r="B52" s="53" t="s">
        <v>256</v>
      </c>
      <c r="C52" s="553"/>
      <c r="D52" s="553"/>
      <c r="E52" s="553"/>
      <c r="F52" s="553"/>
      <c r="G52" s="553"/>
      <c r="H52" s="553"/>
      <c r="I52" s="553"/>
      <c r="J52" s="553"/>
      <c r="K52" s="551"/>
      <c r="L52" s="551"/>
    </row>
    <row r="53" spans="1:28" x14ac:dyDescent="0.25">
      <c r="B53" s="553" t="s">
        <v>2554</v>
      </c>
      <c r="C53" s="14"/>
      <c r="D53" s="14"/>
      <c r="E53" s="14"/>
      <c r="F53" s="14"/>
      <c r="G53" s="14"/>
      <c r="H53" s="14"/>
      <c r="I53" s="14"/>
      <c r="J53" s="553"/>
    </row>
    <row r="54" spans="1:28" x14ac:dyDescent="0.25">
      <c r="B54" s="553" t="s">
        <v>2555</v>
      </c>
      <c r="C54" s="14"/>
      <c r="D54" s="14"/>
      <c r="E54" s="14"/>
      <c r="F54" s="14"/>
      <c r="G54" s="14"/>
      <c r="H54" s="14"/>
      <c r="I54" s="14"/>
      <c r="J54" s="553"/>
    </row>
    <row r="55" spans="1:28" x14ac:dyDescent="0.25">
      <c r="B55" s="553" t="s">
        <v>2566</v>
      </c>
      <c r="C55" s="14"/>
      <c r="D55" s="14"/>
      <c r="E55" s="14"/>
      <c r="F55" s="14"/>
      <c r="G55" s="14"/>
      <c r="H55" s="14"/>
      <c r="I55" s="14"/>
      <c r="J55" s="553"/>
    </row>
    <row r="56" spans="1:28" x14ac:dyDescent="0.25">
      <c r="B56" s="553" t="s">
        <v>2567</v>
      </c>
      <c r="C56" s="14"/>
      <c r="D56" s="14"/>
      <c r="E56" s="14"/>
      <c r="F56" s="14"/>
      <c r="G56" s="14"/>
      <c r="H56" s="14"/>
      <c r="I56" s="14"/>
      <c r="J56" s="14"/>
    </row>
    <row r="57" spans="1:28" x14ac:dyDescent="0.25">
      <c r="B57" s="571" t="str">
        <f>"5) Negative of Line "&amp;A34&amp;""&amp;", charge to common equity reversed for ratemaking."</f>
        <v>5) Negative of Line 20, charge to common equity reversed for ratemaking.</v>
      </c>
      <c r="C57" s="14"/>
      <c r="D57" s="14"/>
      <c r="E57" s="14"/>
      <c r="F57" s="14"/>
      <c r="G57" s="14"/>
      <c r="H57" s="14"/>
      <c r="I57" s="14"/>
      <c r="J57" s="14"/>
    </row>
    <row r="58" spans="1:28" x14ac:dyDescent="0.25">
      <c r="B58" s="551"/>
    </row>
    <row r="59" spans="1:28" x14ac:dyDescent="0.25">
      <c r="B59" s="555"/>
    </row>
    <row r="60" spans="1:28" x14ac:dyDescent="0.25">
      <c r="B60" s="551"/>
    </row>
    <row r="61" spans="1:28" x14ac:dyDescent="0.25">
      <c r="B61" s="555"/>
    </row>
  </sheetData>
  <phoneticPr fontId="12" type="noConversion"/>
  <pageMargins left="0.75" right="0.75" top="1" bottom="1" header="0.5" footer="0.5"/>
  <pageSetup scale="55" orientation="landscape" cellComments="asDisplayed" r:id="rId1"/>
  <headerFooter alignWithMargins="0">
    <oddHeader>&amp;CSchedule 5 ROR-1
Return and Capitalization
&amp;"Arial,Bold"Attachment 5</oddHeader>
    <oddFooter>&amp;R&amp;A</oddFooter>
  </headerFooter>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40</vt:i4>
      </vt:variant>
      <vt:variant>
        <vt:lpstr>Named Ranges</vt:lpstr>
      </vt:variant>
      <vt:variant>
        <vt:i4>41</vt:i4>
      </vt:variant>
    </vt:vector>
  </HeadingPairs>
  <TitlesOfParts>
    <vt:vector size="81" baseType="lpstr">
      <vt:lpstr>WIT</vt:lpstr>
      <vt:lpstr>Heading</vt:lpstr>
      <vt:lpstr>Contents</vt:lpstr>
      <vt:lpstr>Overview</vt:lpstr>
      <vt:lpstr>1-BaseTRR</vt:lpstr>
      <vt:lpstr>2-IFPTRR</vt:lpstr>
      <vt:lpstr>3-TrueUpAdjust</vt:lpstr>
      <vt:lpstr>4-TUTRR</vt:lpstr>
      <vt:lpstr>5-ROR-1</vt:lpstr>
      <vt:lpstr>5-ROR-2</vt:lpstr>
      <vt:lpstr>6-PlantInService</vt:lpstr>
      <vt:lpstr>7-PlantStudy</vt:lpstr>
      <vt:lpstr>8-AccDep</vt:lpstr>
      <vt:lpstr>9-ADIT</vt:lpstr>
      <vt:lpstr>10-CWIP</vt:lpstr>
      <vt:lpstr>11-PHFU</vt:lpstr>
      <vt:lpstr>12-AbandonedPlant</vt:lpstr>
      <vt:lpstr>13-WorkCap</vt:lpstr>
      <vt:lpstr>14-IncentivePlant</vt:lpstr>
      <vt:lpstr>15-IncentiveAdder</vt:lpstr>
      <vt:lpstr>16-PlantAdditions</vt:lpstr>
      <vt:lpstr>17-Depreciation</vt:lpstr>
      <vt:lpstr>18-DepRates</vt:lpstr>
      <vt:lpstr>19-OandM</vt:lpstr>
      <vt:lpstr>20-AandG</vt:lpstr>
      <vt:lpstr>21-RevenueCredits</vt:lpstr>
      <vt:lpstr>22-NUCs</vt:lpstr>
      <vt:lpstr>23-RegAssets</vt:lpstr>
      <vt:lpstr>24-CWIPTRR</vt:lpstr>
      <vt:lpstr>25-WholesaleDifference</vt:lpstr>
      <vt:lpstr>26-TaxRates</vt:lpstr>
      <vt:lpstr>27-Allocators</vt:lpstr>
      <vt:lpstr>28-FFU</vt:lpstr>
      <vt:lpstr>29-WholesaleTRRs</vt:lpstr>
      <vt:lpstr>30-WholesaleRates</vt:lpstr>
      <vt:lpstr>31-HVLV</vt:lpstr>
      <vt:lpstr>32-GrossLoad</vt:lpstr>
      <vt:lpstr>33-RetailRates</vt:lpstr>
      <vt:lpstr>34-UnfundedReserves</vt:lpstr>
      <vt:lpstr>35-PBOPs</vt:lpstr>
      <vt:lpstr>'10-CWIP'!Print_Area</vt:lpstr>
      <vt:lpstr>'11-PHFU'!Print_Area</vt:lpstr>
      <vt:lpstr>'12-AbandonedPlant'!Print_Area</vt:lpstr>
      <vt:lpstr>'13-WorkCap'!Print_Area</vt:lpstr>
      <vt:lpstr>'14-IncentivePlant'!Print_Area</vt:lpstr>
      <vt:lpstr>'15-IncentiveAdder'!Print_Area</vt:lpstr>
      <vt:lpstr>'16-PlantAdditions'!Print_Area</vt:lpstr>
      <vt:lpstr>'17-Depreciation'!Print_Area</vt:lpstr>
      <vt:lpstr>'18-DepRates'!Print_Area</vt:lpstr>
      <vt:lpstr>'19-OandM'!Print_Area</vt:lpstr>
      <vt:lpstr>'1-BaseTRR'!Print_Area</vt:lpstr>
      <vt:lpstr>'20-AandG'!Print_Area</vt:lpstr>
      <vt:lpstr>'21-RevenueCredits'!Print_Area</vt:lpstr>
      <vt:lpstr>'22-NUCs'!Print_Area</vt:lpstr>
      <vt:lpstr>'23-RegAssets'!Print_Area</vt:lpstr>
      <vt:lpstr>'24-CWIPTRR'!Print_Area</vt:lpstr>
      <vt:lpstr>'25-WholesaleDifference'!Print_Area</vt:lpstr>
      <vt:lpstr>'26-TaxRates'!Print_Area</vt:lpstr>
      <vt:lpstr>'27-Allocators'!Print_Area</vt:lpstr>
      <vt:lpstr>'28-FFU'!Print_Area</vt:lpstr>
      <vt:lpstr>'29-WholesaleTRRs'!Print_Area</vt:lpstr>
      <vt:lpstr>'2-IFPTRR'!Print_Area</vt:lpstr>
      <vt:lpstr>'30-WholesaleRates'!Print_Area</vt:lpstr>
      <vt:lpstr>'31-HVLV'!Print_Area</vt:lpstr>
      <vt:lpstr>'32-GrossLoad'!Print_Area</vt:lpstr>
      <vt:lpstr>'34-UnfundedReserves'!Print_Area</vt:lpstr>
      <vt:lpstr>'35-PBOPs'!Print_Area</vt:lpstr>
      <vt:lpstr>'3-TrueUpAdjust'!Print_Area</vt:lpstr>
      <vt:lpstr>'4-TUTRR'!Print_Area</vt:lpstr>
      <vt:lpstr>'5-ROR-1'!Print_Area</vt:lpstr>
      <vt:lpstr>'5-ROR-2'!Print_Area</vt:lpstr>
      <vt:lpstr>'6-PlantInService'!Print_Area</vt:lpstr>
      <vt:lpstr>'7-PlantStudy'!Print_Area</vt:lpstr>
      <vt:lpstr>'8-AccDep'!Print_Area</vt:lpstr>
      <vt:lpstr>'9-ADIT'!Print_Area</vt:lpstr>
      <vt:lpstr>Contents!Print_Area</vt:lpstr>
      <vt:lpstr>Heading!Print_Area</vt:lpstr>
      <vt:lpstr>Overview!Print_Area</vt:lpstr>
      <vt:lpstr>WIT!Print_Area</vt:lpstr>
      <vt:lpstr>'1-BaseTRR'!Print_Titles</vt:lpstr>
      <vt:lpstr>'21-RevenueCredits'!Print_Titles</vt:lpstr>
    </vt:vector>
  </TitlesOfParts>
  <Company>Edison International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Bert Hansen</dc:creator>
  <cp:lastModifiedBy>Hansen, Berton J</cp:lastModifiedBy>
  <cp:lastPrinted>2014-09-04T15:52:27Z</cp:lastPrinted>
  <dcterms:created xsi:type="dcterms:W3CDTF">2009-02-27T16:01:11Z</dcterms:created>
  <dcterms:modified xsi:type="dcterms:W3CDTF">2014-09-04T15:52:36Z</dcterms:modified>
</cp:coreProperties>
</file>