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Z:\2024 FERC Rate Case TO2024\6-Jun 15 Draft Informational Posting\Workpapers\"/>
    </mc:Choice>
  </mc:AlternateContent>
  <xr:revisionPtr revIDLastSave="0" documentId="14_{3739A21E-D871-46DB-9F06-5926273B3FC5}" xr6:coauthVersionLast="47" xr6:coauthVersionMax="47" xr10:uidLastSave="{00000000-0000-0000-0000-000000000000}"/>
  <bookViews>
    <workbookView xWindow="-110" yWindow="-110" windowWidth="19420" windowHeight="10420" tabRatio="746" xr2:uid="{00000000-000D-0000-FFFF-FFFF00000000}"/>
  </bookViews>
  <sheets>
    <sheet name="One Time Adj Explanation" sheetId="100" r:id="rId1"/>
    <sheet name="WP-Total Adj with Int" sheetId="86" r:id="rId2"/>
    <sheet name="WP-2017 True Up TRR Adj" sheetId="254" r:id="rId3"/>
    <sheet name="WP-2017 TO13 Sch4-TUTRR" sheetId="255" r:id="rId4"/>
    <sheet name="WP-2017 TO13 Sch20-AandG" sheetId="256" r:id="rId5"/>
    <sheet name="WP-2018 True Up TRR Adj" sheetId="257" r:id="rId6"/>
    <sheet name="WP-2018 TO2020 Sch4-TUTRR" sheetId="258" r:id="rId7"/>
    <sheet name="WP-2018 TO2020 Sch20-AandG" sheetId="259" r:id="rId8"/>
    <sheet name="WP-2019 True Up TRR Adj" sheetId="213" r:id="rId9"/>
    <sheet name="WP-2019 TO2018 Sch4-TUTRR" sheetId="260" r:id="rId10"/>
    <sheet name="WP-2019 TO2018 Sch20-AandG" sheetId="261" r:id="rId11"/>
    <sheet name="WP-2019 TO2021 Sch4-TUTRR" sheetId="262" r:id="rId12"/>
    <sheet name="WP-2019 TO2021 Sch20-AandG" sheetId="263" r:id="rId13"/>
    <sheet name="WP-2020 True Up TRR Adj" sheetId="194" r:id="rId14"/>
    <sheet name="WP-2020 TO2022 Sch4-TUTRR" sheetId="264" r:id="rId15"/>
    <sheet name="WP-2020 TO2022 Sch20-AandG" sheetId="265" r:id="rId16"/>
    <sheet name="WP-2020 TO2022 Sch28-FFU" sheetId="266" r:id="rId17"/>
    <sheet name="WP-2021 True Up TRR Adj" sheetId="267" r:id="rId18"/>
    <sheet name="WP-2021 TO2023 Sch4-TUTRR" sheetId="268" r:id="rId19"/>
    <sheet name="WP-2021 TO2023 Sch20-AandG" sheetId="269" r:id="rId20"/>
    <sheet name="WP-2021 TO2023 Sch28-FFU" sheetId="270"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Alt2007" localSheetId="7">#REF!</definedName>
    <definedName name="_Alt2007" localSheetId="6">#REF!</definedName>
    <definedName name="_Alt2007" localSheetId="8">#REF!</definedName>
    <definedName name="_Alt2007" localSheetId="13">#REF!</definedName>
    <definedName name="_Alt2007" localSheetId="17">#REF!</definedName>
    <definedName name="_Alt2007">#REF!</definedName>
    <definedName name="_Apr06" localSheetId="7">#REF!</definedName>
    <definedName name="_Apr06" localSheetId="6">#REF!</definedName>
    <definedName name="_Apr06" localSheetId="8">#REF!</definedName>
    <definedName name="_Apr06" localSheetId="13">#REF!</definedName>
    <definedName name="_Apr06" localSheetId="17">#REF!</definedName>
    <definedName name="_Apr06">#REF!</definedName>
    <definedName name="_F100040">'[1]EIX Cost Centers'!$A$1:$B$33</definedName>
    <definedName name="_Feb06" localSheetId="7">#REF!</definedName>
    <definedName name="_Feb06" localSheetId="6">#REF!</definedName>
    <definedName name="_Feb06" localSheetId="8">#REF!</definedName>
    <definedName name="_Feb06" localSheetId="13">#REF!</definedName>
    <definedName name="_Feb06" localSheetId="17">#REF!</definedName>
    <definedName name="_Feb06">#REF!</definedName>
    <definedName name="_Fill" localSheetId="7" hidden="1">#REF!</definedName>
    <definedName name="_Fill" localSheetId="6" hidden="1">#REF!</definedName>
    <definedName name="_Fill" localSheetId="8" hidden="1">#REF!</definedName>
    <definedName name="_Fill" localSheetId="13" hidden="1">#REF!</definedName>
    <definedName name="_Fill" localSheetId="17" hidden="1">#REF!</definedName>
    <definedName name="_Fill" hidden="1">#REF!</definedName>
    <definedName name="_May06" localSheetId="7">#REF!</definedName>
    <definedName name="_May06" localSheetId="6">#REF!</definedName>
    <definedName name="_May06" localSheetId="8">#REF!</definedName>
    <definedName name="_May06" localSheetId="13">#REF!</definedName>
    <definedName name="_May06" localSheetId="17">#REF!</definedName>
    <definedName name="_May06">#REF!</definedName>
    <definedName name="_Nov05" localSheetId="7">#REF!</definedName>
    <definedName name="_Nov05" localSheetId="6">#REF!</definedName>
    <definedName name="_Nov05">#REF!</definedName>
    <definedName name="_Order1" hidden="1">255</definedName>
    <definedName name="_Order2" hidden="1">255</definedName>
    <definedName name="_SO2" localSheetId="7">#REF!</definedName>
    <definedName name="_SO2" localSheetId="6">#REF!</definedName>
    <definedName name="_SO2" localSheetId="8">#REF!</definedName>
    <definedName name="_SO2" localSheetId="13">#REF!</definedName>
    <definedName name="_SO2" localSheetId="17">#REF!</definedName>
    <definedName name="_SO2">#REF!</definedName>
    <definedName name="_SO4" localSheetId="7">#REF!</definedName>
    <definedName name="_SO4" localSheetId="6">#REF!</definedName>
    <definedName name="_SO4" localSheetId="8">#REF!</definedName>
    <definedName name="_SO4" localSheetId="13">#REF!</definedName>
    <definedName name="_SO4" localSheetId="17">#REF!</definedName>
    <definedName name="_SO4">#REF!</definedName>
    <definedName name="Active" localSheetId="7">#REF!</definedName>
    <definedName name="Active" localSheetId="6">#REF!</definedName>
    <definedName name="Active" localSheetId="8">#REF!</definedName>
    <definedName name="Active" localSheetId="13">#REF!</definedName>
    <definedName name="Active" localSheetId="17">#REF!</definedName>
    <definedName name="Active">#REF!</definedName>
    <definedName name="AltForecast">#REF!</definedName>
    <definedName name="Assets">'[2]GL Master Data lookup'!#REF!</definedName>
    <definedName name="Basis_Point" localSheetId="7">#REF!</definedName>
    <definedName name="Basis_Point" localSheetId="6">#REF!</definedName>
    <definedName name="Basis_Point" localSheetId="8">#REF!</definedName>
    <definedName name="Basis_Point" localSheetId="13">#REF!</definedName>
    <definedName name="Basis_Point" localSheetId="17">#REF!</definedName>
    <definedName name="Basis_Point">#REF!</definedName>
    <definedName name="Basis_Prices_Upload_Date">[3]Check!$B$29</definedName>
    <definedName name="Basis_Web_Query">[4]BasisPrices!$B$29</definedName>
    <definedName name="BHV" localSheetId="7">#REF!</definedName>
    <definedName name="BHV" localSheetId="6">#REF!</definedName>
    <definedName name="BHV" localSheetId="8">#REF!</definedName>
    <definedName name="BHV" localSheetId="13">#REF!</definedName>
    <definedName name="BHV" localSheetId="17">#REF!</definedName>
    <definedName name="BHV">#REF!</definedName>
    <definedName name="Bio" localSheetId="7">#REF!</definedName>
    <definedName name="Bio" localSheetId="6">#REF!</definedName>
    <definedName name="Bio" localSheetId="8">#REF!</definedName>
    <definedName name="Bio" localSheetId="13">#REF!</definedName>
    <definedName name="Bio" localSheetId="17">#REF!</definedName>
    <definedName name="Bio">#REF!</definedName>
    <definedName name="BLOCK" localSheetId="7">#REF!</definedName>
    <definedName name="BLOCK" localSheetId="6">#REF!</definedName>
    <definedName name="BLOCK" localSheetId="8">#REF!</definedName>
    <definedName name="BLOCK" localSheetId="13">#REF!</definedName>
    <definedName name="BLOCK" localSheetId="17">#REF!</definedName>
    <definedName name="BLOCK">#REF!</definedName>
    <definedName name="BLOCKPOSTING">#REF!</definedName>
    <definedName name="Calc_implied_vol">[4]Volatility!$B$31</definedName>
    <definedName name="Clearing_House_deals_MTM_PT___Current_Month" localSheetId="7">#REF!</definedName>
    <definedName name="Clearing_House_deals_MTM_PT___Current_Month" localSheetId="6">#REF!</definedName>
    <definedName name="Clearing_House_deals_MTM_PT___Current_Month" localSheetId="8">#REF!</definedName>
    <definedName name="Clearing_House_deals_MTM_PT___Current_Month" localSheetId="13">#REF!</definedName>
    <definedName name="Clearing_House_deals_MTM_PT___Current_Month" localSheetId="17">#REF!</definedName>
    <definedName name="Clearing_House_deals_MTM_PT___Current_Month">#REF!</definedName>
    <definedName name="Cogen" localSheetId="7">#REF!</definedName>
    <definedName name="Cogen" localSheetId="6">#REF!</definedName>
    <definedName name="Cogen" localSheetId="8">#REF!</definedName>
    <definedName name="Cogen" localSheetId="13">#REF!</definedName>
    <definedName name="Cogen" localSheetId="17">#REF!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7">#REF!</definedName>
    <definedName name="CRR_PT2" localSheetId="6">#REF!</definedName>
    <definedName name="CRR_PT2" localSheetId="8">#REF!</definedName>
    <definedName name="CRR_PT2" localSheetId="13">#REF!</definedName>
    <definedName name="CRR_PT2" localSheetId="17">#REF!</definedName>
    <definedName name="CRR_PT2">#REF!</definedName>
    <definedName name="CRR_SD_1" localSheetId="7">#REF!</definedName>
    <definedName name="CRR_SD_1" localSheetId="6">#REF!</definedName>
    <definedName name="CRR_SD_1" localSheetId="8">#REF!</definedName>
    <definedName name="CRR_SD_1" localSheetId="13">#REF!</definedName>
    <definedName name="CRR_SD_1" localSheetId="17">#REF!</definedName>
    <definedName name="CRR_SD_1">#REF!</definedName>
    <definedName name="CRR_SD_2" localSheetId="7">#REF!</definedName>
    <definedName name="CRR_SD_2" localSheetId="6">#REF!</definedName>
    <definedName name="CRR_SD_2" localSheetId="8">#REF!</definedName>
    <definedName name="CRR_SD_2" localSheetId="13">#REF!</definedName>
    <definedName name="CRR_SD_2" localSheetId="17">#REF!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TA21">'[7]Raw Data'!$U$2:$U$2618</definedName>
    <definedName name="DaysForward">'[4]Calpine Renewable Cntrct  MTM'!$K$81</definedName>
    <definedName name="DWR_End_Row" localSheetId="7">#REF!</definedName>
    <definedName name="DWR_End_Row" localSheetId="6">#REF!</definedName>
    <definedName name="DWR_End_Row" localSheetId="8">#REF!</definedName>
    <definedName name="DWR_End_Row" localSheetId="13">#REF!</definedName>
    <definedName name="DWR_End_Row" localSheetId="17">#REF!</definedName>
    <definedName name="DWR_End_Row">#REF!</definedName>
    <definedName name="DWR_Start_Row" localSheetId="7">#REF!</definedName>
    <definedName name="DWR_Start_Row" localSheetId="6">#REF!</definedName>
    <definedName name="DWR_Start_Row" localSheetId="8">#REF!</definedName>
    <definedName name="DWR_Start_Row" localSheetId="13">#REF!</definedName>
    <definedName name="DWR_Start_Row" localSheetId="17">#REF!</definedName>
    <definedName name="DWR_Start_Row">#REF!</definedName>
    <definedName name="Effective_date">'[4]Calpine Renewable Cntrct  MTM'!$L$81</definedName>
    <definedName name="EIX_10k" localSheetId="7">#REF!</definedName>
    <definedName name="EIX_10k" localSheetId="6">#REF!</definedName>
    <definedName name="EIX_10k" localSheetId="8">#REF!</definedName>
    <definedName name="EIX_10k" localSheetId="13">#REF!</definedName>
    <definedName name="EIX_10k" localSheetId="17">#REF!</definedName>
    <definedName name="EIX_10k">#REF!</definedName>
    <definedName name="EIX_10K_DET_M" localSheetId="7">#REF!</definedName>
    <definedName name="EIX_10K_DET_M" localSheetId="6">#REF!</definedName>
    <definedName name="EIX_10K_DET_M" localSheetId="8">#REF!</definedName>
    <definedName name="EIX_10K_DET_M" localSheetId="13">#REF!</definedName>
    <definedName name="EIX_10K_DET_M" localSheetId="17">#REF!</definedName>
    <definedName name="EIX_10K_DET_M">#REF!</definedName>
    <definedName name="EIX_10K_DET_T" localSheetId="7">#REF!</definedName>
    <definedName name="EIX_10K_DET_T" localSheetId="6">#REF!</definedName>
    <definedName name="EIX_10K_DET_T" localSheetId="8">#REF!</definedName>
    <definedName name="EIX_10K_DET_T" localSheetId="13">#REF!</definedName>
    <definedName name="EIX_10K_DET_T" localSheetId="17">#REF!</definedName>
    <definedName name="EIX_10K_DET_T">#REF!</definedName>
    <definedName name="EIX_10K_DETAIL">#REF!</definedName>
    <definedName name="EIX_10K_M">#REF!</definedName>
    <definedName name="EIX_10k_t">#REF!</definedName>
    <definedName name="EIX_10K_WK_CURR">[8]WS!#REF!</definedName>
    <definedName name="EIX_10K_WK_JAN1" localSheetId="7">#REF!</definedName>
    <definedName name="EIX_10K_WK_JAN1" localSheetId="6">#REF!</definedName>
    <definedName name="EIX_10K_WK_JAN1" localSheetId="8">#REF!</definedName>
    <definedName name="EIX_10K_WK_JAN1" localSheetId="13">#REF!</definedName>
    <definedName name="EIX_10K_WK_JAN1" localSheetId="17">#REF!</definedName>
    <definedName name="EIX_10K_WK_JAN1">#REF!</definedName>
    <definedName name="EIX_10k_WK_LASTMO" localSheetId="7">#REF!</definedName>
    <definedName name="EIX_10k_WK_LASTMO" localSheetId="6">#REF!</definedName>
    <definedName name="EIX_10k_WK_LASTMO" localSheetId="8">#REF!</definedName>
    <definedName name="EIX_10k_WK_LASTMO" localSheetId="13">#REF!</definedName>
    <definedName name="EIX_10k_WK_LASTMO" localSheetId="17">#REF!</definedName>
    <definedName name="EIX_10k_WK_LASTMO">#REF!</definedName>
    <definedName name="EIX_WS" localSheetId="7">[8]WS!#REF!</definedName>
    <definedName name="EIX_WS" localSheetId="6">[8]WS!#REF!</definedName>
    <definedName name="EIX_WS" localSheetId="8">[8]WS!#REF!</definedName>
    <definedName name="EIX_WS" localSheetId="13">[8]WS!#REF!</definedName>
    <definedName name="EIX_WS" localSheetId="17">[8]WS!#REF!</definedName>
    <definedName name="EIX_WS">[8]WS!#REF!</definedName>
    <definedName name="eixytd" localSheetId="7">#REF!</definedName>
    <definedName name="eixytd" localSheetId="6">#REF!</definedName>
    <definedName name="eixytd" localSheetId="8">#REF!</definedName>
    <definedName name="eixytd" localSheetId="13">#REF!</definedName>
    <definedName name="eixytd" localSheetId="17">#REF!</definedName>
    <definedName name="eixytd">#REF!</definedName>
    <definedName name="ENTRYNODE" localSheetId="7">#REF!</definedName>
    <definedName name="ENTRYNODE" localSheetId="6">#REF!</definedName>
    <definedName name="ENTRYNODE" localSheetId="8">#REF!</definedName>
    <definedName name="ENTRYNODE" localSheetId="13">#REF!</definedName>
    <definedName name="ENTRYNODE" localSheetId="17">#REF!</definedName>
    <definedName name="ENTRYNODE">#REF!</definedName>
    <definedName name="EOptns_Term_Sch_Point" localSheetId="7">#REF!</definedName>
    <definedName name="EOptns_Term_Sch_Point" localSheetId="6">#REF!</definedName>
    <definedName name="EOptns_Term_Sch_Point" localSheetId="8">#REF!</definedName>
    <definedName name="EOptns_Term_Sch_Point" localSheetId="13">#REF!</definedName>
    <definedName name="EOptns_Term_Sch_Point" localSheetId="17">#REF!</definedName>
    <definedName name="EOptns_Term_Sch_Point">#REF!</definedName>
    <definedName name="Equity" localSheetId="7">'[2]GL Master Data lookup'!#REF!</definedName>
    <definedName name="Equity" localSheetId="6">'[2]GL Master Data lookup'!#REF!</definedName>
    <definedName name="Equity" localSheetId="8">'[2]GL Master Data lookup'!#REF!</definedName>
    <definedName name="Equity" localSheetId="13">'[2]GL Master Data lookup'!#REF!</definedName>
    <definedName name="Equity" localSheetId="17">'[2]GL Master Data lookup'!#REF!</definedName>
    <definedName name="Equity">'[2]GL Master Data lookup'!#REF!</definedName>
    <definedName name="Escalation_Rate" localSheetId="7">#REF!</definedName>
    <definedName name="Escalation_Rate" localSheetId="6">#REF!</definedName>
    <definedName name="Escalation_Rate" localSheetId="8">#REF!</definedName>
    <definedName name="Escalation_Rate" localSheetId="13">#REF!</definedName>
    <definedName name="Escalation_Rate" localSheetId="17">#REF!</definedName>
    <definedName name="Escalation_Rate">#REF!</definedName>
    <definedName name="FERC" localSheetId="7">#REF!</definedName>
    <definedName name="FERC" localSheetId="6">#REF!</definedName>
    <definedName name="FERC" localSheetId="8">#REF!</definedName>
    <definedName name="FERC" localSheetId="13">#REF!</definedName>
    <definedName name="FERC" localSheetId="17">#REF!</definedName>
    <definedName name="FERC">#REF!</definedName>
    <definedName name="FERC_Map">'[2]CARS to FERC Map'!$A$2:$B$2339</definedName>
    <definedName name="Format_Quotes">[4]PowerPrices!$B$62</definedName>
    <definedName name="FSD" localSheetId="7">#REF!</definedName>
    <definedName name="FSD" localSheetId="6">#REF!</definedName>
    <definedName name="FSD" localSheetId="8">#REF!</definedName>
    <definedName name="FSD" localSheetId="13">#REF!</definedName>
    <definedName name="FSD" localSheetId="17">#REF!</definedName>
    <definedName name="FSD">#REF!</definedName>
    <definedName name="Fut_Point" localSheetId="7">#REF!</definedName>
    <definedName name="Fut_Point" localSheetId="6">#REF!</definedName>
    <definedName name="Fut_Point" localSheetId="8">#REF!</definedName>
    <definedName name="Fut_Point" localSheetId="13">#REF!</definedName>
    <definedName name="Fut_Point" localSheetId="17">#REF!</definedName>
    <definedName name="Fut_Point">#REF!</definedName>
    <definedName name="Futs_Web_Query">[4]FuturePrices!$B$34</definedName>
    <definedName name="Futures_Prices_Upload_Date">[3]Check!$B$28</definedName>
    <definedName name="Gas" localSheetId="7">#REF!</definedName>
    <definedName name="Gas" localSheetId="6">#REF!</definedName>
    <definedName name="Gas" localSheetId="8">#REF!</definedName>
    <definedName name="Gas" localSheetId="13">#REF!</definedName>
    <definedName name="Gas" localSheetId="17">#REF!</definedName>
    <definedName name="Gas">#REF!</definedName>
    <definedName name="Gas_Fin_Non_Options" localSheetId="7">#REF!</definedName>
    <definedName name="Gas_Fin_Non_Options" localSheetId="6">#REF!</definedName>
    <definedName name="Gas_Fin_Non_Options" localSheetId="8">#REF!</definedName>
    <definedName name="Gas_Fin_Non_Options" localSheetId="13">#REF!</definedName>
    <definedName name="Gas_Fin_Non_Options" localSheetId="17">#REF!</definedName>
    <definedName name="Gas_Fin_Non_Options">#REF!</definedName>
    <definedName name="Gas_NOpt_PT_1" localSheetId="7">#REF!</definedName>
    <definedName name="Gas_NOpt_PT_1" localSheetId="6">#REF!</definedName>
    <definedName name="Gas_NOpt_PT_1" localSheetId="8">#REF!</definedName>
    <definedName name="Gas_NOpt_PT_1" localSheetId="13">#REF!</definedName>
    <definedName name="Gas_NOpt_PT_1" localSheetId="17">#REF!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 localSheetId="7">#REF!</definedName>
    <definedName name="HISTORICDOLLAR" localSheetId="6">#REF!</definedName>
    <definedName name="HISTORICDOLLAR" localSheetId="8">#REF!</definedName>
    <definedName name="HISTORICDOLLAR" localSheetId="13">#REF!</definedName>
    <definedName name="HISTORICDOLLAR" localSheetId="17">#REF!</definedName>
    <definedName name="HISTORICDOLLAR">#REF!</definedName>
    <definedName name="Hydro" localSheetId="7">#REF!</definedName>
    <definedName name="Hydro" localSheetId="6">#REF!</definedName>
    <definedName name="Hydro" localSheetId="8">#REF!</definedName>
    <definedName name="Hydro" localSheetId="13">#REF!</definedName>
    <definedName name="Hydro" localSheetId="17">#REF!</definedName>
    <definedName name="Hydro">#REF!</definedName>
    <definedName name="Interest_Rates_Upload_Date">[3]Check!$B$30</definedName>
    <definedName name="IR_Web_Query">[4]InterestRates!$B$26</definedName>
    <definedName name="ITEMTYPE" localSheetId="7">#REF!</definedName>
    <definedName name="ITEMTYPE" localSheetId="6">#REF!</definedName>
    <definedName name="ITEMTYPE" localSheetId="8">#REF!</definedName>
    <definedName name="ITEMTYPE" localSheetId="13">#REF!</definedName>
    <definedName name="ITEMTYPE" localSheetId="17">#REF!</definedName>
    <definedName name="ITEMTYPE">#REF!</definedName>
    <definedName name="Level" localSheetId="7">#REF!</definedName>
    <definedName name="Level" localSheetId="6">#REF!</definedName>
    <definedName name="Level" localSheetId="8">#REF!</definedName>
    <definedName name="Level" localSheetId="13">#REF!</definedName>
    <definedName name="Level" localSheetId="17">#REF!</definedName>
    <definedName name="Level">#REF!</definedName>
    <definedName name="Liab" localSheetId="7">'[2]GL Master Data lookup'!#REF!</definedName>
    <definedName name="Liab" localSheetId="6">'[2]GL Master Data lookup'!#REF!</definedName>
    <definedName name="Liab" localSheetId="8">'[2]GL Master Data lookup'!#REF!</definedName>
    <definedName name="Liab" localSheetId="13">'[2]GL Master Data lookup'!#REF!</definedName>
    <definedName name="Liab" localSheetId="17">'[2]GL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7">#REF!</definedName>
    <definedName name="Load_Flag" localSheetId="6">#REF!</definedName>
    <definedName name="Load_Flag" localSheetId="8">#REF!</definedName>
    <definedName name="Load_Flag" localSheetId="13">#REF!</definedName>
    <definedName name="Load_Flag" localSheetId="17">#REF!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7">#REF!</definedName>
    <definedName name="MTM_Summary_Compare" localSheetId="6">#REF!</definedName>
    <definedName name="MTM_Summary_Compare" localSheetId="8">#REF!</definedName>
    <definedName name="MTM_Summary_Compare" localSheetId="13">#REF!</definedName>
    <definedName name="MTM_Summary_Compare" localSheetId="17">#REF!</definedName>
    <definedName name="MTM_Summary_Compare">#REF!</definedName>
    <definedName name="NEG" localSheetId="7">#REF!</definedName>
    <definedName name="NEG" localSheetId="6">#REF!</definedName>
    <definedName name="NEG" localSheetId="8">#REF!</definedName>
    <definedName name="NEG" localSheetId="13">#REF!</definedName>
    <definedName name="NEG" localSheetId="17">#REF!</definedName>
    <definedName name="NEG">#REF!</definedName>
    <definedName name="new" localSheetId="7" hidden="1">{#N/A,#N/A,TRUE,"Section6";#N/A,#N/A,TRUE,"OHcycles";#N/A,#N/A,TRUE,"OHtiming";#N/A,#N/A,TRUE,"OHcosts";#N/A,#N/A,TRUE,"GTdegradation";#N/A,#N/A,TRUE,"GTperformance";#N/A,#N/A,TRUE,"GraphEquip"}</definedName>
    <definedName name="new" localSheetId="6" hidden="1">{#N/A,#N/A,TRUE,"Section6";#N/A,#N/A,TRUE,"OHcycles";#N/A,#N/A,TRUE,"OHtiming";#N/A,#N/A,TRUE,"OHcosts";#N/A,#N/A,TRUE,"GTdegradation";#N/A,#N/A,TRUE,"GTperformance";#N/A,#N/A,TRUE,"GraphEquip"}</definedName>
    <definedName name="new" localSheetId="8" hidden="1">{#N/A,#N/A,TRUE,"Section6";#N/A,#N/A,TRUE,"OHcycles";#N/A,#N/A,TRUE,"OHtiming";#N/A,#N/A,TRUE,"OHcosts";#N/A,#N/A,TRUE,"GTdegradation";#N/A,#N/A,TRUE,"GTperformance";#N/A,#N/A,TRUE,"GraphEquip"}</definedName>
    <definedName name="new" localSheetId="13" hidden="1">{#N/A,#N/A,TRUE,"Section6";#N/A,#N/A,TRUE,"OHcycles";#N/A,#N/A,TRUE,"OHtiming";#N/A,#N/A,TRUE,"OHcosts";#N/A,#N/A,TRUE,"GTdegradation";#N/A,#N/A,TRUE,"GTperformance";#N/A,#N/A,TRUE,"GraphEquip"}</definedName>
    <definedName name="new" localSheetId="17"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7">#REF!</definedName>
    <definedName name="Next_Month" localSheetId="6">#REF!</definedName>
    <definedName name="Next_Month" localSheetId="8">#REF!</definedName>
    <definedName name="Next_Month" localSheetId="13">#REF!</definedName>
    <definedName name="Next_Month" localSheetId="17">#REF!</definedName>
    <definedName name="Next_Month">#REF!</definedName>
    <definedName name="NoContamSystems">SUM('[9]Facility Technical Data'!$C$11:$C$12)</definedName>
    <definedName name="OOR" localSheetId="7">'[2]GL Master Data lookup'!#REF!</definedName>
    <definedName name="OOR" localSheetId="6">'[2]GL Master Data lookup'!#REF!</definedName>
    <definedName name="OOR" localSheetId="8">'[2]GL Master Data lookup'!#REF!</definedName>
    <definedName name="OOR" localSheetId="13">'[2]GL Master Data lookup'!#REF!</definedName>
    <definedName name="OOR" localSheetId="17">'[2]GL Master Data lookup'!#REF!</definedName>
    <definedName name="OOR">'[2]GL Master Data lookup'!#REF!</definedName>
    <definedName name="Op_Exp" localSheetId="7">'[2]GL Master Data lookup'!#REF!</definedName>
    <definedName name="Op_Exp" localSheetId="6">'[2]GL Master Data lookup'!#REF!</definedName>
    <definedName name="Op_Exp" localSheetId="8">'[2]GL Master Data lookup'!#REF!</definedName>
    <definedName name="Op_Exp" localSheetId="13">'[2]GL Master Data lookup'!#REF!</definedName>
    <definedName name="Op_Exp" localSheetId="17">'[2]GL Master Data lookup'!#REF!</definedName>
    <definedName name="Op_Exp">'[2]GL Master Data lookup'!#REF!</definedName>
    <definedName name="OracleUploadDate">[10]Renewable!$I$1</definedName>
    <definedName name="ord">'[11]Master Data'!$B$1:$T$118</definedName>
    <definedName name="P_L" localSheetId="7">'[2]GL Master Data lookup'!#REF!</definedName>
    <definedName name="P_L" localSheetId="6">'[2]GL Master Data lookup'!#REF!</definedName>
    <definedName name="P_L" localSheetId="8">'[2]GL Master Data lookup'!#REF!</definedName>
    <definedName name="P_L" localSheetId="13">'[2]GL Master Data lookup'!#REF!</definedName>
    <definedName name="P_L" localSheetId="17">'[2]GL Master Data lookup'!#REF!</definedName>
    <definedName name="P_L">'[2]GL Master Data lookup'!#REF!</definedName>
    <definedName name="Past_Cash" localSheetId="7">'[2]GL Master Data lookup'!#REF!</definedName>
    <definedName name="Past_Cash" localSheetId="6">'[2]GL Master Data lookup'!#REF!</definedName>
    <definedName name="Past_Cash" localSheetId="8">'[2]GL Master Data lookup'!#REF!</definedName>
    <definedName name="Past_Cash" localSheetId="13">'[2]GL Master Data lookup'!#REF!</definedName>
    <definedName name="Past_Cash" localSheetId="17">'[2]GL Master Data lookup'!#REF!</definedName>
    <definedName name="Past_Cash">'[2]GL Master Data lookup'!#REF!</definedName>
    <definedName name="PivotTablePoint" localSheetId="7">#REF!</definedName>
    <definedName name="PivotTablePoint" localSheetId="6">#REF!</definedName>
    <definedName name="PivotTablePoint" localSheetId="8">#REF!</definedName>
    <definedName name="PivotTablePoint" localSheetId="13">#REF!</definedName>
    <definedName name="PivotTablePoint" localSheetId="17">#REF!</definedName>
    <definedName name="PivotTablePoint">#REF!</definedName>
    <definedName name="Posting_Keys" localSheetId="7">#REF!</definedName>
    <definedName name="Posting_Keys" localSheetId="6">#REF!</definedName>
    <definedName name="Posting_Keys" localSheetId="8">#REF!</definedName>
    <definedName name="Posting_Keys" localSheetId="13">#REF!</definedName>
    <definedName name="Posting_Keys" localSheetId="17">#REF!</definedName>
    <definedName name="Posting_Keys">#REF!</definedName>
    <definedName name="Power" localSheetId="7">#REF!</definedName>
    <definedName name="Power" localSheetId="6">#REF!</definedName>
    <definedName name="Power" localSheetId="8">#REF!</definedName>
    <definedName name="Power" localSheetId="13">#REF!</definedName>
    <definedName name="Power" localSheetId="17">#REF!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Explanation'!$A$1:$F$41</definedName>
    <definedName name="_xlnm.Print_Area" localSheetId="4">'WP-2017 TO13 Sch20-AandG'!$A$1:$J$113</definedName>
    <definedName name="_xlnm.Print_Area" localSheetId="3">'WP-2017 TO13 Sch4-TUTRR'!$A$1:$L$109</definedName>
    <definedName name="_xlnm.Print_Area" localSheetId="7">'WP-2018 TO2020 Sch20-AandG'!$A$1:$J$104</definedName>
    <definedName name="_xlnm.Print_Area" localSheetId="6">'WP-2018 TO2020 Sch4-TUTRR'!$A$1:$L$109</definedName>
    <definedName name="_xlnm.Print_Area" localSheetId="10">'WP-2019 TO2018 Sch20-AandG'!$A$1:$J$105</definedName>
    <definedName name="_xlnm.Print_Area" localSheetId="9">'WP-2019 TO2018 Sch4-TUTRR'!$A$1:$O$109</definedName>
    <definedName name="_xlnm.Print_Area" localSheetId="12">'WP-2019 TO2021 Sch20-AandG'!$A$1:$J$109</definedName>
    <definedName name="_xlnm.Print_Area" localSheetId="11">'WP-2019 TO2021 Sch4-TUTRR'!$A$1:$N$107</definedName>
    <definedName name="_xlnm.Print_Area" localSheetId="8">'WP-2019 True Up TRR Adj'!$B$2:$J$16</definedName>
    <definedName name="_xlnm.Print_Area" localSheetId="15">'WP-2020 TO2022 Sch20-AandG'!$A$1:$J$109</definedName>
    <definedName name="_xlnm.Print_Area" localSheetId="16">'WP-2020 TO2022 Sch28-FFU'!$A$1:$J$46</definedName>
    <definedName name="_xlnm.Print_Area" localSheetId="14">'WP-2020 TO2022 Sch4-TUTRR'!$A$1:$N$107</definedName>
    <definedName name="_xlnm.Print_Area" localSheetId="13">'WP-2020 True Up TRR Adj'!$A$1:$G$13</definedName>
    <definedName name="_xlnm.Print_Area" localSheetId="19">'WP-2021 TO2023 Sch20-AandG'!$A$1:$K$112</definedName>
    <definedName name="_xlnm.Print_Area" localSheetId="20">'WP-2021 TO2023 Sch28-FFU'!$A$1:$J$46</definedName>
    <definedName name="_xlnm.Print_Area" localSheetId="18">'WP-2021 TO2023 Sch4-TUTRR'!$A$1:$M$108</definedName>
    <definedName name="_xlnm.Print_Area" localSheetId="17">'WP-2021 True Up TRR Adj'!$A$1:$G$13</definedName>
    <definedName name="_xlnm.Print_Area" localSheetId="1">'WP-Total Adj with Int'!$A$1:$W$73</definedName>
    <definedName name="print1" localSheetId="7">#REF!</definedName>
    <definedName name="print1" localSheetId="6">#REF!</definedName>
    <definedName name="print1" localSheetId="8">#REF!</definedName>
    <definedName name="print1" localSheetId="13">#REF!</definedName>
    <definedName name="print1" localSheetId="17">#REF!</definedName>
    <definedName name="print1">#REF!</definedName>
    <definedName name="print2" localSheetId="7">#REF!</definedName>
    <definedName name="print2" localSheetId="6">#REF!</definedName>
    <definedName name="print2" localSheetId="8">#REF!</definedName>
    <definedName name="print2" localSheetId="13">#REF!</definedName>
    <definedName name="print2" localSheetId="17">#REF!</definedName>
    <definedName name="print2">#REF!</definedName>
    <definedName name="PriorMTMdate">'[12]Input And Prices'!$B$3</definedName>
    <definedName name="ProcessDate" localSheetId="7">#REF!</definedName>
    <definedName name="ProcessDate" localSheetId="6">#REF!</definedName>
    <definedName name="ProcessDate" localSheetId="8">#REF!</definedName>
    <definedName name="ProcessDate" localSheetId="13">#REF!</definedName>
    <definedName name="ProcessDate" localSheetId="17">#REF!</definedName>
    <definedName name="ProcessDate">#REF!</definedName>
    <definedName name="ProcessDate2">[10]Check!$B$3</definedName>
    <definedName name="ProcessMonth" localSheetId="7">#REF!</definedName>
    <definedName name="ProcessMonth" localSheetId="6">#REF!</definedName>
    <definedName name="ProcessMonth" localSheetId="8">#REF!</definedName>
    <definedName name="ProcessMonth" localSheetId="13">#REF!</definedName>
    <definedName name="ProcessMonth" localSheetId="17">#REF!</definedName>
    <definedName name="ProcessMonth">#REF!</definedName>
    <definedName name="ProxyList">'[3]Calpine Renewable Cntrct  MTM'!$AT$15:$AT$20</definedName>
    <definedName name="QF_Asgn_List_Capacity" localSheetId="7">#REF!</definedName>
    <definedName name="QF_Asgn_List_Capacity" localSheetId="6">#REF!</definedName>
    <definedName name="QF_Asgn_List_Capacity" localSheetId="8">#REF!</definedName>
    <definedName name="QF_Asgn_List_Capacity" localSheetId="13">#REF!</definedName>
    <definedName name="QF_Asgn_List_Capacity" localSheetId="17">#REF!</definedName>
    <definedName name="QF_Asgn_List_Capacity">#REF!</definedName>
    <definedName name="QF_Asgn_List0212" localSheetId="7">#REF!</definedName>
    <definedName name="QF_Asgn_List0212" localSheetId="6">#REF!</definedName>
    <definedName name="QF_Asgn_List0212" localSheetId="8">#REF!</definedName>
    <definedName name="QF_Asgn_List0212" localSheetId="13">#REF!</definedName>
    <definedName name="QF_Asgn_List0212" localSheetId="17">#REF!</definedName>
    <definedName name="QF_Asgn_List0212">#REF!</definedName>
    <definedName name="QF_Asgn_List0301" localSheetId="7">#REF!</definedName>
    <definedName name="QF_Asgn_List0301" localSheetId="6">#REF!</definedName>
    <definedName name="QF_Asgn_List0301" localSheetId="8">#REF!</definedName>
    <definedName name="QF_Asgn_List0301" localSheetId="13">#REF!</definedName>
    <definedName name="QF_Asgn_List0301" localSheetId="17">#REF!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[8]WS!#REF!</definedName>
    <definedName name="SCE_10K_WK_JAN1" localSheetId="7">#REF!</definedName>
    <definedName name="SCE_10K_WK_JAN1" localSheetId="6">#REF!</definedName>
    <definedName name="SCE_10K_WK_JAN1" localSheetId="8">#REF!</definedName>
    <definedName name="SCE_10K_WK_JAN1" localSheetId="13">#REF!</definedName>
    <definedName name="SCE_10K_WK_JAN1" localSheetId="17">#REF!</definedName>
    <definedName name="SCE_10K_WK_JAN1">#REF!</definedName>
    <definedName name="SCE_10K_WK_LASTMO" localSheetId="7">#REF!</definedName>
    <definedName name="SCE_10K_WK_LASTMO" localSheetId="6">#REF!</definedName>
    <definedName name="SCE_10K_WK_LASTMO" localSheetId="8">#REF!</definedName>
    <definedName name="SCE_10K_WK_LASTMO" localSheetId="13">#REF!</definedName>
    <definedName name="SCE_10K_WK_LASTMO" localSheetId="17">#REF!</definedName>
    <definedName name="SCE_10K_WK_LASTMO">#REF!</definedName>
    <definedName name="SCE_WS" localSheetId="7">#REF!</definedName>
    <definedName name="SCE_WS" localSheetId="6">#REF!</definedName>
    <definedName name="SCE_WS" localSheetId="8">#REF!</definedName>
    <definedName name="SCE_WS" localSheetId="13">#REF!</definedName>
    <definedName name="SCE_WS" localSheetId="17">#REF!</definedName>
    <definedName name="SCE_WS">#REF!</definedName>
    <definedName name="SCE_WS_LASTMO">#REF!</definedName>
    <definedName name="SCE10K">#REF!</definedName>
    <definedName name="SCE10KWksht">#REF!</definedName>
    <definedName name="Season2_data">'[13]LT Volumes'!#REF!</definedName>
    <definedName name="Season4_data">'[13]LT Volumes'!#REF!</definedName>
    <definedName name="Setup_Shape">[4]PowerPrices!$B$63</definedName>
    <definedName name="Solar" localSheetId="7">#REF!</definedName>
    <definedName name="Solar" localSheetId="6">#REF!</definedName>
    <definedName name="Solar" localSheetId="8">#REF!</definedName>
    <definedName name="Solar" localSheetId="13">#REF!</definedName>
    <definedName name="Solar" localSheetId="17">#REF!</definedName>
    <definedName name="Solar">#REF!</definedName>
    <definedName name="SUBMITEM" localSheetId="7">#REF!</definedName>
    <definedName name="SUBMITEM" localSheetId="6">#REF!</definedName>
    <definedName name="SUBMITEM" localSheetId="8">#REF!</definedName>
    <definedName name="SUBMITEM" localSheetId="13">#REF!</definedName>
    <definedName name="SUBMITEM" localSheetId="17">#REF!</definedName>
    <definedName name="SUBMITEM">#REF!</definedName>
    <definedName name="SUBMITEMS" localSheetId="7">#REF!</definedName>
    <definedName name="SUBMITEMS" localSheetId="6">#REF!</definedName>
    <definedName name="SUBMITEMS" localSheetId="8">#REF!</definedName>
    <definedName name="SUBMITEMS" localSheetId="13">#REF!</definedName>
    <definedName name="SUBMITEMS" localSheetId="17">#REF!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[14]DATA!#REF!</definedName>
    <definedName name="TransCapMTM" localSheetId="7">#REF!</definedName>
    <definedName name="TransCapMTM" localSheetId="6">#REF!</definedName>
    <definedName name="TransCapMTM" localSheetId="8">#REF!</definedName>
    <definedName name="TransCapMTM" localSheetId="13">#REF!</definedName>
    <definedName name="TransCapMTM" localSheetId="17">#REF!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7">#REF!</definedName>
    <definedName name="Upload_IR_Access" localSheetId="6">#REF!</definedName>
    <definedName name="Upload_IR_Access" localSheetId="8">#REF!</definedName>
    <definedName name="Upload_IR_Access" localSheetId="13">#REF!</definedName>
    <definedName name="Upload_IR_Access" localSheetId="17">#REF!</definedName>
    <definedName name="Upload_IR_Access">#REF!</definedName>
    <definedName name="Upload_Pwr">[4]PowerPrices!$B$66</definedName>
    <definedName name="Upload_Pwr_Access">[4]PowerPrices!$B$67</definedName>
    <definedName name="UploadAccess">[4]Volatility!$B$34</definedName>
    <definedName name="Uploads_IR_Access" localSheetId="7">#REF!</definedName>
    <definedName name="Uploads_IR_Access" localSheetId="6">#REF!</definedName>
    <definedName name="Uploads_IR_Access" localSheetId="8">#REF!</definedName>
    <definedName name="Uploads_IR_Access" localSheetId="13">#REF!</definedName>
    <definedName name="Uploads_IR_Access" localSheetId="17">#REF!</definedName>
    <definedName name="Uploads_IR_Access">#REF!</definedName>
    <definedName name="UploadVol">[4]Volatility!$B$33</definedName>
    <definedName name="Volatility_Upload_Date">[3]Check!$B$31</definedName>
    <definedName name="Week" localSheetId="7">{0;1;2;3;4;5}</definedName>
    <definedName name="Week" localSheetId="6">{0;1;2;3;4;5}</definedName>
    <definedName name="Week" localSheetId="8">{0;1;2;3;4;5}</definedName>
    <definedName name="Week" localSheetId="13">{0;1;2;3;4;5}</definedName>
    <definedName name="Week" localSheetId="17">{0;1;2;3;4;5}</definedName>
    <definedName name="Week">{0;1;2;3;4;5}</definedName>
    <definedName name="Weekday" localSheetId="7">{1,2,3,4,5,6,7}</definedName>
    <definedName name="Weekday" localSheetId="6">{1,2,3,4,5,6,7}</definedName>
    <definedName name="Weekday" localSheetId="8">{1,2,3,4,5,6,7}</definedName>
    <definedName name="Weekday" localSheetId="13">{1,2,3,4,5,6,7}</definedName>
    <definedName name="Weekday" localSheetId="17">{1,2,3,4,5,6,7}</definedName>
    <definedName name="Weekday">{1,2,3,4,5,6,7}</definedName>
    <definedName name="Wind" localSheetId="7">#REF!</definedName>
    <definedName name="Wind" localSheetId="6">#REF!</definedName>
    <definedName name="Wind" localSheetId="8">#REF!</definedName>
    <definedName name="Wind" localSheetId="13">#REF!</definedName>
    <definedName name="Wind" localSheetId="17">#REF!</definedName>
    <definedName name="Wind">#REF!</definedName>
    <definedName name="WITdata">[15]WIT!$A$1:$S$440</definedName>
    <definedName name="wrn.Cover." localSheetId="7" hidden="1">{#N/A,#N/A,TRUE,"Cover";#N/A,#N/A,TRUE,"Contents"}</definedName>
    <definedName name="wrn.Cover." localSheetId="6" hidden="1">{#N/A,#N/A,TRUE,"Cover";#N/A,#N/A,TRUE,"Contents"}</definedName>
    <definedName name="wrn.Cover." localSheetId="8" hidden="1">{#N/A,#N/A,TRUE,"Cover";#N/A,#N/A,TRUE,"Contents"}</definedName>
    <definedName name="wrn.Cover." localSheetId="13" hidden="1">{#N/A,#N/A,TRUE,"Cover";#N/A,#N/A,TRUE,"Contents"}</definedName>
    <definedName name="wrn.Cover." localSheetId="17" hidden="1">{#N/A,#N/A,TRUE,"Cover";#N/A,#N/A,TRUE,"Contents"}</definedName>
    <definedName name="wrn.Cover." hidden="1">{#N/A,#N/A,TRUE,"Cover";#N/A,#N/A,TRUE,"Contents"}</definedName>
    <definedName name="wrn.CoverContents." localSheetId="7" hidden="1">{#N/A,#N/A,FALSE,"Cover";#N/A,#N/A,FALSE,"Contents"}</definedName>
    <definedName name="wrn.CoverContents." localSheetId="6" hidden="1">{#N/A,#N/A,FALSE,"Cover";#N/A,#N/A,FALSE,"Contents"}</definedName>
    <definedName name="wrn.CoverContents." localSheetId="8" hidden="1">{#N/A,#N/A,FALSE,"Cover";#N/A,#N/A,FALSE,"Contents"}</definedName>
    <definedName name="wrn.CoverContents." localSheetId="13" hidden="1">{#N/A,#N/A,FALSE,"Cover";#N/A,#N/A,FALSE,"Contents"}</definedName>
    <definedName name="wrn.CoverContents." localSheetId="17" hidden="1">{#N/A,#N/A,FALSE,"Cover";#N/A,#N/A,FALSE,"Contents"}</definedName>
    <definedName name="wrn.CoverContents." hidden="1">{#N/A,#N/A,FALSE,"Cover";#N/A,#N/A,FALSE,"Contents"}</definedName>
    <definedName name="wrn.Distributed._.Decon._.Notebook." localSheetId="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6"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8"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3"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7" hidden="1">{#N/A,#N/A,TRUE,"EPEsum";#N/A,#N/A,TRUE,"Approve1";#N/A,#N/A,TRUE,"Approve2";#N/A,#N/A,TRUE,"Approve3";#N/A,#N/A,TRUE,"EPE1";#N/A,#N/A,TRUE,"EPE2";#N/A,#N/A,TRUE,"CashCompare";#N/A,#N/A,TRUE,"XIRR";#N/A,#N/A,TRUE,"EPEloan";#N/A,#N/A,TRUE,"GraphEPE";#N/A,#N/A,TRUE,"OrgChart";#N/A,#N/A,TRUE,"SA08B"}</definedName>
    <definedName name="wrn.El._.Paso._.Offshore." localSheetId="6" hidden="1">{#N/A,#N/A,TRUE,"EPEsum";#N/A,#N/A,TRUE,"Approve1";#N/A,#N/A,TRUE,"Approve2";#N/A,#N/A,TRUE,"Approve3";#N/A,#N/A,TRUE,"EPE1";#N/A,#N/A,TRUE,"EPE2";#N/A,#N/A,TRUE,"CashCompare";#N/A,#N/A,TRUE,"XIRR";#N/A,#N/A,TRUE,"EPEloan";#N/A,#N/A,TRUE,"GraphEPE";#N/A,#N/A,TRUE,"OrgChart";#N/A,#N/A,TRUE,"SA08B"}</definedName>
    <definedName name="wrn.El._.Paso._.Offshore." localSheetId="8" hidden="1">{#N/A,#N/A,TRUE,"EPEsum";#N/A,#N/A,TRUE,"Approve1";#N/A,#N/A,TRUE,"Approve2";#N/A,#N/A,TRUE,"Approve3";#N/A,#N/A,TRUE,"EPE1";#N/A,#N/A,TRUE,"EPE2";#N/A,#N/A,TRUE,"CashCompare";#N/A,#N/A,TRUE,"XIRR";#N/A,#N/A,TRUE,"EPEloan";#N/A,#N/A,TRUE,"GraphEPE";#N/A,#N/A,TRUE,"OrgChart";#N/A,#N/A,TRUE,"SA08B"}</definedName>
    <definedName name="wrn.El._.Paso._.Offshore." localSheetId="13" hidden="1">{#N/A,#N/A,TRUE,"EPEsum";#N/A,#N/A,TRUE,"Approve1";#N/A,#N/A,TRUE,"Approve2";#N/A,#N/A,TRUE,"Approve3";#N/A,#N/A,TRUE,"EPE1";#N/A,#N/A,TRUE,"EPE2";#N/A,#N/A,TRUE,"CashCompare";#N/A,#N/A,TRUE,"XIRR";#N/A,#N/A,TRUE,"EPEloan";#N/A,#N/A,TRUE,"GraphEPE";#N/A,#N/A,TRUE,"OrgChart";#N/A,#N/A,TRUE,"SA08B"}</definedName>
    <definedName name="wrn.El._.Paso._.Offshore." localSheetId="17"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6"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8"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3"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7" hidden="1">{#N/A,#N/A,FALSE,"Cover";#N/A,#N/A,FALSE,"ProjectSelector";#N/A,#N/A,FALSE,"ProjectTable";#N/A,#N/A,FALSE,"SanGorgonio";#N/A,#N/A,FALSE,"Tehachapi";#N/A,#N/A,FALSE,"Results";#N/A,#N/A,FALSE,"ReplaceForecast"}</definedName>
    <definedName name="wrn.PrintOther." localSheetId="6" hidden="1">{#N/A,#N/A,FALSE,"Cover";#N/A,#N/A,FALSE,"ProjectSelector";#N/A,#N/A,FALSE,"ProjectTable";#N/A,#N/A,FALSE,"SanGorgonio";#N/A,#N/A,FALSE,"Tehachapi";#N/A,#N/A,FALSE,"Results";#N/A,#N/A,FALSE,"ReplaceForecast"}</definedName>
    <definedName name="wrn.PrintOther." localSheetId="8" hidden="1">{#N/A,#N/A,FALSE,"Cover";#N/A,#N/A,FALSE,"ProjectSelector";#N/A,#N/A,FALSE,"ProjectTable";#N/A,#N/A,FALSE,"SanGorgonio";#N/A,#N/A,FALSE,"Tehachapi";#N/A,#N/A,FALSE,"Results";#N/A,#N/A,FALSE,"ReplaceForecast"}</definedName>
    <definedName name="wrn.PrintOther." localSheetId="13" hidden="1">{#N/A,#N/A,FALSE,"Cover";#N/A,#N/A,FALSE,"ProjectSelector";#N/A,#N/A,FALSE,"ProjectTable";#N/A,#N/A,FALSE,"SanGorgonio";#N/A,#N/A,FALSE,"Tehachapi";#N/A,#N/A,FALSE,"Results";#N/A,#N/A,FALSE,"ReplaceForecast"}</definedName>
    <definedName name="wrn.PrintOther." localSheetId="17"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6"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8"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3"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7" hidden="1">{#N/A,#N/A,TRUE,"Section1";"SavingsTop",#N/A,TRUE,"SumSavings";#N/A,#N/A,TRUE,"GraphSum";"SavingsAll",#N/A,TRUE,"SumSavings";#N/A,#N/A,TRUE,"Inputs";#N/A,#N/A,TRUE,"Scenarios";#N/A,#N/A,TRUE,"LineLoss";#N/A,#N/A,TRUE,"Summary";#N/A,#N/A,TRUE,"TermSummary";#N/A,#N/A,TRUE,"NetRates";#N/A,#N/A,TRUE,"PPAtypes"}</definedName>
    <definedName name="wrn.Section1." localSheetId="6" hidden="1">{#N/A,#N/A,TRUE,"Section1";"SavingsTop",#N/A,TRUE,"SumSavings";#N/A,#N/A,TRUE,"GraphSum";"SavingsAll",#N/A,TRUE,"SumSavings";#N/A,#N/A,TRUE,"Inputs";#N/A,#N/A,TRUE,"Scenarios";#N/A,#N/A,TRUE,"LineLoss";#N/A,#N/A,TRUE,"Summary";#N/A,#N/A,TRUE,"TermSummary";#N/A,#N/A,TRUE,"NetRates";#N/A,#N/A,TRUE,"PPAtypes"}</definedName>
    <definedName name="wrn.Section1." localSheetId="8" hidden="1">{#N/A,#N/A,TRUE,"Section1";"SavingsTop",#N/A,TRUE,"SumSavings";#N/A,#N/A,TRUE,"GraphSum";"SavingsAll",#N/A,TRUE,"SumSavings";#N/A,#N/A,TRUE,"Inputs";#N/A,#N/A,TRUE,"Scenarios";#N/A,#N/A,TRUE,"LineLoss";#N/A,#N/A,TRUE,"Summary";#N/A,#N/A,TRUE,"TermSummary";#N/A,#N/A,TRUE,"NetRates";#N/A,#N/A,TRUE,"PPAtypes"}</definedName>
    <definedName name="wrn.Section1." localSheetId="13" hidden="1">{#N/A,#N/A,TRUE,"Section1";"SavingsTop",#N/A,TRUE,"SumSavings";#N/A,#N/A,TRUE,"GraphSum";"SavingsAll",#N/A,TRUE,"SumSavings";#N/A,#N/A,TRUE,"Inputs";#N/A,#N/A,TRUE,"Scenarios";#N/A,#N/A,TRUE,"LineLoss";#N/A,#N/A,TRUE,"Summary";#N/A,#N/A,TRUE,"TermSummary";#N/A,#N/A,TRUE,"NetRates";#N/A,#N/A,TRUE,"PPAtypes"}</definedName>
    <definedName name="wrn.Section1." localSheetId="17"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7" hidden="1">{#N/A,#N/A,TRUE,"Section1";#N/A,#N/A,TRUE,"SumF";#N/A,#N/A,TRUE,"FigExchange";#N/A,#N/A,TRUE,"Escalation";#N/A,#N/A,TRUE,"GraphEscalate";#N/A,#N/A,TRUE,"Scenarios"}</definedName>
    <definedName name="wrn.Section1Summaries." localSheetId="6" hidden="1">{#N/A,#N/A,TRUE,"Section1";#N/A,#N/A,TRUE,"SumF";#N/A,#N/A,TRUE,"FigExchange";#N/A,#N/A,TRUE,"Escalation";#N/A,#N/A,TRUE,"GraphEscalate";#N/A,#N/A,TRUE,"Scenarios"}</definedName>
    <definedName name="wrn.Section1Summaries." localSheetId="8" hidden="1">{#N/A,#N/A,TRUE,"Section1";#N/A,#N/A,TRUE,"SumF";#N/A,#N/A,TRUE,"FigExchange";#N/A,#N/A,TRUE,"Escalation";#N/A,#N/A,TRUE,"GraphEscalate";#N/A,#N/A,TRUE,"Scenarios"}</definedName>
    <definedName name="wrn.Section1Summaries." localSheetId="13" hidden="1">{#N/A,#N/A,TRUE,"Section1";#N/A,#N/A,TRUE,"SumF";#N/A,#N/A,TRUE,"FigExchange";#N/A,#N/A,TRUE,"Escalation";#N/A,#N/A,TRUE,"GraphEscalate";#N/A,#N/A,TRUE,"Scenarios"}</definedName>
    <definedName name="wrn.Section1Summaries." localSheetId="17"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7" hidden="1">{#N/A,#N/A,TRUE,"Section2";#N/A,#N/A,TRUE,"OverPymt";#N/A,#N/A,TRUE,"Energy";#N/A,#N/A,TRUE,"EnergyDiff1";#N/A,#N/A,TRUE,"EnergyDiff2";#N/A,#N/A,TRUE,"CapPerformance";#N/A,#N/A,TRUE,"BonusPerformance";#N/A,#N/A,TRUE,"BonusFormula";#N/A,#N/A,TRUE,"GraphPymt"}</definedName>
    <definedName name="wrn.Section2." localSheetId="6" hidden="1">{#N/A,#N/A,TRUE,"Section2";#N/A,#N/A,TRUE,"OverPymt";#N/A,#N/A,TRUE,"Energy";#N/A,#N/A,TRUE,"EnergyDiff1";#N/A,#N/A,TRUE,"EnergyDiff2";#N/A,#N/A,TRUE,"CapPerformance";#N/A,#N/A,TRUE,"BonusPerformance";#N/A,#N/A,TRUE,"BonusFormula";#N/A,#N/A,TRUE,"GraphPymt"}</definedName>
    <definedName name="wrn.Section2." localSheetId="8" hidden="1">{#N/A,#N/A,TRUE,"Section2";#N/A,#N/A,TRUE,"OverPymt";#N/A,#N/A,TRUE,"Energy";#N/A,#N/A,TRUE,"EnergyDiff1";#N/A,#N/A,TRUE,"EnergyDiff2";#N/A,#N/A,TRUE,"CapPerformance";#N/A,#N/A,TRUE,"BonusPerformance";#N/A,#N/A,TRUE,"BonusFormula";#N/A,#N/A,TRUE,"GraphPymt"}</definedName>
    <definedName name="wrn.Section2." localSheetId="13" hidden="1">{#N/A,#N/A,TRUE,"Section2";#N/A,#N/A,TRUE,"OverPymt";#N/A,#N/A,TRUE,"Energy";#N/A,#N/A,TRUE,"EnergyDiff1";#N/A,#N/A,TRUE,"EnergyDiff2";#N/A,#N/A,TRUE,"CapPerformance";#N/A,#N/A,TRUE,"BonusPerformance";#N/A,#N/A,TRUE,"BonusFormula";#N/A,#N/A,TRUE,"GraphPymt"}</definedName>
    <definedName name="wrn.Section2." localSheetId="17"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7" hidden="1">{#N/A,#N/A,TRUE,"Section2";#N/A,#N/A,TRUE,"TPCestimate";#N/A,#N/A,TRUE,"SumTPC";#N/A,#N/A,TRUE,"ConstrLoan";#N/A,#N/A,TRUE,"FigBalance";#N/A,#N/A,TRUE,"DEV27air";#N/A,#N/A,TRUE,"Graph27air";#N/A,#N/A,TRUE,"PreOp"}</definedName>
    <definedName name="wrn.Section2TotalProjectCost." localSheetId="6" hidden="1">{#N/A,#N/A,TRUE,"Section2";#N/A,#N/A,TRUE,"TPCestimate";#N/A,#N/A,TRUE,"SumTPC";#N/A,#N/A,TRUE,"ConstrLoan";#N/A,#N/A,TRUE,"FigBalance";#N/A,#N/A,TRUE,"DEV27air";#N/A,#N/A,TRUE,"Graph27air";#N/A,#N/A,TRUE,"PreOp"}</definedName>
    <definedName name="wrn.Section2TotalProjectCost." localSheetId="8" hidden="1">{#N/A,#N/A,TRUE,"Section2";#N/A,#N/A,TRUE,"TPCestimate";#N/A,#N/A,TRUE,"SumTPC";#N/A,#N/A,TRUE,"ConstrLoan";#N/A,#N/A,TRUE,"FigBalance";#N/A,#N/A,TRUE,"DEV27air";#N/A,#N/A,TRUE,"Graph27air";#N/A,#N/A,TRUE,"PreOp"}</definedName>
    <definedName name="wrn.Section2TotalProjectCost." localSheetId="13" hidden="1">{#N/A,#N/A,TRUE,"Section2";#N/A,#N/A,TRUE,"TPCestimate";#N/A,#N/A,TRUE,"SumTPC";#N/A,#N/A,TRUE,"ConstrLoan";#N/A,#N/A,TRUE,"FigBalance";#N/A,#N/A,TRUE,"DEV27air";#N/A,#N/A,TRUE,"Graph27air";#N/A,#N/A,TRUE,"PreOp"}</definedName>
    <definedName name="wrn.Section2TotalProjectCost." localSheetId="17"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7" hidden="1">{#N/A,#N/A,TRUE,"Section3";#N/A,#N/A,TRUE,"BaseYear";#N/A,#N/A,TRUE,"GenHistory";#N/A,#N/A,TRUE,"GenGraph";#N/A,#N/A,TRUE,"MonthCompare";#N/A,#N/A,TRUE,"HourHistory";#N/A,#N/A,TRUE,"PayHistory";#N/A,#N/A,TRUE,"PayGraphs";#N/A,#N/A,TRUE,"ReplaceForecast";#N/A,#N/A,TRUE,"PPAforecast";#N/A,#N/A,TRUE,"OLSier"}</definedName>
    <definedName name="wrn.Section3." localSheetId="6" hidden="1">{#N/A,#N/A,TRUE,"Section3";#N/A,#N/A,TRUE,"BaseYear";#N/A,#N/A,TRUE,"GenHistory";#N/A,#N/A,TRUE,"GenGraph";#N/A,#N/A,TRUE,"MonthCompare";#N/A,#N/A,TRUE,"HourHistory";#N/A,#N/A,TRUE,"PayHistory";#N/A,#N/A,TRUE,"PayGraphs";#N/A,#N/A,TRUE,"ReplaceForecast";#N/A,#N/A,TRUE,"PPAforecast";#N/A,#N/A,TRUE,"OLSier"}</definedName>
    <definedName name="wrn.Section3." localSheetId="8" hidden="1">{#N/A,#N/A,TRUE,"Section3";#N/A,#N/A,TRUE,"BaseYear";#N/A,#N/A,TRUE,"GenHistory";#N/A,#N/A,TRUE,"GenGraph";#N/A,#N/A,TRUE,"MonthCompare";#N/A,#N/A,TRUE,"HourHistory";#N/A,#N/A,TRUE,"PayHistory";#N/A,#N/A,TRUE,"PayGraphs";#N/A,#N/A,TRUE,"ReplaceForecast";#N/A,#N/A,TRUE,"PPAforecast";#N/A,#N/A,TRUE,"OLSier"}</definedName>
    <definedName name="wrn.Section3." localSheetId="13" hidden="1">{#N/A,#N/A,TRUE,"Section3";#N/A,#N/A,TRUE,"BaseYear";#N/A,#N/A,TRUE,"GenHistory";#N/A,#N/A,TRUE,"GenGraph";#N/A,#N/A,TRUE,"MonthCompare";#N/A,#N/A,TRUE,"HourHistory";#N/A,#N/A,TRUE,"PayHistory";#N/A,#N/A,TRUE,"PayGraphs";#N/A,#N/A,TRUE,"ReplaceForecast";#N/A,#N/A,TRUE,"PPAforecast";#N/A,#N/A,TRUE,"OLSier"}</definedName>
    <definedName name="wrn.Section3." localSheetId="17"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7" hidden="1">{#N/A,#N/A,TRUE,"Section3";#N/A,#N/A,TRUE,"Tax";#N/A,#N/A,TRUE,"Dividend";#N/A,#N/A,TRUE,"Depreciation";#N/A,#N/A,TRUE,"Balance";#N/A,#N/A,TRUE,"SaleGain";#N/A,#N/A,TRUE,"RevExp";#N/A,#N/A,TRUE,"PIG";#N/A,#N/A,TRUE,"GraphPlant"}</definedName>
    <definedName name="wrn.Section3PowerPlantCompany." localSheetId="6" hidden="1">{#N/A,#N/A,TRUE,"Section3";#N/A,#N/A,TRUE,"Tax";#N/A,#N/A,TRUE,"Dividend";#N/A,#N/A,TRUE,"Depreciation";#N/A,#N/A,TRUE,"Balance";#N/A,#N/A,TRUE,"SaleGain";#N/A,#N/A,TRUE,"RevExp";#N/A,#N/A,TRUE,"PIG";#N/A,#N/A,TRUE,"GraphPlant"}</definedName>
    <definedName name="wrn.Section3PowerPlantCompany." localSheetId="8" hidden="1">{#N/A,#N/A,TRUE,"Section3";#N/A,#N/A,TRUE,"Tax";#N/A,#N/A,TRUE,"Dividend";#N/A,#N/A,TRUE,"Depreciation";#N/A,#N/A,TRUE,"Balance";#N/A,#N/A,TRUE,"SaleGain";#N/A,#N/A,TRUE,"RevExp";#N/A,#N/A,TRUE,"PIG";#N/A,#N/A,TRUE,"GraphPlant"}</definedName>
    <definedName name="wrn.Section3PowerPlantCompany." localSheetId="13" hidden="1">{#N/A,#N/A,TRUE,"Section3";#N/A,#N/A,TRUE,"Tax";#N/A,#N/A,TRUE,"Dividend";#N/A,#N/A,TRUE,"Depreciation";#N/A,#N/A,TRUE,"Balance";#N/A,#N/A,TRUE,"SaleGain";#N/A,#N/A,TRUE,"RevExp";#N/A,#N/A,TRUE,"PIG";#N/A,#N/A,TRUE,"GraphPlant"}</definedName>
    <definedName name="wrn.Section3PowerPlantCompany." localSheetId="17"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7" hidden="1">{#N/A,#N/A,TRUE,"Section4";#N/A,#N/A,TRUE,"Tariffwksht";#N/A,#N/A,TRUE,"TariffINFO";#N/A,#N/A,TRUE,"Generation";#N/A,#N/A,TRUE,"PPAsum";#N/A,#N/A,TRUE,"PPApayments";#N/A,#N/A,TRUE,"RevExp";#N/A,#N/A,TRUE,"GraphRevenue";#N/A,#N/A,TRUE,"GraphRevExp"}</definedName>
    <definedName name="wrn.Section4." localSheetId="6" hidden="1">{#N/A,#N/A,TRUE,"Section4";#N/A,#N/A,TRUE,"Tariffwksht";#N/A,#N/A,TRUE,"TariffINFO";#N/A,#N/A,TRUE,"Generation";#N/A,#N/A,TRUE,"PPAsum";#N/A,#N/A,TRUE,"PPApayments";#N/A,#N/A,TRUE,"RevExp";#N/A,#N/A,TRUE,"GraphRevenue";#N/A,#N/A,TRUE,"GraphRevExp"}</definedName>
    <definedName name="wrn.Section4." localSheetId="8" hidden="1">{#N/A,#N/A,TRUE,"Section4";#N/A,#N/A,TRUE,"Tariffwksht";#N/A,#N/A,TRUE,"TariffINFO";#N/A,#N/A,TRUE,"Generation";#N/A,#N/A,TRUE,"PPAsum";#N/A,#N/A,TRUE,"PPApayments";#N/A,#N/A,TRUE,"RevExp";#N/A,#N/A,TRUE,"GraphRevenue";#N/A,#N/A,TRUE,"GraphRevExp"}</definedName>
    <definedName name="wrn.Section4." localSheetId="13" hidden="1">{#N/A,#N/A,TRUE,"Section4";#N/A,#N/A,TRUE,"Tariffwksht";#N/A,#N/A,TRUE,"TariffINFO";#N/A,#N/A,TRUE,"Generation";#N/A,#N/A,TRUE,"PPAsum";#N/A,#N/A,TRUE,"PPApayments";#N/A,#N/A,TRUE,"RevExp";#N/A,#N/A,TRUE,"GraphRevenue";#N/A,#N/A,TRUE,"GraphRevExp"}</definedName>
    <definedName name="wrn.Section4." localSheetId="17"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7" hidden="1">{#N/A,#N/A,TRUE,"Section4";#N/A,#N/A,TRUE,"PPAtable";#N/A,#N/A,TRUE,"RFPtable";#N/A,#N/A,TRUE,"RevCap";#N/A,#N/A,TRUE,"RevOther";#N/A,#N/A,TRUE,"RevGas";#N/A,#N/A,TRUE,"GraphRev"}</definedName>
    <definedName name="wrn.Section4Revenue." localSheetId="6" hidden="1">{#N/A,#N/A,TRUE,"Section4";#N/A,#N/A,TRUE,"PPAtable";#N/A,#N/A,TRUE,"RFPtable";#N/A,#N/A,TRUE,"RevCap";#N/A,#N/A,TRUE,"RevOther";#N/A,#N/A,TRUE,"RevGas";#N/A,#N/A,TRUE,"GraphRev"}</definedName>
    <definedName name="wrn.Section4Revenue." localSheetId="8" hidden="1">{#N/A,#N/A,TRUE,"Section4";#N/A,#N/A,TRUE,"PPAtable";#N/A,#N/A,TRUE,"RFPtable";#N/A,#N/A,TRUE,"RevCap";#N/A,#N/A,TRUE,"RevOther";#N/A,#N/A,TRUE,"RevGas";#N/A,#N/A,TRUE,"GraphRev"}</definedName>
    <definedName name="wrn.Section4Revenue." localSheetId="13" hidden="1">{#N/A,#N/A,TRUE,"Section4";#N/A,#N/A,TRUE,"PPAtable";#N/A,#N/A,TRUE,"RFPtable";#N/A,#N/A,TRUE,"RevCap";#N/A,#N/A,TRUE,"RevOther";#N/A,#N/A,TRUE,"RevGas";#N/A,#N/A,TRUE,"GraphRev"}</definedName>
    <definedName name="wrn.Section4Revenue." localSheetId="17"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7" hidden="1">{#N/A,#N/A,TRUE,"Section5";#N/A,#N/A,TRUE,"Coal";#N/A,#N/A,TRUE,"Fuel";#N/A,#N/A,TRUE,"OMwksht";#N/A,#N/A,TRUE,"VOM";#N/A,#N/A,TRUE,"FOM";#N/A,#N/A,TRUE,"Debt";#N/A,#N/A,TRUE,"LoanSchedules";#N/A,#N/A,TRUE,"GraphExp";#N/A,#N/A,TRUE,"Conversions"}</definedName>
    <definedName name="wrn.Section5." localSheetId="6" hidden="1">{#N/A,#N/A,TRUE,"Section5";#N/A,#N/A,TRUE,"Coal";#N/A,#N/A,TRUE,"Fuel";#N/A,#N/A,TRUE,"OMwksht";#N/A,#N/A,TRUE,"VOM";#N/A,#N/A,TRUE,"FOM";#N/A,#N/A,TRUE,"Debt";#N/A,#N/A,TRUE,"LoanSchedules";#N/A,#N/A,TRUE,"GraphExp";#N/A,#N/A,TRUE,"Conversions"}</definedName>
    <definedName name="wrn.Section5." localSheetId="8" hidden="1">{#N/A,#N/A,TRUE,"Section5";#N/A,#N/A,TRUE,"Coal";#N/A,#N/A,TRUE,"Fuel";#N/A,#N/A,TRUE,"OMwksht";#N/A,#N/A,TRUE,"VOM";#N/A,#N/A,TRUE,"FOM";#N/A,#N/A,TRUE,"Debt";#N/A,#N/A,TRUE,"LoanSchedules";#N/A,#N/A,TRUE,"GraphExp";#N/A,#N/A,TRUE,"Conversions"}</definedName>
    <definedName name="wrn.Section5." localSheetId="13" hidden="1">{#N/A,#N/A,TRUE,"Section5";#N/A,#N/A,TRUE,"Coal";#N/A,#N/A,TRUE,"Fuel";#N/A,#N/A,TRUE,"OMwksht";#N/A,#N/A,TRUE,"VOM";#N/A,#N/A,TRUE,"FOM";#N/A,#N/A,TRUE,"Debt";#N/A,#N/A,TRUE,"LoanSchedules";#N/A,#N/A,TRUE,"GraphExp";#N/A,#N/A,TRUE,"Conversions"}</definedName>
    <definedName name="wrn.Section5." localSheetId="17"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7" hidden="1">{#N/A,#N/A,TRUE,"Section5";#N/A,#N/A,TRUE,"Gas";#N/A,#N/A,TRUE,"Oil";#N/A,#N/A,TRUE,"SumOM";#N/A,#N/A,TRUE,"VOM";#N/A,#N/A,TRUE,"FOM";#N/A,#N/A,TRUE,"StartUps";#N/A,#N/A,TRUE,"Labor";#N/A,#N/A,TRUE,"PlantOrg";#N/A,#N/A,TRUE,"Conversions";#N/A,#N/A,TRUE,"GraphExp"}</definedName>
    <definedName name="wrn.Section5Expenses." localSheetId="6" hidden="1">{#N/A,#N/A,TRUE,"Section5";#N/A,#N/A,TRUE,"Gas";#N/A,#N/A,TRUE,"Oil";#N/A,#N/A,TRUE,"SumOM";#N/A,#N/A,TRUE,"VOM";#N/A,#N/A,TRUE,"FOM";#N/A,#N/A,TRUE,"StartUps";#N/A,#N/A,TRUE,"Labor";#N/A,#N/A,TRUE,"PlantOrg";#N/A,#N/A,TRUE,"Conversions";#N/A,#N/A,TRUE,"GraphExp"}</definedName>
    <definedName name="wrn.Section5Expenses." localSheetId="8" hidden="1">{#N/A,#N/A,TRUE,"Section5";#N/A,#N/A,TRUE,"Gas";#N/A,#N/A,TRUE,"Oil";#N/A,#N/A,TRUE,"SumOM";#N/A,#N/A,TRUE,"VOM";#N/A,#N/A,TRUE,"FOM";#N/A,#N/A,TRUE,"StartUps";#N/A,#N/A,TRUE,"Labor";#N/A,#N/A,TRUE,"PlantOrg";#N/A,#N/A,TRUE,"Conversions";#N/A,#N/A,TRUE,"GraphExp"}</definedName>
    <definedName name="wrn.Section5Expenses." localSheetId="13" hidden="1">{#N/A,#N/A,TRUE,"Section5";#N/A,#N/A,TRUE,"Gas";#N/A,#N/A,TRUE,"Oil";#N/A,#N/A,TRUE,"SumOM";#N/A,#N/A,TRUE,"VOM";#N/A,#N/A,TRUE,"FOM";#N/A,#N/A,TRUE,"StartUps";#N/A,#N/A,TRUE,"Labor";#N/A,#N/A,TRUE,"PlantOrg";#N/A,#N/A,TRUE,"Conversions";#N/A,#N/A,TRUE,"GraphExp"}</definedName>
    <definedName name="wrn.Section5Expenses." localSheetId="17"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7" hidden="1">{#N/A,#N/A,TRUE,"Section6";#N/A,#N/A,TRUE,"OHcycles";#N/A,#N/A,TRUE,"OHtiming";#N/A,#N/A,TRUE,"OHcosts";#N/A,#N/A,TRUE,"GTdegradation";#N/A,#N/A,TRUE,"GTperformance";#N/A,#N/A,TRUE,"GraphEquip"}</definedName>
    <definedName name="wrn.Section6Equipment." localSheetId="6" hidden="1">{#N/A,#N/A,TRUE,"Section6";#N/A,#N/A,TRUE,"OHcycles";#N/A,#N/A,TRUE,"OHtiming";#N/A,#N/A,TRUE,"OHcosts";#N/A,#N/A,TRUE,"GTdegradation";#N/A,#N/A,TRUE,"GTperformance";#N/A,#N/A,TRUE,"GraphEquip"}</definedName>
    <definedName name="wrn.Section6Equipment." localSheetId="8" hidden="1">{#N/A,#N/A,TRUE,"Section6";#N/A,#N/A,TRUE,"OHcycles";#N/A,#N/A,TRUE,"OHtiming";#N/A,#N/A,TRUE,"OHcosts";#N/A,#N/A,TRUE,"GTdegradation";#N/A,#N/A,TRUE,"GTperformance";#N/A,#N/A,TRUE,"GraphEquip"}</definedName>
    <definedName name="wrn.Section6Equipment." localSheetId="13" hidden="1">{#N/A,#N/A,TRUE,"Section6";#N/A,#N/A,TRUE,"OHcycles";#N/A,#N/A,TRUE,"OHtiming";#N/A,#N/A,TRUE,"OHcosts";#N/A,#N/A,TRUE,"GTdegradation";#N/A,#N/A,TRUE,"GTperformance";#N/A,#N/A,TRUE,"GraphEquip"}</definedName>
    <definedName name="wrn.Section6Equipment." localSheetId="17"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7" hidden="1">{#N/A,#N/A,TRUE,"Section7";#N/A,#N/A,TRUE,"DebtService";#N/A,#N/A,TRUE,"LoanSchedules";#N/A,#N/A,TRUE,"GraphDebt"}</definedName>
    <definedName name="wrn.Section7DebtService." localSheetId="6" hidden="1">{#N/A,#N/A,TRUE,"Section7";#N/A,#N/A,TRUE,"DebtService";#N/A,#N/A,TRUE,"LoanSchedules";#N/A,#N/A,TRUE,"GraphDebt"}</definedName>
    <definedName name="wrn.Section7DebtService." localSheetId="8" hidden="1">{#N/A,#N/A,TRUE,"Section7";#N/A,#N/A,TRUE,"DebtService";#N/A,#N/A,TRUE,"LoanSchedules";#N/A,#N/A,TRUE,"GraphDebt"}</definedName>
    <definedName name="wrn.Section7DebtService." localSheetId="13" hidden="1">{#N/A,#N/A,TRUE,"Section7";#N/A,#N/A,TRUE,"DebtService";#N/A,#N/A,TRUE,"LoanSchedules";#N/A,#N/A,TRUE,"GraphDebt"}</definedName>
    <definedName name="wrn.Section7DebtService." localSheetId="17" hidden="1">{#N/A,#N/A,TRUE,"Section7";#N/A,#N/A,TRUE,"DebtService";#N/A,#N/A,TRUE,"LoanSchedules";#N/A,#N/A,TRUE,"GraphDebt"}</definedName>
    <definedName name="wrn.Section7DebtService." hidden="1">{#N/A,#N/A,TRUE,"Section7";#N/A,#N/A,TRUE,"DebtService";#N/A,#N/A,TRUE,"LoanSchedules";#N/A,#N/A,TRUE,"GraphDebt"}</definedName>
    <definedName name="wrn.SponsorSection." localSheetId="7" hidden="1">{#N/A,#N/A,TRUE,"Cover";#N/A,#N/A,TRUE,"Contents";#N/A,#N/A,TRUE,"Organization";#N/A,#N/A,TRUE,"SumSponsor";#N/A,#N/A,TRUE,"Plant1";#N/A,#N/A,TRUE,"Plant2";#N/A,#N/A,TRUE,"Sponsors";#N/A,#N/A,TRUE,"ElPaso1";#N/A,#N/A,TRUE,"GraphSponsor"}</definedName>
    <definedName name="wrn.SponsorSection." localSheetId="6" hidden="1">{#N/A,#N/A,TRUE,"Cover";#N/A,#N/A,TRUE,"Contents";#N/A,#N/A,TRUE,"Organization";#N/A,#N/A,TRUE,"SumSponsor";#N/A,#N/A,TRUE,"Plant1";#N/A,#N/A,TRUE,"Plant2";#N/A,#N/A,TRUE,"Sponsors";#N/A,#N/A,TRUE,"ElPaso1";#N/A,#N/A,TRUE,"GraphSponsor"}</definedName>
    <definedName name="wrn.SponsorSection." localSheetId="8" hidden="1">{#N/A,#N/A,TRUE,"Cover";#N/A,#N/A,TRUE,"Contents";#N/A,#N/A,TRUE,"Organization";#N/A,#N/A,TRUE,"SumSponsor";#N/A,#N/A,TRUE,"Plant1";#N/A,#N/A,TRUE,"Plant2";#N/A,#N/A,TRUE,"Sponsors";#N/A,#N/A,TRUE,"ElPaso1";#N/A,#N/A,TRUE,"GraphSponsor"}</definedName>
    <definedName name="wrn.SponsorSection." localSheetId="13" hidden="1">{#N/A,#N/A,TRUE,"Cover";#N/A,#N/A,TRUE,"Contents";#N/A,#N/A,TRUE,"Organization";#N/A,#N/A,TRUE,"SumSponsor";#N/A,#N/A,TRUE,"Plant1";#N/A,#N/A,TRUE,"Plant2";#N/A,#N/A,TRUE,"Sponsors";#N/A,#N/A,TRUE,"ElPaso1";#N/A,#N/A,TRUE,"GraphSponsor"}</definedName>
    <definedName name="wrn.SponsorSection." localSheetId="17"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7" hidden="1">{"Table A",#N/A,FALSE,"Summary";"Table D",#N/A,FALSE,"Summary";"Table E",#N/A,FALSE,"Summary"}</definedName>
    <definedName name="wrn.Summary." localSheetId="6" hidden="1">{"Table A",#N/A,FALSE,"Summary";"Table D",#N/A,FALSE,"Summary";"Table E",#N/A,FALSE,"Summary"}</definedName>
    <definedName name="wrn.Summary." localSheetId="8" hidden="1">{"Table A",#N/A,FALSE,"Summary";"Table D",#N/A,FALSE,"Summary";"Table E",#N/A,FALSE,"Summary"}</definedName>
    <definedName name="wrn.Summary." localSheetId="13" hidden="1">{"Table A",#N/A,FALSE,"Summary";"Table D",#N/A,FALSE,"Summary";"Table E",#N/A,FALSE,"Summary"}</definedName>
    <definedName name="wrn.Summary." localSheetId="17" hidden="1">{"Table A",#N/A,FALSE,"Summary";"Table D",#N/A,FALSE,"Summary";"Table E",#N/A,FALSE,"Summary"}</definedName>
    <definedName name="wrn.Summary." hidden="1">{"Table A",#N/A,FALSE,"Summary";"Table D",#N/A,FALSE,"Summary";"Table E",#N/A,FALSE,"Summary"}</definedName>
    <definedName name="wrn.Total._.Summary." localSheetId="7" hidden="1">{"Total Summary",#N/A,FALSE,"Summary"}</definedName>
    <definedName name="wrn.Total._.Summary." localSheetId="6" hidden="1">{"Total Summary",#N/A,FALSE,"Summary"}</definedName>
    <definedName name="wrn.Total._.Summary." localSheetId="8" hidden="1">{"Total Summary",#N/A,FALSE,"Summary"}</definedName>
    <definedName name="wrn.Total._.Summary." localSheetId="13" hidden="1">{"Total Summary",#N/A,FALSE,"Summary"}</definedName>
    <definedName name="wrn.Total._.Summary." localSheetId="17" hidden="1">{"Total Summary",#N/A,FALSE,"Summary"}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73" i="86" l="1"/>
  <c r="E13" i="86"/>
  <c r="E30" i="100"/>
  <c r="E23" i="100"/>
  <c r="D7" i="267"/>
  <c r="E32" i="100"/>
  <c r="E25" i="100"/>
  <c r="F27" i="100"/>
  <c r="P72" i="86"/>
  <c r="P48" i="86"/>
  <c r="F17" i="100"/>
  <c r="F19" i="100" s="1"/>
  <c r="E17" i="100"/>
  <c r="E19" i="100" s="1"/>
  <c r="L36" i="86"/>
  <c r="E34" i="100" l="1"/>
  <c r="E27" i="100"/>
  <c r="F23" i="100" s="1"/>
  <c r="E42" i="270"/>
  <c r="E22" i="270" s="1"/>
  <c r="E41" i="270"/>
  <c r="D22" i="270" s="1"/>
  <c r="C103" i="269"/>
  <c r="F71" i="269"/>
  <c r="E71" i="269"/>
  <c r="H43" i="269" s="1"/>
  <c r="D43" i="269" s="1"/>
  <c r="G12" i="269" s="1"/>
  <c r="I12" i="269" s="1"/>
  <c r="F64" i="269"/>
  <c r="E64" i="269"/>
  <c r="H57" i="269"/>
  <c r="G57" i="269"/>
  <c r="G58" i="269" s="1"/>
  <c r="G37" i="269" s="1"/>
  <c r="D37" i="269" s="1"/>
  <c r="G6" i="269" s="1"/>
  <c r="D50" i="269"/>
  <c r="D49" i="269"/>
  <c r="G18" i="269" s="1"/>
  <c r="D48" i="269"/>
  <c r="D47" i="269"/>
  <c r="D46" i="269"/>
  <c r="D45" i="269"/>
  <c r="G14" i="269" s="1"/>
  <c r="F44" i="269"/>
  <c r="D44" i="269" s="1"/>
  <c r="G13" i="269" s="1"/>
  <c r="D42" i="269"/>
  <c r="G11" i="269" s="1"/>
  <c r="D41" i="269"/>
  <c r="D40" i="269"/>
  <c r="D39" i="269"/>
  <c r="D38" i="269"/>
  <c r="G7" i="269" s="1"/>
  <c r="F24" i="269"/>
  <c r="E20" i="269"/>
  <c r="I19" i="269"/>
  <c r="G19" i="269"/>
  <c r="I17" i="269"/>
  <c r="G17" i="269"/>
  <c r="I16" i="269"/>
  <c r="G16" i="269"/>
  <c r="I15" i="269"/>
  <c r="G15" i="269"/>
  <c r="I10" i="269"/>
  <c r="F29" i="269" s="1"/>
  <c r="G10" i="269"/>
  <c r="I9" i="269"/>
  <c r="G9" i="269"/>
  <c r="I8" i="269"/>
  <c r="G8" i="269"/>
  <c r="A8" i="269"/>
  <c r="A9" i="269" s="1"/>
  <c r="A10" i="269" s="1"/>
  <c r="A7" i="269"/>
  <c r="F104" i="268"/>
  <c r="F99" i="268"/>
  <c r="J87" i="268"/>
  <c r="E88" i="268" s="1"/>
  <c r="M78" i="268"/>
  <c r="J62" i="268"/>
  <c r="H42" i="268"/>
  <c r="H33" i="268"/>
  <c r="A7" i="268"/>
  <c r="A8" i="268" s="1"/>
  <c r="I7" i="269" l="1"/>
  <c r="F32" i="100"/>
  <c r="I18" i="269"/>
  <c r="I11" i="269"/>
  <c r="I6" i="269"/>
  <c r="J15" i="268"/>
  <c r="J29" i="268" s="1"/>
  <c r="J21" i="268"/>
  <c r="I13" i="269"/>
  <c r="I14" i="269"/>
  <c r="A11" i="269"/>
  <c r="A12" i="269" s="1"/>
  <c r="A13" i="269" s="1"/>
  <c r="A14" i="269" s="1"/>
  <c r="A15" i="269" s="1"/>
  <c r="A16" i="269" s="1"/>
  <c r="A17" i="269" s="1"/>
  <c r="A18" i="269" s="1"/>
  <c r="A19" i="269" s="1"/>
  <c r="G24" i="269"/>
  <c r="E104" i="268"/>
  <c r="J42" i="268" s="1"/>
  <c r="E99" i="268"/>
  <c r="J33" i="268" s="1"/>
  <c r="A9" i="268"/>
  <c r="A12" i="268" s="1"/>
  <c r="I20" i="269" l="1"/>
  <c r="F23" i="269" s="1"/>
  <c r="F25" i="269" s="1"/>
  <c r="F27" i="269" s="1"/>
  <c r="F30" i="269" s="1"/>
  <c r="A20" i="269"/>
  <c r="C80" i="269"/>
  <c r="J41" i="268"/>
  <c r="J34" i="268"/>
  <c r="J55" i="268" s="1"/>
  <c r="J38" i="268"/>
  <c r="J56" i="268" s="1"/>
  <c r="A13" i="268"/>
  <c r="A14" i="268" s="1"/>
  <c r="A15" i="268" s="1"/>
  <c r="A18" i="268" s="1"/>
  <c r="G23" i="269" l="1"/>
  <c r="A23" i="269"/>
  <c r="A19" i="268"/>
  <c r="A20" i="268" s="1"/>
  <c r="A21" i="268" s="1"/>
  <c r="H21" i="268"/>
  <c r="H15" i="268"/>
  <c r="J59" i="268"/>
  <c r="J64" i="268" s="1"/>
  <c r="E68" i="268" s="1"/>
  <c r="A24" i="269" l="1"/>
  <c r="A25" i="269" s="1"/>
  <c r="E70" i="268"/>
  <c r="E72" i="268"/>
  <c r="E74" i="268"/>
  <c r="A23" i="268"/>
  <c r="H29" i="268"/>
  <c r="J70" i="268" l="1"/>
  <c r="J72" i="268" s="1"/>
  <c r="D6" i="267"/>
  <c r="G25" i="269"/>
  <c r="A26" i="269"/>
  <c r="A27" i="269" s="1"/>
  <c r="A24" i="268"/>
  <c r="A25" i="268" s="1"/>
  <c r="A26" i="268" s="1"/>
  <c r="A27" i="268" s="1"/>
  <c r="A29" i="268" s="1"/>
  <c r="G27" i="269" l="1"/>
  <c r="A28" i="269"/>
  <c r="H30" i="268"/>
  <c r="H41" i="268"/>
  <c r="A33" i="268"/>
  <c r="A34" i="268" s="1"/>
  <c r="A29" i="269" l="1"/>
  <c r="G29" i="269"/>
  <c r="H55" i="268"/>
  <c r="A38" i="268"/>
  <c r="H34" i="268"/>
  <c r="A30" i="269" l="1"/>
  <c r="A37" i="269" s="1"/>
  <c r="G30" i="269"/>
  <c r="H56" i="268"/>
  <c r="A41" i="268"/>
  <c r="A42" i="268" s="1"/>
  <c r="A43" i="268" s="1"/>
  <c r="A44" i="268" s="1"/>
  <c r="A45" i="268" s="1"/>
  <c r="A48" i="268" s="1"/>
  <c r="G81" i="269" l="1"/>
  <c r="A38" i="269"/>
  <c r="A39" i="269" s="1"/>
  <c r="A40" i="269" s="1"/>
  <c r="A41" i="269" s="1"/>
  <c r="A42" i="269" s="1"/>
  <c r="A43" i="269" s="1"/>
  <c r="A49" i="268"/>
  <c r="A50" i="268" s="1"/>
  <c r="A51" i="268" s="1"/>
  <c r="A52" i="268" s="1"/>
  <c r="A53" i="268" s="1"/>
  <c r="A54" i="268" s="1"/>
  <c r="A55" i="268" s="1"/>
  <c r="A56" i="268" s="1"/>
  <c r="A57" i="268" s="1"/>
  <c r="A58" i="268" s="1"/>
  <c r="A59" i="268" s="1"/>
  <c r="C82" i="269" l="1"/>
  <c r="A44" i="269"/>
  <c r="H59" i="268"/>
  <c r="A61" i="268"/>
  <c r="A64" i="268" s="1"/>
  <c r="H64" i="268"/>
  <c r="C73" i="269" l="1"/>
  <c r="A45" i="269"/>
  <c r="A46" i="269" s="1"/>
  <c r="A47" i="269" s="1"/>
  <c r="A48" i="269" s="1"/>
  <c r="A49" i="269" s="1"/>
  <c r="A50" i="269" s="1"/>
  <c r="G68" i="268"/>
  <c r="A68" i="268"/>
  <c r="A69" i="268" l="1"/>
  <c r="A70" i="268" s="1"/>
  <c r="A71" i="268" s="1"/>
  <c r="A72" i="268" s="1"/>
  <c r="A74" i="268" s="1"/>
  <c r="G74" i="268" l="1"/>
  <c r="G72" i="268"/>
  <c r="G70" i="268"/>
  <c r="D8" i="267" l="1"/>
  <c r="T60" i="86" s="1"/>
  <c r="T61" i="86" s="1"/>
  <c r="T62" i="86" s="1"/>
  <c r="T63" i="86" s="1"/>
  <c r="T64" i="86" s="1"/>
  <c r="T65" i="86" s="1"/>
  <c r="T66" i="86" s="1"/>
  <c r="T67" i="86" s="1"/>
  <c r="T68" i="86" s="1"/>
  <c r="T69" i="86" s="1"/>
  <c r="T70" i="86" s="1"/>
  <c r="T71" i="86" s="1"/>
  <c r="E42" i="266"/>
  <c r="E22" i="266" s="1"/>
  <c r="E41" i="266"/>
  <c r="D22" i="266" s="1"/>
  <c r="C100" i="265"/>
  <c r="F71" i="265"/>
  <c r="E71" i="265"/>
  <c r="H43" i="265" s="1"/>
  <c r="D43" i="265" s="1"/>
  <c r="G12" i="265" s="1"/>
  <c r="H12" i="265" s="1"/>
  <c r="F64" i="265"/>
  <c r="E64" i="265"/>
  <c r="G58" i="265"/>
  <c r="G37" i="265" s="1"/>
  <c r="D37" i="265" s="1"/>
  <c r="G6" i="265" s="1"/>
  <c r="H6" i="265" s="1"/>
  <c r="H57" i="265"/>
  <c r="G57" i="265"/>
  <c r="D50" i="265"/>
  <c r="D49" i="265"/>
  <c r="D48" i="265"/>
  <c r="D47" i="265"/>
  <c r="G16" i="265" s="1"/>
  <c r="H16" i="265" s="1"/>
  <c r="D46" i="265"/>
  <c r="D45" i="265"/>
  <c r="F44" i="265"/>
  <c r="D44" i="265"/>
  <c r="D42" i="265"/>
  <c r="G11" i="265" s="1"/>
  <c r="H11" i="265" s="1"/>
  <c r="D41" i="265"/>
  <c r="D40" i="265"/>
  <c r="G9" i="265" s="1"/>
  <c r="H9" i="265" s="1"/>
  <c r="D39" i="265"/>
  <c r="D38" i="265"/>
  <c r="G7" i="265" s="1"/>
  <c r="H7" i="265" s="1"/>
  <c r="F24" i="265"/>
  <c r="E20" i="265"/>
  <c r="H19" i="265"/>
  <c r="G19" i="265"/>
  <c r="G18" i="265"/>
  <c r="H18" i="265" s="1"/>
  <c r="G17" i="265"/>
  <c r="H17" i="265" s="1"/>
  <c r="H15" i="265"/>
  <c r="G15" i="265"/>
  <c r="G14" i="265"/>
  <c r="H14" i="265" s="1"/>
  <c r="G13" i="265"/>
  <c r="H13" i="265" s="1"/>
  <c r="G10" i="265"/>
  <c r="H10" i="265" s="1"/>
  <c r="F29" i="265" s="1"/>
  <c r="G8" i="265"/>
  <c r="H8" i="265" s="1"/>
  <c r="A8" i="265"/>
  <c r="A9" i="265" s="1"/>
  <c r="A10" i="265" s="1"/>
  <c r="A7" i="265"/>
  <c r="D7" i="194"/>
  <c r="D6" i="194"/>
  <c r="F103" i="264"/>
  <c r="F98" i="264"/>
  <c r="E103" i="264"/>
  <c r="J42" i="264" s="1"/>
  <c r="E98" i="264"/>
  <c r="J33" i="264" s="1"/>
  <c r="E87" i="264"/>
  <c r="J86" i="264"/>
  <c r="J62" i="264"/>
  <c r="H42" i="264"/>
  <c r="H33" i="264"/>
  <c r="J21" i="264"/>
  <c r="J15" i="264"/>
  <c r="A7" i="264"/>
  <c r="A8" i="264" s="1"/>
  <c r="A9" i="264" s="1"/>
  <c r="A12" i="264" s="1"/>
  <c r="G24" i="265" l="1"/>
  <c r="A11" i="265"/>
  <c r="A12" i="265" s="1"/>
  <c r="A13" i="265" s="1"/>
  <c r="A14" i="265" s="1"/>
  <c r="A15" i="265" s="1"/>
  <c r="A16" i="265" s="1"/>
  <c r="A17" i="265" s="1"/>
  <c r="A18" i="265" s="1"/>
  <c r="A19" i="265" s="1"/>
  <c r="H20" i="265"/>
  <c r="F23" i="265" s="1"/>
  <c r="F25" i="265" s="1"/>
  <c r="F27" i="265" s="1"/>
  <c r="F30" i="265" s="1"/>
  <c r="A13" i="264"/>
  <c r="A14" i="264" s="1"/>
  <c r="A15" i="264" s="1"/>
  <c r="A18" i="264" s="1"/>
  <c r="J29" i="264"/>
  <c r="C77" i="265" l="1"/>
  <c r="A20" i="265"/>
  <c r="A19" i="264"/>
  <c r="A20" i="264" s="1"/>
  <c r="A21" i="264" s="1"/>
  <c r="J41" i="264"/>
  <c r="J34" i="264"/>
  <c r="J55" i="264" s="1"/>
  <c r="J38" i="264"/>
  <c r="J56" i="264" s="1"/>
  <c r="H15" i="264"/>
  <c r="G23" i="265" l="1"/>
  <c r="A23" i="265"/>
  <c r="J59" i="264"/>
  <c r="J64" i="264" s="1"/>
  <c r="E68" i="264" s="1"/>
  <c r="A23" i="264"/>
  <c r="H29" i="264"/>
  <c r="H21" i="264"/>
  <c r="G25" i="265" l="1"/>
  <c r="A24" i="265"/>
  <c r="A25" i="265" s="1"/>
  <c r="A24" i="264"/>
  <c r="A25" i="264" s="1"/>
  <c r="A26" i="264" s="1"/>
  <c r="A27" i="264" s="1"/>
  <c r="A29" i="264" s="1"/>
  <c r="H30" i="264"/>
  <c r="E70" i="264"/>
  <c r="E72" i="264"/>
  <c r="E73" i="264"/>
  <c r="J70" i="264" s="1"/>
  <c r="J72" i="264" s="1"/>
  <c r="M76" i="264" s="1"/>
  <c r="M77" i="264" s="1"/>
  <c r="A26" i="265" l="1"/>
  <c r="A27" i="265" s="1"/>
  <c r="H41" i="264"/>
  <c r="A33" i="264"/>
  <c r="A34" i="264" s="1"/>
  <c r="A28" i="265" l="1"/>
  <c r="G27" i="265"/>
  <c r="H55" i="264"/>
  <c r="A38" i="264"/>
  <c r="H34" i="264"/>
  <c r="A29" i="265" l="1"/>
  <c r="G29" i="265"/>
  <c r="H56" i="264"/>
  <c r="A41" i="264"/>
  <c r="A42" i="264" s="1"/>
  <c r="A43" i="264" s="1"/>
  <c r="A44" i="264" s="1"/>
  <c r="A45" i="264" s="1"/>
  <c r="A48" i="264" s="1"/>
  <c r="A30" i="265" l="1"/>
  <c r="A37" i="265" s="1"/>
  <c r="G30" i="265"/>
  <c r="A49" i="264"/>
  <c r="A50" i="264" s="1"/>
  <c r="A51" i="264" s="1"/>
  <c r="A52" i="264" s="1"/>
  <c r="A53" i="264" s="1"/>
  <c r="A54" i="264" s="1"/>
  <c r="A55" i="264" s="1"/>
  <c r="A56" i="264" s="1"/>
  <c r="A57" i="264" s="1"/>
  <c r="A58" i="264" s="1"/>
  <c r="A59" i="264" s="1"/>
  <c r="G78" i="265" l="1"/>
  <c r="A38" i="265"/>
  <c r="A39" i="265" s="1"/>
  <c r="A40" i="265" s="1"/>
  <c r="A41" i="265" s="1"/>
  <c r="A42" i="265" s="1"/>
  <c r="A43" i="265" s="1"/>
  <c r="H59" i="264"/>
  <c r="A61" i="264"/>
  <c r="A64" i="264" s="1"/>
  <c r="H64" i="264"/>
  <c r="A44" i="265" l="1"/>
  <c r="C79" i="265"/>
  <c r="A68" i="264"/>
  <c r="G68" i="264"/>
  <c r="C73" i="265" l="1"/>
  <c r="A45" i="265"/>
  <c r="A46" i="265" s="1"/>
  <c r="A47" i="265" s="1"/>
  <c r="A48" i="265" s="1"/>
  <c r="A49" i="265" s="1"/>
  <c r="A50" i="265" s="1"/>
  <c r="A69" i="264"/>
  <c r="A70" i="264" s="1"/>
  <c r="A71" i="264" s="1"/>
  <c r="A72" i="264" s="1"/>
  <c r="A73" i="264" s="1"/>
  <c r="G73" i="264" l="1"/>
  <c r="G72" i="264"/>
  <c r="G70" i="264"/>
  <c r="L75" i="262" l="1"/>
  <c r="L74" i="262"/>
  <c r="L75" i="260"/>
  <c r="L74" i="260"/>
  <c r="E10" i="213"/>
  <c r="E7" i="213"/>
  <c r="C100" i="263"/>
  <c r="F71" i="263"/>
  <c r="E71" i="263"/>
  <c r="H43" i="263" s="1"/>
  <c r="D43" i="263" s="1"/>
  <c r="G12" i="263" s="1"/>
  <c r="H12" i="263" s="1"/>
  <c r="F64" i="263"/>
  <c r="E64" i="263"/>
  <c r="H57" i="263"/>
  <c r="G57" i="263"/>
  <c r="G58" i="263" s="1"/>
  <c r="G37" i="263" s="1"/>
  <c r="D37" i="263" s="1"/>
  <c r="G6" i="263" s="1"/>
  <c r="H6" i="263" s="1"/>
  <c r="H20" i="263" s="1"/>
  <c r="F23" i="263" s="1"/>
  <c r="F25" i="263" s="1"/>
  <c r="F27" i="263" s="1"/>
  <c r="F30" i="263" s="1"/>
  <c r="D50" i="263"/>
  <c r="D49" i="263"/>
  <c r="G18" i="263" s="1"/>
  <c r="H18" i="263" s="1"/>
  <c r="D48" i="263"/>
  <c r="D47" i="263"/>
  <c r="D46" i="263"/>
  <c r="D45" i="263"/>
  <c r="F44" i="263"/>
  <c r="D44" i="263" s="1"/>
  <c r="G13" i="263" s="1"/>
  <c r="H13" i="263" s="1"/>
  <c r="D42" i="263"/>
  <c r="D41" i="263"/>
  <c r="D40" i="263"/>
  <c r="D39" i="263"/>
  <c r="D38" i="263"/>
  <c r="G7" i="263" s="1"/>
  <c r="H7" i="263" s="1"/>
  <c r="F29" i="263"/>
  <c r="F24" i="263"/>
  <c r="E20" i="263"/>
  <c r="G19" i="263"/>
  <c r="H19" i="263" s="1"/>
  <c r="G17" i="263"/>
  <c r="H17" i="263" s="1"/>
  <c r="H16" i="263"/>
  <c r="G16" i="263"/>
  <c r="H15" i="263"/>
  <c r="G15" i="263"/>
  <c r="G14" i="263"/>
  <c r="H14" i="263" s="1"/>
  <c r="G11" i="263"/>
  <c r="H11" i="263" s="1"/>
  <c r="H10" i="263"/>
  <c r="G10" i="263"/>
  <c r="G9" i="263"/>
  <c r="H9" i="263" s="1"/>
  <c r="A9" i="263"/>
  <c r="A10" i="263" s="1"/>
  <c r="H8" i="263"/>
  <c r="G8" i="263"/>
  <c r="A8" i="263"/>
  <c r="A7" i="263"/>
  <c r="F103" i="262"/>
  <c r="F98" i="262"/>
  <c r="J86" i="262"/>
  <c r="E87" i="262" s="1"/>
  <c r="J62" i="262"/>
  <c r="H42" i="262"/>
  <c r="H33" i="262"/>
  <c r="J15" i="262"/>
  <c r="A7" i="262"/>
  <c r="A8" i="262" s="1"/>
  <c r="A9" i="262" s="1"/>
  <c r="A12" i="262" s="1"/>
  <c r="E103" i="262" l="1"/>
  <c r="J42" i="262" s="1"/>
  <c r="E98" i="262"/>
  <c r="J33" i="262" s="1"/>
  <c r="J21" i="262"/>
  <c r="J29" i="262" s="1"/>
  <c r="L76" i="262"/>
  <c r="L76" i="260"/>
  <c r="A11" i="263"/>
  <c r="A12" i="263" s="1"/>
  <c r="A13" i="263" s="1"/>
  <c r="A14" i="263" s="1"/>
  <c r="A15" i="263" s="1"/>
  <c r="A16" i="263" s="1"/>
  <c r="A17" i="263" s="1"/>
  <c r="A18" i="263" s="1"/>
  <c r="A19" i="263" s="1"/>
  <c r="G24" i="263"/>
  <c r="A13" i="262"/>
  <c r="A14" i="262" s="1"/>
  <c r="A15" i="262" s="1"/>
  <c r="A18" i="262" s="1"/>
  <c r="H15" i="262"/>
  <c r="A20" i="263" l="1"/>
  <c r="C77" i="263"/>
  <c r="A19" i="262"/>
  <c r="A20" i="262" s="1"/>
  <c r="A21" i="262" s="1"/>
  <c r="J38" i="262"/>
  <c r="J56" i="262" s="1"/>
  <c r="J34" i="262"/>
  <c r="J55" i="262" s="1"/>
  <c r="J59" i="262" s="1"/>
  <c r="J64" i="262" s="1"/>
  <c r="E68" i="262" s="1"/>
  <c r="J41" i="262"/>
  <c r="G23" i="263" l="1"/>
  <c r="A23" i="263"/>
  <c r="H21" i="262"/>
  <c r="A23" i="262"/>
  <c r="H29" i="262"/>
  <c r="E72" i="262"/>
  <c r="E70" i="262"/>
  <c r="E73" i="262" s="1"/>
  <c r="J70" i="262" l="1"/>
  <c r="J72" i="262" s="1"/>
  <c r="E9" i="213"/>
  <c r="A24" i="263"/>
  <c r="A25" i="263" s="1"/>
  <c r="A24" i="262"/>
  <c r="A25" i="262" s="1"/>
  <c r="A26" i="262" s="1"/>
  <c r="A27" i="262" s="1"/>
  <c r="A29" i="262" s="1"/>
  <c r="H30" i="262"/>
  <c r="A26" i="263" l="1"/>
  <c r="A27" i="263" s="1"/>
  <c r="G27" i="263"/>
  <c r="G25" i="263"/>
  <c r="A33" i="262"/>
  <c r="A34" i="262" s="1"/>
  <c r="H34" i="262"/>
  <c r="H41" i="262"/>
  <c r="A28" i="263" l="1"/>
  <c r="A38" i="262"/>
  <c r="H55" i="262"/>
  <c r="A29" i="263" l="1"/>
  <c r="G29" i="263"/>
  <c r="H56" i="262"/>
  <c r="A41" i="262"/>
  <c r="A42" i="262" s="1"/>
  <c r="A43" i="262" s="1"/>
  <c r="A44" i="262" s="1"/>
  <c r="A45" i="262" s="1"/>
  <c r="A48" i="262" s="1"/>
  <c r="A30" i="263" l="1"/>
  <c r="A37" i="263" s="1"/>
  <c r="G30" i="263"/>
  <c r="A49" i="262"/>
  <c r="A50" i="262" s="1"/>
  <c r="A51" i="262" s="1"/>
  <c r="A52" i="262" s="1"/>
  <c r="A53" i="262" s="1"/>
  <c r="A54" i="262" s="1"/>
  <c r="A55" i="262" s="1"/>
  <c r="A56" i="262" s="1"/>
  <c r="A57" i="262" s="1"/>
  <c r="A58" i="262" s="1"/>
  <c r="A59" i="262" s="1"/>
  <c r="A38" i="263" l="1"/>
  <c r="A39" i="263" s="1"/>
  <c r="A40" i="263" s="1"/>
  <c r="A41" i="263" s="1"/>
  <c r="A42" i="263" s="1"/>
  <c r="A43" i="263" s="1"/>
  <c r="G78" i="263"/>
  <c r="H64" i="262"/>
  <c r="A61" i="262"/>
  <c r="A64" i="262" s="1"/>
  <c r="H59" i="262"/>
  <c r="C79" i="263" l="1"/>
  <c r="A44" i="263"/>
  <c r="G68" i="262"/>
  <c r="A68" i="262"/>
  <c r="C73" i="263" l="1"/>
  <c r="A45" i="263"/>
  <c r="A46" i="263" s="1"/>
  <c r="A47" i="263" s="1"/>
  <c r="A48" i="263" s="1"/>
  <c r="A49" i="263" s="1"/>
  <c r="A50" i="263" s="1"/>
  <c r="A69" i="262"/>
  <c r="A70" i="262" s="1"/>
  <c r="A71" i="262" s="1"/>
  <c r="A72" i="262" s="1"/>
  <c r="A73" i="262" s="1"/>
  <c r="G70" i="262"/>
  <c r="G72" i="262"/>
  <c r="G73" i="262" l="1"/>
  <c r="C101" i="261"/>
  <c r="F72" i="261"/>
  <c r="E72" i="261"/>
  <c r="H43" i="261" s="1"/>
  <c r="D43" i="261" s="1"/>
  <c r="G12" i="261" s="1"/>
  <c r="H12" i="261" s="1"/>
  <c r="F65" i="261"/>
  <c r="E65" i="261"/>
  <c r="H58" i="261"/>
  <c r="G58" i="261"/>
  <c r="G59" i="261" s="1"/>
  <c r="G37" i="261" s="1"/>
  <c r="D37" i="261" s="1"/>
  <c r="G6" i="261" s="1"/>
  <c r="H6" i="261" s="1"/>
  <c r="H20" i="261" s="1"/>
  <c r="F23" i="261" s="1"/>
  <c r="F25" i="261" s="1"/>
  <c r="F27" i="261" s="1"/>
  <c r="F30" i="261" s="1"/>
  <c r="D50" i="261"/>
  <c r="D49" i="261"/>
  <c r="G18" i="261" s="1"/>
  <c r="H18" i="261" s="1"/>
  <c r="D48" i="261"/>
  <c r="G17" i="261" s="1"/>
  <c r="H17" i="261" s="1"/>
  <c r="D47" i="261"/>
  <c r="D46" i="261"/>
  <c r="D45" i="261"/>
  <c r="G14" i="261" s="1"/>
  <c r="H14" i="261" s="1"/>
  <c r="F44" i="261"/>
  <c r="D44" i="261" s="1"/>
  <c r="G13" i="261" s="1"/>
  <c r="H13" i="261" s="1"/>
  <c r="D42" i="261"/>
  <c r="G11" i="261" s="1"/>
  <c r="H11" i="261" s="1"/>
  <c r="D41" i="261"/>
  <c r="D40" i="261"/>
  <c r="G9" i="261" s="1"/>
  <c r="H9" i="261" s="1"/>
  <c r="D39" i="261"/>
  <c r="D38" i="261"/>
  <c r="G7" i="261" s="1"/>
  <c r="H7" i="261" s="1"/>
  <c r="F24" i="261"/>
  <c r="E20" i="261"/>
  <c r="G19" i="261"/>
  <c r="H19" i="261" s="1"/>
  <c r="G16" i="261"/>
  <c r="H16" i="261" s="1"/>
  <c r="G15" i="261"/>
  <c r="H15" i="261" s="1"/>
  <c r="G10" i="261"/>
  <c r="H10" i="261" s="1"/>
  <c r="F29" i="261" s="1"/>
  <c r="G8" i="261"/>
  <c r="H8" i="261" s="1"/>
  <c r="A7" i="261"/>
  <c r="A8" i="261" s="1"/>
  <c r="A9" i="261" s="1"/>
  <c r="A10" i="261" s="1"/>
  <c r="F103" i="260"/>
  <c r="F98" i="260"/>
  <c r="J86" i="260"/>
  <c r="E87" i="260" s="1"/>
  <c r="J62" i="260"/>
  <c r="H42" i="260"/>
  <c r="H33" i="260"/>
  <c r="J21" i="260"/>
  <c r="A7" i="260"/>
  <c r="A8" i="260" s="1"/>
  <c r="A9" i="260" s="1"/>
  <c r="A12" i="260" s="1"/>
  <c r="J15" i="260" l="1"/>
  <c r="J29" i="260" s="1"/>
  <c r="J41" i="260" s="1"/>
  <c r="G24" i="261"/>
  <c r="A11" i="261"/>
  <c r="A12" i="261" s="1"/>
  <c r="A13" i="261" s="1"/>
  <c r="A14" i="261" s="1"/>
  <c r="A15" i="261" s="1"/>
  <c r="A16" i="261" s="1"/>
  <c r="A17" i="261" s="1"/>
  <c r="A18" i="261" s="1"/>
  <c r="A19" i="261" s="1"/>
  <c r="A13" i="260"/>
  <c r="A14" i="260" s="1"/>
  <c r="A15" i="260" s="1"/>
  <c r="A18" i="260" s="1"/>
  <c r="H15" i="260"/>
  <c r="E103" i="260"/>
  <c r="J42" i="260" s="1"/>
  <c r="E98" i="260"/>
  <c r="J33" i="260" s="1"/>
  <c r="J38" i="260" l="1"/>
  <c r="J56" i="260" s="1"/>
  <c r="J34" i="260"/>
  <c r="J55" i="260" s="1"/>
  <c r="C78" i="261"/>
  <c r="A20" i="261"/>
  <c r="J59" i="260"/>
  <c r="J64" i="260" s="1"/>
  <c r="E68" i="260" s="1"/>
  <c r="A19" i="260"/>
  <c r="A20" i="260" s="1"/>
  <c r="A21" i="260" s="1"/>
  <c r="H21" i="260"/>
  <c r="A23" i="261" l="1"/>
  <c r="G23" i="261"/>
  <c r="A23" i="260"/>
  <c r="H29" i="260"/>
  <c r="E73" i="260"/>
  <c r="J70" i="260" l="1"/>
  <c r="J72" i="260" s="1"/>
  <c r="E6" i="213"/>
  <c r="G25" i="261"/>
  <c r="A24" i="261"/>
  <c r="A25" i="261" s="1"/>
  <c r="A24" i="260"/>
  <c r="A25" i="260" s="1"/>
  <c r="A26" i="260" s="1"/>
  <c r="A27" i="260" s="1"/>
  <c r="A29" i="260" s="1"/>
  <c r="A26" i="261" l="1"/>
  <c r="A27" i="261" s="1"/>
  <c r="H30" i="260"/>
  <c r="A33" i="260"/>
  <c r="A34" i="260" s="1"/>
  <c r="H41" i="260"/>
  <c r="A28" i="261" l="1"/>
  <c r="G27" i="261"/>
  <c r="H34" i="260"/>
  <c r="A38" i="260"/>
  <c r="H55" i="260"/>
  <c r="A29" i="261" l="1"/>
  <c r="G29" i="261"/>
  <c r="H56" i="260"/>
  <c r="A41" i="260"/>
  <c r="A42" i="260" s="1"/>
  <c r="A43" i="260" s="1"/>
  <c r="A44" i="260" s="1"/>
  <c r="A45" i="260" s="1"/>
  <c r="A48" i="260" s="1"/>
  <c r="A30" i="261" l="1"/>
  <c r="A37" i="261" s="1"/>
  <c r="G30" i="261"/>
  <c r="A49" i="260"/>
  <c r="A50" i="260" s="1"/>
  <c r="A51" i="260" s="1"/>
  <c r="A52" i="260" s="1"/>
  <c r="A53" i="260" s="1"/>
  <c r="A54" i="260" s="1"/>
  <c r="A55" i="260" s="1"/>
  <c r="A56" i="260" s="1"/>
  <c r="A57" i="260" s="1"/>
  <c r="A58" i="260" s="1"/>
  <c r="A59" i="260" s="1"/>
  <c r="A61" i="260" s="1"/>
  <c r="A64" i="260" s="1"/>
  <c r="G79" i="261" l="1"/>
  <c r="A38" i="261"/>
  <c r="A39" i="261" s="1"/>
  <c r="A40" i="261" s="1"/>
  <c r="A41" i="261" s="1"/>
  <c r="A42" i="261" s="1"/>
  <c r="A43" i="261" s="1"/>
  <c r="H59" i="260"/>
  <c r="G68" i="260"/>
  <c r="A68" i="260"/>
  <c r="C80" i="261" l="1"/>
  <c r="A44" i="261"/>
  <c r="A69" i="260"/>
  <c r="A70" i="260" s="1"/>
  <c r="G70" i="260"/>
  <c r="C74" i="261" l="1"/>
  <c r="A45" i="261"/>
  <c r="A46" i="261" s="1"/>
  <c r="A47" i="261" s="1"/>
  <c r="A48" i="261" s="1"/>
  <c r="A49" i="261" s="1"/>
  <c r="A50" i="261" s="1"/>
  <c r="A71" i="260"/>
  <c r="A72" i="260" s="1"/>
  <c r="A73" i="260" s="1"/>
  <c r="G73" i="260"/>
  <c r="G72" i="260" l="1"/>
  <c r="C100" i="259" l="1"/>
  <c r="F71" i="259"/>
  <c r="E71" i="259"/>
  <c r="F64" i="259"/>
  <c r="E64" i="259"/>
  <c r="G58" i="259"/>
  <c r="H57" i="259"/>
  <c r="G57" i="259"/>
  <c r="D50" i="259"/>
  <c r="D49" i="259"/>
  <c r="D48" i="259"/>
  <c r="G17" i="259" s="1"/>
  <c r="H17" i="259" s="1"/>
  <c r="D47" i="259"/>
  <c r="D46" i="259"/>
  <c r="D45" i="259"/>
  <c r="F44" i="259"/>
  <c r="D44" i="259" s="1"/>
  <c r="G13" i="259" s="1"/>
  <c r="H13" i="259" s="1"/>
  <c r="H43" i="259"/>
  <c r="D43" i="259"/>
  <c r="D42" i="259"/>
  <c r="D41" i="259"/>
  <c r="D40" i="259"/>
  <c r="G9" i="259" s="1"/>
  <c r="H9" i="259" s="1"/>
  <c r="D39" i="259"/>
  <c r="D38" i="259"/>
  <c r="G37" i="259"/>
  <c r="D37" i="259" s="1"/>
  <c r="G6" i="259" s="1"/>
  <c r="H6" i="259" s="1"/>
  <c r="H20" i="259" s="1"/>
  <c r="F23" i="259" s="1"/>
  <c r="F25" i="259" s="1"/>
  <c r="F27" i="259" s="1"/>
  <c r="F30" i="259" s="1"/>
  <c r="F24" i="259"/>
  <c r="E20" i="259"/>
  <c r="G19" i="259"/>
  <c r="H19" i="259" s="1"/>
  <c r="H18" i="259"/>
  <c r="G18" i="259"/>
  <c r="G16" i="259"/>
  <c r="H16" i="259" s="1"/>
  <c r="G15" i="259"/>
  <c r="H15" i="259" s="1"/>
  <c r="G14" i="259"/>
  <c r="H14" i="259" s="1"/>
  <c r="H12" i="259"/>
  <c r="G12" i="259"/>
  <c r="G11" i="259"/>
  <c r="H11" i="259" s="1"/>
  <c r="H10" i="259"/>
  <c r="F29" i="259" s="1"/>
  <c r="G10" i="259"/>
  <c r="G8" i="259"/>
  <c r="H8" i="259" s="1"/>
  <c r="A8" i="259"/>
  <c r="A9" i="259" s="1"/>
  <c r="A10" i="259" s="1"/>
  <c r="G7" i="259"/>
  <c r="H7" i="259" s="1"/>
  <c r="A7" i="259"/>
  <c r="E6" i="257"/>
  <c r="E8" i="257" s="1"/>
  <c r="H24" i="86" s="1"/>
  <c r="H25" i="86" s="1"/>
  <c r="H26" i="86" s="1"/>
  <c r="H27" i="86" s="1"/>
  <c r="H28" i="86" s="1"/>
  <c r="H29" i="86" s="1"/>
  <c r="H30" i="86" s="1"/>
  <c r="H31" i="86" s="1"/>
  <c r="H32" i="86" s="1"/>
  <c r="H33" i="86" s="1"/>
  <c r="H34" i="86" s="1"/>
  <c r="H35" i="86" s="1"/>
  <c r="E7" i="257"/>
  <c r="F103" i="258"/>
  <c r="F98" i="258"/>
  <c r="E87" i="258"/>
  <c r="J86" i="258"/>
  <c r="J62" i="258"/>
  <c r="H42" i="258"/>
  <c r="H33" i="258"/>
  <c r="J21" i="258"/>
  <c r="J15" i="258"/>
  <c r="A8" i="258"/>
  <c r="A9" i="258" s="1"/>
  <c r="A12" i="258" s="1"/>
  <c r="A7" i="258"/>
  <c r="G24" i="259" l="1"/>
  <c r="A11" i="259"/>
  <c r="A12" i="259" s="1"/>
  <c r="A13" i="259" s="1"/>
  <c r="A14" i="259" s="1"/>
  <c r="A15" i="259" s="1"/>
  <c r="A16" i="259" s="1"/>
  <c r="A17" i="259" s="1"/>
  <c r="A18" i="259" s="1"/>
  <c r="A19" i="259" s="1"/>
  <c r="E103" i="258"/>
  <c r="J42" i="258" s="1"/>
  <c r="A13" i="258"/>
  <c r="A14" i="258" s="1"/>
  <c r="A15" i="258" s="1"/>
  <c r="A18" i="258" s="1"/>
  <c r="J29" i="258"/>
  <c r="E98" i="258"/>
  <c r="J33" i="258" s="1"/>
  <c r="C77" i="259" l="1"/>
  <c r="A20" i="259"/>
  <c r="J38" i="258"/>
  <c r="J56" i="258" s="1"/>
  <c r="J34" i="258"/>
  <c r="J55" i="258" s="1"/>
  <c r="J59" i="258" s="1"/>
  <c r="J64" i="258" s="1"/>
  <c r="E68" i="258" s="1"/>
  <c r="J41" i="258"/>
  <c r="A19" i="258"/>
  <c r="A20" i="258" s="1"/>
  <c r="A21" i="258" s="1"/>
  <c r="A23" i="258" s="1"/>
  <c r="H15" i="258"/>
  <c r="A23" i="259" l="1"/>
  <c r="G23" i="259"/>
  <c r="A24" i="258"/>
  <c r="A25" i="258" s="1"/>
  <c r="A26" i="258" s="1"/>
  <c r="A27" i="258" s="1"/>
  <c r="A29" i="258" s="1"/>
  <c r="H21" i="258"/>
  <c r="E73" i="258"/>
  <c r="J70" i="258" s="1"/>
  <c r="J72" i="258" s="1"/>
  <c r="H29" i="258"/>
  <c r="A24" i="259" l="1"/>
  <c r="A25" i="259" s="1"/>
  <c r="H30" i="258"/>
  <c r="A33" i="258"/>
  <c r="A34" i="258" s="1"/>
  <c r="H34" i="258"/>
  <c r="H41" i="258"/>
  <c r="A26" i="259" l="1"/>
  <c r="A27" i="259" s="1"/>
  <c r="G25" i="259"/>
  <c r="A38" i="258"/>
  <c r="H55" i="258"/>
  <c r="A28" i="259" l="1"/>
  <c r="G27" i="259"/>
  <c r="H56" i="258"/>
  <c r="A41" i="258"/>
  <c r="A42" i="258" s="1"/>
  <c r="A43" i="258" s="1"/>
  <c r="A44" i="258" s="1"/>
  <c r="A45" i="258" s="1"/>
  <c r="A48" i="258" s="1"/>
  <c r="A29" i="259" l="1"/>
  <c r="G29" i="259"/>
  <c r="A49" i="258"/>
  <c r="A50" i="258" s="1"/>
  <c r="A51" i="258" s="1"/>
  <c r="A52" i="258" s="1"/>
  <c r="A53" i="258" s="1"/>
  <c r="A54" i="258" s="1"/>
  <c r="A55" i="258" s="1"/>
  <c r="A56" i="258" s="1"/>
  <c r="A57" i="258" s="1"/>
  <c r="A58" i="258" s="1"/>
  <c r="A59" i="258" s="1"/>
  <c r="A61" i="258" s="1"/>
  <c r="A64" i="258" s="1"/>
  <c r="A30" i="259" l="1"/>
  <c r="A37" i="259" s="1"/>
  <c r="G30" i="259"/>
  <c r="H59" i="258"/>
  <c r="G68" i="258"/>
  <c r="A68" i="258"/>
  <c r="G78" i="259" l="1"/>
  <c r="A38" i="259"/>
  <c r="A39" i="259" s="1"/>
  <c r="A40" i="259" s="1"/>
  <c r="A41" i="259" s="1"/>
  <c r="A42" i="259" s="1"/>
  <c r="A43" i="259" s="1"/>
  <c r="A69" i="258"/>
  <c r="A70" i="258" s="1"/>
  <c r="G70" i="258"/>
  <c r="C79" i="259" l="1"/>
  <c r="A44" i="259"/>
  <c r="A71" i="258"/>
  <c r="A72" i="258" s="1"/>
  <c r="A73" i="258" s="1"/>
  <c r="G73" i="258"/>
  <c r="C73" i="259" l="1"/>
  <c r="A45" i="259"/>
  <c r="A46" i="259" s="1"/>
  <c r="A47" i="259" s="1"/>
  <c r="A48" i="259" s="1"/>
  <c r="A49" i="259" s="1"/>
  <c r="A50" i="259" s="1"/>
  <c r="G72" i="258"/>
  <c r="D36" i="86" l="1"/>
  <c r="D35" i="86"/>
  <c r="E7" i="254"/>
  <c r="C109" i="256"/>
  <c r="F71" i="256"/>
  <c r="E71" i="256"/>
  <c r="H43" i="256" s="1"/>
  <c r="D43" i="256" s="1"/>
  <c r="G12" i="256" s="1"/>
  <c r="H12" i="256" s="1"/>
  <c r="F65" i="256"/>
  <c r="E65" i="256"/>
  <c r="H58" i="256"/>
  <c r="G58" i="256"/>
  <c r="G59" i="256" s="1"/>
  <c r="G37" i="256" s="1"/>
  <c r="D37" i="256" s="1"/>
  <c r="G6" i="256" s="1"/>
  <c r="H6" i="256" s="1"/>
  <c r="H20" i="256" s="1"/>
  <c r="F23" i="256" s="1"/>
  <c r="F25" i="256" s="1"/>
  <c r="D50" i="256"/>
  <c r="D49" i="256"/>
  <c r="G18" i="256" s="1"/>
  <c r="H18" i="256" s="1"/>
  <c r="D48" i="256"/>
  <c r="D47" i="256"/>
  <c r="D46" i="256"/>
  <c r="G15" i="256" s="1"/>
  <c r="H15" i="256" s="1"/>
  <c r="D45" i="256"/>
  <c r="F44" i="256"/>
  <c r="D44" i="256" s="1"/>
  <c r="G13" i="256" s="1"/>
  <c r="H13" i="256" s="1"/>
  <c r="D42" i="256"/>
  <c r="D41" i="256"/>
  <c r="D40" i="256"/>
  <c r="D39" i="256"/>
  <c r="D38" i="256"/>
  <c r="G7" i="256" s="1"/>
  <c r="H7" i="256" s="1"/>
  <c r="F29" i="256"/>
  <c r="F24" i="256"/>
  <c r="E20" i="256"/>
  <c r="G19" i="256"/>
  <c r="H19" i="256" s="1"/>
  <c r="G17" i="256"/>
  <c r="H17" i="256" s="1"/>
  <c r="H16" i="256"/>
  <c r="G16" i="256"/>
  <c r="G14" i="256"/>
  <c r="H14" i="256" s="1"/>
  <c r="G11" i="256"/>
  <c r="H11" i="256" s="1"/>
  <c r="H10" i="256"/>
  <c r="G10" i="256"/>
  <c r="G9" i="256"/>
  <c r="H9" i="256" s="1"/>
  <c r="A9" i="256"/>
  <c r="A10" i="256" s="1"/>
  <c r="H8" i="256"/>
  <c r="G8" i="256"/>
  <c r="A8" i="256"/>
  <c r="A7" i="256"/>
  <c r="F103" i="255"/>
  <c r="F98" i="255"/>
  <c r="E87" i="255"/>
  <c r="E103" i="255" s="1"/>
  <c r="J42" i="255" s="1"/>
  <c r="J86" i="255"/>
  <c r="H42" i="255"/>
  <c r="H41" i="255"/>
  <c r="H33" i="255"/>
  <c r="A33" i="255"/>
  <c r="H34" i="255" s="1"/>
  <c r="J15" i="255"/>
  <c r="A7" i="255"/>
  <c r="F27" i="256" l="1"/>
  <c r="F30" i="256" s="1"/>
  <c r="J21" i="255"/>
  <c r="J29" i="255" s="1"/>
  <c r="A11" i="256"/>
  <c r="A12" i="256" s="1"/>
  <c r="A13" i="256" s="1"/>
  <c r="A14" i="256" s="1"/>
  <c r="A15" i="256" s="1"/>
  <c r="A16" i="256" s="1"/>
  <c r="A17" i="256" s="1"/>
  <c r="A18" i="256" s="1"/>
  <c r="A19" i="256" s="1"/>
  <c r="G24" i="256"/>
  <c r="E98" i="255"/>
  <c r="J33" i="255" s="1"/>
  <c r="A8" i="255"/>
  <c r="A9" i="255" s="1"/>
  <c r="A12" i="255" s="1"/>
  <c r="A34" i="255"/>
  <c r="A20" i="256" l="1"/>
  <c r="C77" i="256"/>
  <c r="J34" i="255"/>
  <c r="J56" i="255" s="1"/>
  <c r="J41" i="255"/>
  <c r="J38" i="255"/>
  <c r="J57" i="255" s="1"/>
  <c r="H56" i="255"/>
  <c r="A38" i="255"/>
  <c r="A13" i="255"/>
  <c r="A14" i="255" s="1"/>
  <c r="A15" i="255" s="1"/>
  <c r="A18" i="255" s="1"/>
  <c r="J60" i="255" l="1"/>
  <c r="J64" i="255" s="1"/>
  <c r="E68" i="255" s="1"/>
  <c r="E73" i="255" s="1"/>
  <c r="G23" i="256"/>
  <c r="A23" i="256"/>
  <c r="H57" i="255"/>
  <c r="A41" i="255"/>
  <c r="A42" i="255" s="1"/>
  <c r="A43" i="255" s="1"/>
  <c r="A44" i="255" s="1"/>
  <c r="A45" i="255" s="1"/>
  <c r="A48" i="255" s="1"/>
  <c r="H15" i="255"/>
  <c r="A19" i="255"/>
  <c r="A20" i="255" s="1"/>
  <c r="A21" i="255" s="1"/>
  <c r="H21" i="255"/>
  <c r="J70" i="255" l="1"/>
  <c r="J72" i="255" s="1"/>
  <c r="K73" i="255" s="1"/>
  <c r="E6" i="254"/>
  <c r="A24" i="256"/>
  <c r="A25" i="256" s="1"/>
  <c r="G25" i="256"/>
  <c r="A23" i="255"/>
  <c r="H29" i="255"/>
  <c r="A49" i="255"/>
  <c r="A51" i="255" s="1"/>
  <c r="A52" i="255" s="1"/>
  <c r="A53" i="255" s="1"/>
  <c r="A54" i="255" s="1"/>
  <c r="A55" i="255" s="1"/>
  <c r="A56" i="255" s="1"/>
  <c r="A57" i="255" s="1"/>
  <c r="A58" i="255" s="1"/>
  <c r="A59" i="255" s="1"/>
  <c r="A60" i="255" s="1"/>
  <c r="A26" i="256" l="1"/>
  <c r="A27" i="256" s="1"/>
  <c r="A24" i="255"/>
  <c r="A25" i="255" s="1"/>
  <c r="H30" i="255"/>
  <c r="A62" i="255"/>
  <c r="A64" i="255" s="1"/>
  <c r="H64" i="255"/>
  <c r="H60" i="255"/>
  <c r="G27" i="256" l="1"/>
  <c r="A28" i="256"/>
  <c r="G68" i="255"/>
  <c r="A68" i="255"/>
  <c r="A29" i="256" l="1"/>
  <c r="G29" i="256"/>
  <c r="A69" i="255"/>
  <c r="A70" i="255" s="1"/>
  <c r="A30" i="256" l="1"/>
  <c r="A37" i="256" s="1"/>
  <c r="G30" i="256"/>
  <c r="A71" i="255"/>
  <c r="A72" i="255" s="1"/>
  <c r="G72" i="255"/>
  <c r="G70" i="255"/>
  <c r="G78" i="256" l="1"/>
  <c r="A38" i="256"/>
  <c r="A39" i="256" s="1"/>
  <c r="A40" i="256" s="1"/>
  <c r="A41" i="256" s="1"/>
  <c r="A42" i="256" s="1"/>
  <c r="A43" i="256" s="1"/>
  <c r="A73" i="255"/>
  <c r="G73" i="255"/>
  <c r="C79" i="256" l="1"/>
  <c r="A44" i="256"/>
  <c r="A45" i="256" l="1"/>
  <c r="A46" i="256" s="1"/>
  <c r="A47" i="256" s="1"/>
  <c r="A48" i="256" s="1"/>
  <c r="A49" i="256" s="1"/>
  <c r="A50" i="256" s="1"/>
  <c r="C73" i="256"/>
  <c r="E8" i="254" l="1"/>
  <c r="H72" i="86"/>
  <c r="E11" i="100" s="1"/>
  <c r="E13" i="100" s="1"/>
  <c r="U15" i="86"/>
  <c r="V15" i="86" s="1"/>
  <c r="W14" i="86"/>
  <c r="V14" i="86"/>
  <c r="U14" i="86"/>
  <c r="W13" i="86"/>
  <c r="V13" i="86"/>
  <c r="U13" i="86"/>
  <c r="W12" i="86"/>
  <c r="V12" i="86"/>
  <c r="N12" i="86"/>
  <c r="U12" i="86"/>
  <c r="Q12" i="86"/>
  <c r="M12" i="86"/>
  <c r="O12" i="86" s="1"/>
  <c r="M13" i="86" s="1"/>
  <c r="R12" i="86" l="1"/>
  <c r="S12" i="86" s="1"/>
  <c r="Q13" i="86" s="1"/>
  <c r="N13" i="86"/>
  <c r="O13" i="86" s="1"/>
  <c r="M14" i="86" s="1"/>
  <c r="W15" i="86"/>
  <c r="U16" i="86" s="1"/>
  <c r="R13" i="86" l="1"/>
  <c r="S13" i="86" s="1"/>
  <c r="Q14" i="86" s="1"/>
  <c r="N14" i="86"/>
  <c r="O14" i="86" s="1"/>
  <c r="M15" i="86" s="1"/>
  <c r="V16" i="86"/>
  <c r="W16" i="86" s="1"/>
  <c r="U17" i="86" s="1"/>
  <c r="R14" i="86" l="1"/>
  <c r="S14" i="86" s="1"/>
  <c r="Q15" i="86" s="1"/>
  <c r="R15" i="86" s="1"/>
  <c r="S15" i="86" s="1"/>
  <c r="Q16" i="86" s="1"/>
  <c r="N15" i="86"/>
  <c r="O15" i="86"/>
  <c r="M16" i="86" s="1"/>
  <c r="W17" i="86"/>
  <c r="U18" i="86" s="1"/>
  <c r="V17" i="86"/>
  <c r="R16" i="86" l="1"/>
  <c r="S16" i="86"/>
  <c r="Q17" i="86" s="1"/>
  <c r="R17" i="86" s="1"/>
  <c r="S17" i="86" s="1"/>
  <c r="Q18" i="86" s="1"/>
  <c r="R18" i="86" s="1"/>
  <c r="S18" i="86" s="1"/>
  <c r="Q19" i="86" s="1"/>
  <c r="R19" i="86" s="1"/>
  <c r="S19" i="86" s="1"/>
  <c r="Q20" i="86" s="1"/>
  <c r="N16" i="86"/>
  <c r="O16" i="86" s="1"/>
  <c r="M17" i="86" s="1"/>
  <c r="N17" i="86" s="1"/>
  <c r="O17" i="86" s="1"/>
  <c r="M18" i="86" s="1"/>
  <c r="V18" i="86"/>
  <c r="W18" i="86" s="1"/>
  <c r="U19" i="86" s="1"/>
  <c r="N18" i="86" l="1"/>
  <c r="O18" i="86"/>
  <c r="M19" i="86" s="1"/>
  <c r="V19" i="86"/>
  <c r="W19" i="86" s="1"/>
  <c r="U20" i="86" s="1"/>
  <c r="R20" i="86"/>
  <c r="S20" i="86" s="1"/>
  <c r="Q21" i="86" s="1"/>
  <c r="N19" i="86"/>
  <c r="O19" i="86" s="1"/>
  <c r="M20" i="86" s="1"/>
  <c r="V20" i="86" l="1"/>
  <c r="W20" i="86"/>
  <c r="U21" i="86" s="1"/>
  <c r="R21" i="86"/>
  <c r="S21" i="86" s="1"/>
  <c r="Q22" i="86" s="1"/>
  <c r="N20" i="86"/>
  <c r="O20" i="86"/>
  <c r="M21" i="86" s="1"/>
  <c r="V21" i="86" l="1"/>
  <c r="W21" i="86" s="1"/>
  <c r="U22" i="86" s="1"/>
  <c r="R22" i="86"/>
  <c r="S22" i="86" s="1"/>
  <c r="Q23" i="86" s="1"/>
  <c r="N21" i="86"/>
  <c r="O21" i="86"/>
  <c r="M22" i="86" s="1"/>
  <c r="W22" i="86" l="1"/>
  <c r="U23" i="86" s="1"/>
  <c r="V22" i="86"/>
  <c r="R23" i="86"/>
  <c r="S23" i="86"/>
  <c r="Q24" i="86" s="1"/>
  <c r="N22" i="86"/>
  <c r="O22" i="86" s="1"/>
  <c r="M23" i="86" s="1"/>
  <c r="V23" i="86" l="1"/>
  <c r="W23" i="86" s="1"/>
  <c r="U24" i="86" s="1"/>
  <c r="R24" i="86"/>
  <c r="S24" i="86"/>
  <c r="Q25" i="86" s="1"/>
  <c r="N23" i="86"/>
  <c r="O23" i="86" s="1"/>
  <c r="M24" i="86" s="1"/>
  <c r="V24" i="86" l="1"/>
  <c r="W24" i="86"/>
  <c r="U25" i="86" s="1"/>
  <c r="R25" i="86"/>
  <c r="S25" i="86" s="1"/>
  <c r="Q26" i="86" s="1"/>
  <c r="N24" i="86"/>
  <c r="O24" i="86" s="1"/>
  <c r="M25" i="86" s="1"/>
  <c r="V25" i="86" l="1"/>
  <c r="W25" i="86" s="1"/>
  <c r="U26" i="86" s="1"/>
  <c r="R26" i="86"/>
  <c r="S26" i="86" s="1"/>
  <c r="Q27" i="86" s="1"/>
  <c r="N25" i="86"/>
  <c r="O25" i="86" s="1"/>
  <c r="M26" i="86" s="1"/>
  <c r="V26" i="86" l="1"/>
  <c r="W26" i="86" s="1"/>
  <c r="U27" i="86" s="1"/>
  <c r="R27" i="86"/>
  <c r="S27" i="86"/>
  <c r="Q28" i="86" s="1"/>
  <c r="N26" i="86"/>
  <c r="O26" i="86" s="1"/>
  <c r="M27" i="86" s="1"/>
  <c r="V27" i="86" l="1"/>
  <c r="W27" i="86" s="1"/>
  <c r="U28" i="86" s="1"/>
  <c r="R28" i="86"/>
  <c r="S28" i="86"/>
  <c r="Q29" i="86" s="1"/>
  <c r="N27" i="86"/>
  <c r="O27" i="86"/>
  <c r="M28" i="86" s="1"/>
  <c r="V28" i="86" l="1"/>
  <c r="W28" i="86"/>
  <c r="U29" i="86" s="1"/>
  <c r="R29" i="86"/>
  <c r="S29" i="86"/>
  <c r="Q30" i="86" s="1"/>
  <c r="N28" i="86"/>
  <c r="O28" i="86" s="1"/>
  <c r="M29" i="86" s="1"/>
  <c r="V29" i="86" l="1"/>
  <c r="W29" i="86" s="1"/>
  <c r="U30" i="86" s="1"/>
  <c r="R30" i="86"/>
  <c r="S30" i="86" s="1"/>
  <c r="Q31" i="86" s="1"/>
  <c r="N29" i="86"/>
  <c r="O29" i="86" s="1"/>
  <c r="M30" i="86" s="1"/>
  <c r="V30" i="86" l="1"/>
  <c r="W30" i="86" s="1"/>
  <c r="U31" i="86" s="1"/>
  <c r="R31" i="86"/>
  <c r="S31" i="86"/>
  <c r="Q32" i="86" s="1"/>
  <c r="N30" i="86"/>
  <c r="O30" i="86"/>
  <c r="M31" i="86" s="1"/>
  <c r="V31" i="86" l="1"/>
  <c r="W31" i="86" s="1"/>
  <c r="U32" i="86" s="1"/>
  <c r="R32" i="86"/>
  <c r="S32" i="86" s="1"/>
  <c r="Q33" i="86" s="1"/>
  <c r="N31" i="86"/>
  <c r="O31" i="86"/>
  <c r="M32" i="86" s="1"/>
  <c r="V32" i="86" l="1"/>
  <c r="W32" i="86"/>
  <c r="U33" i="86" s="1"/>
  <c r="R33" i="86"/>
  <c r="S33" i="86" s="1"/>
  <c r="Q34" i="86" s="1"/>
  <c r="N32" i="86"/>
  <c r="O32" i="86"/>
  <c r="M33" i="86" s="1"/>
  <c r="V33" i="86" l="1"/>
  <c r="W33" i="86" s="1"/>
  <c r="U34" i="86" s="1"/>
  <c r="R34" i="86"/>
  <c r="S34" i="86" s="1"/>
  <c r="Q35" i="86" s="1"/>
  <c r="N33" i="86"/>
  <c r="O33" i="86" s="1"/>
  <c r="M34" i="86" s="1"/>
  <c r="V34" i="86" l="1"/>
  <c r="W34" i="86" s="1"/>
  <c r="U35" i="86" s="1"/>
  <c r="R35" i="86"/>
  <c r="S35" i="86" s="1"/>
  <c r="Q36" i="86" s="1"/>
  <c r="N34" i="86"/>
  <c r="O34" i="86"/>
  <c r="M35" i="86" s="1"/>
  <c r="V35" i="86" l="1"/>
  <c r="W35" i="86"/>
  <c r="U36" i="86" s="1"/>
  <c r="R36" i="86"/>
  <c r="S36" i="86"/>
  <c r="Q37" i="86" s="1"/>
  <c r="N35" i="86"/>
  <c r="O35" i="86" s="1"/>
  <c r="V36" i="86" l="1"/>
  <c r="W36" i="86" s="1"/>
  <c r="U37" i="86" s="1"/>
  <c r="R37" i="86"/>
  <c r="S37" i="86" s="1"/>
  <c r="Q38" i="86" s="1"/>
  <c r="V37" i="86" l="1"/>
  <c r="W37" i="86" s="1"/>
  <c r="U38" i="86" s="1"/>
  <c r="R38" i="86"/>
  <c r="S38" i="86" s="1"/>
  <c r="Q39" i="86" s="1"/>
  <c r="V38" i="86" l="1"/>
  <c r="W38" i="86" s="1"/>
  <c r="U39" i="86" s="1"/>
  <c r="R39" i="86"/>
  <c r="S39" i="86" s="1"/>
  <c r="Q40" i="86" s="1"/>
  <c r="V39" i="86" l="1"/>
  <c r="W39" i="86"/>
  <c r="U40" i="86" s="1"/>
  <c r="R40" i="86"/>
  <c r="S40" i="86"/>
  <c r="Q41" i="86" s="1"/>
  <c r="V40" i="86" l="1"/>
  <c r="W40" i="86" s="1"/>
  <c r="U41" i="86" s="1"/>
  <c r="R41" i="86"/>
  <c r="S41" i="86" s="1"/>
  <c r="Q42" i="86" s="1"/>
  <c r="W41" i="86" l="1"/>
  <c r="U42" i="86" s="1"/>
  <c r="V41" i="86"/>
  <c r="R42" i="86"/>
  <c r="S42" i="86" s="1"/>
  <c r="Q43" i="86" s="1"/>
  <c r="V42" i="86" l="1"/>
  <c r="W42" i="86" s="1"/>
  <c r="U43" i="86" s="1"/>
  <c r="R43" i="86"/>
  <c r="S43" i="86" s="1"/>
  <c r="Q44" i="86" s="1"/>
  <c r="V43" i="86" l="1"/>
  <c r="W43" i="86" s="1"/>
  <c r="U44" i="86" s="1"/>
  <c r="R44" i="86"/>
  <c r="S44" i="86"/>
  <c r="Q45" i="86" s="1"/>
  <c r="V44" i="86" l="1"/>
  <c r="W44" i="86" s="1"/>
  <c r="U45" i="86" s="1"/>
  <c r="R45" i="86"/>
  <c r="S45" i="86" s="1"/>
  <c r="Q46" i="86" s="1"/>
  <c r="V45" i="86" l="1"/>
  <c r="W45" i="86" s="1"/>
  <c r="U46" i="86" s="1"/>
  <c r="R46" i="86"/>
  <c r="S46" i="86"/>
  <c r="Q47" i="86" s="1"/>
  <c r="W46" i="86" l="1"/>
  <c r="U47" i="86" s="1"/>
  <c r="V46" i="86"/>
  <c r="R47" i="86"/>
  <c r="S47" i="86"/>
  <c r="V47" i="86" l="1"/>
  <c r="W47" i="86" s="1"/>
  <c r="T48" i="86" l="1"/>
  <c r="I12" i="86"/>
  <c r="D61" i="86"/>
  <c r="D62" i="86" s="1"/>
  <c r="D63" i="86" s="1"/>
  <c r="D64" i="86" s="1"/>
  <c r="D65" i="86" s="1"/>
  <c r="D66" i="86" s="1"/>
  <c r="D67" i="86" s="1"/>
  <c r="D68" i="86" s="1"/>
  <c r="D69" i="86" s="1"/>
  <c r="D70" i="86" s="1"/>
  <c r="D71" i="86" s="1"/>
  <c r="D26" i="86"/>
  <c r="D25" i="86"/>
  <c r="U48" i="86" l="1"/>
  <c r="Q48" i="86"/>
  <c r="J12" i="86"/>
  <c r="K12" i="86" s="1"/>
  <c r="I13" i="86" s="1"/>
  <c r="T49" i="86"/>
  <c r="P49" i="86"/>
  <c r="D27" i="86"/>
  <c r="V48" i="86" l="1"/>
  <c r="W48" i="86" s="1"/>
  <c r="U49" i="86" s="1"/>
  <c r="R48" i="86"/>
  <c r="S48" i="86" s="1"/>
  <c r="Q49" i="86" s="1"/>
  <c r="R49" i="86" s="1"/>
  <c r="S49" i="86" s="1"/>
  <c r="J13" i="86"/>
  <c r="K13" i="86" s="1"/>
  <c r="I14" i="86" s="1"/>
  <c r="T50" i="86"/>
  <c r="P50" i="86"/>
  <c r="D28" i="86"/>
  <c r="Q50" i="86" l="1"/>
  <c r="R50" i="86" s="1"/>
  <c r="S50" i="86" s="1"/>
  <c r="V49" i="86"/>
  <c r="W49" i="86" s="1"/>
  <c r="U50" i="86" s="1"/>
  <c r="J14" i="86"/>
  <c r="K14" i="86"/>
  <c r="I15" i="86" s="1"/>
  <c r="T51" i="86"/>
  <c r="P51" i="86"/>
  <c r="Q51" i="86" s="1"/>
  <c r="D29" i="86"/>
  <c r="R51" i="86" l="1"/>
  <c r="S51" i="86" s="1"/>
  <c r="V50" i="86"/>
  <c r="W50" i="86"/>
  <c r="U51" i="86" s="1"/>
  <c r="J15" i="86"/>
  <c r="K15" i="86"/>
  <c r="I16" i="86" s="1"/>
  <c r="J16" i="86" s="1"/>
  <c r="K16" i="86" s="1"/>
  <c r="I17" i="86" s="1"/>
  <c r="J17" i="86" s="1"/>
  <c r="K17" i="86" s="1"/>
  <c r="I18" i="86" s="1"/>
  <c r="T52" i="86"/>
  <c r="P52" i="86"/>
  <c r="D30" i="86"/>
  <c r="V51" i="86" l="1"/>
  <c r="W51" i="86" s="1"/>
  <c r="U52" i="86" s="1"/>
  <c r="V52" i="86" s="1"/>
  <c r="W52" i="86" s="1"/>
  <c r="Q52" i="86"/>
  <c r="J18" i="86"/>
  <c r="K18" i="86"/>
  <c r="I19" i="86" s="1"/>
  <c r="J19" i="86" s="1"/>
  <c r="K19" i="86" s="1"/>
  <c r="I20" i="86" s="1"/>
  <c r="J20" i="86" s="1"/>
  <c r="K20" i="86" s="1"/>
  <c r="I21" i="86" s="1"/>
  <c r="J21" i="86" s="1"/>
  <c r="K21" i="86" s="1"/>
  <c r="I22" i="86" s="1"/>
  <c r="T53" i="86"/>
  <c r="P53" i="86"/>
  <c r="D31" i="86"/>
  <c r="U53" i="86" l="1"/>
  <c r="V53" i="86"/>
  <c r="W53" i="86"/>
  <c r="R52" i="86"/>
  <c r="S52" i="86" s="1"/>
  <c r="Q53" i="86" s="1"/>
  <c r="R53" i="86" s="1"/>
  <c r="S53" i="86" s="1"/>
  <c r="J22" i="86"/>
  <c r="K22" i="86"/>
  <c r="I23" i="86" s="1"/>
  <c r="T54" i="86"/>
  <c r="P54" i="86"/>
  <c r="D32" i="86"/>
  <c r="Q54" i="86" l="1"/>
  <c r="U54" i="86"/>
  <c r="V54" i="86" s="1"/>
  <c r="W54" i="86" s="1"/>
  <c r="J23" i="86"/>
  <c r="K23" i="86"/>
  <c r="I24" i="86" s="1"/>
  <c r="T55" i="86"/>
  <c r="P55" i="86"/>
  <c r="D33" i="86"/>
  <c r="U55" i="86" l="1"/>
  <c r="R54" i="86"/>
  <c r="S54" i="86" s="1"/>
  <c r="Q55" i="86" s="1"/>
  <c r="R55" i="86" s="1"/>
  <c r="S55" i="86" s="1"/>
  <c r="J24" i="86"/>
  <c r="K24" i="86" s="1"/>
  <c r="I25" i="86" s="1"/>
  <c r="J25" i="86" s="1"/>
  <c r="K25" i="86" s="1"/>
  <c r="I26" i="86" s="1"/>
  <c r="T56" i="86"/>
  <c r="P56" i="86"/>
  <c r="D34" i="86"/>
  <c r="Q56" i="86" l="1"/>
  <c r="V55" i="86"/>
  <c r="W55" i="86"/>
  <c r="U56" i="86" s="1"/>
  <c r="J26" i="86"/>
  <c r="K26" i="86" s="1"/>
  <c r="I27" i="86" s="1"/>
  <c r="J27" i="86" s="1"/>
  <c r="K27" i="86" s="1"/>
  <c r="I28" i="86" s="1"/>
  <c r="T57" i="86"/>
  <c r="P57" i="86"/>
  <c r="V56" i="86" l="1"/>
  <c r="W56" i="86"/>
  <c r="U57" i="86" s="1"/>
  <c r="V57" i="86" s="1"/>
  <c r="W57" i="86" s="1"/>
  <c r="R56" i="86"/>
  <c r="S56" i="86" s="1"/>
  <c r="Q57" i="86" s="1"/>
  <c r="R57" i="86" s="1"/>
  <c r="S57" i="86" s="1"/>
  <c r="J28" i="86"/>
  <c r="K28" i="86" s="1"/>
  <c r="I29" i="86" s="1"/>
  <c r="T58" i="86"/>
  <c r="P58" i="86"/>
  <c r="Q58" i="86" l="1"/>
  <c r="R58" i="86" s="1"/>
  <c r="S58" i="86" s="1"/>
  <c r="U58" i="86"/>
  <c r="J29" i="86"/>
  <c r="K29" i="86" s="1"/>
  <c r="I30" i="86" s="1"/>
  <c r="T59" i="86"/>
  <c r="T72" i="86" s="1"/>
  <c r="P59" i="86"/>
  <c r="V58" i="86" l="1"/>
  <c r="W58" i="86"/>
  <c r="U59" i="86" s="1"/>
  <c r="V59" i="86" s="1"/>
  <c r="W59" i="86" s="1"/>
  <c r="U60" i="86" s="1"/>
  <c r="Q59" i="86"/>
  <c r="J30" i="86"/>
  <c r="K30" i="86" s="1"/>
  <c r="I31" i="86" s="1"/>
  <c r="R59" i="86" l="1"/>
  <c r="S59" i="86"/>
  <c r="Q60" i="86" s="1"/>
  <c r="R60" i="86" s="1"/>
  <c r="S60" i="86" s="1"/>
  <c r="Q61" i="86" s="1"/>
  <c r="R61" i="86" s="1"/>
  <c r="S61" i="86" s="1"/>
  <c r="Q62" i="86" s="1"/>
  <c r="V60" i="86"/>
  <c r="W60" i="86" s="1"/>
  <c r="U61" i="86" s="1"/>
  <c r="J31" i="86"/>
  <c r="K31" i="86" s="1"/>
  <c r="I32" i="86" s="1"/>
  <c r="J32" i="86" s="1"/>
  <c r="K32" i="86" s="1"/>
  <c r="I33" i="86" s="1"/>
  <c r="J33" i="86" s="1"/>
  <c r="K33" i="86" s="1"/>
  <c r="I34" i="86" s="1"/>
  <c r="V61" i="86" l="1"/>
  <c r="W61" i="86" s="1"/>
  <c r="U62" i="86" s="1"/>
  <c r="V62" i="86" s="1"/>
  <c r="W62" i="86" s="1"/>
  <c r="U63" i="86" s="1"/>
  <c r="R62" i="86"/>
  <c r="S62" i="86" s="1"/>
  <c r="Q63" i="86" s="1"/>
  <c r="J34" i="86"/>
  <c r="K34" i="86" s="1"/>
  <c r="I35" i="86" s="1"/>
  <c r="J35" i="86" s="1"/>
  <c r="K35" i="86" s="1"/>
  <c r="I36" i="86" s="1"/>
  <c r="R63" i="86" l="1"/>
  <c r="S63" i="86"/>
  <c r="Q64" i="86" s="1"/>
  <c r="R64" i="86" s="1"/>
  <c r="S64" i="86" s="1"/>
  <c r="Q65" i="86" s="1"/>
  <c r="R65" i="86" s="1"/>
  <c r="S65" i="86" s="1"/>
  <c r="Q66" i="86" s="1"/>
  <c r="R66" i="86" s="1"/>
  <c r="S66" i="86" s="1"/>
  <c r="Q67" i="86" s="1"/>
  <c r="R67" i="86" s="1"/>
  <c r="S67" i="86" s="1"/>
  <c r="Q68" i="86" s="1"/>
  <c r="R68" i="86" s="1"/>
  <c r="S68" i="86" s="1"/>
  <c r="Q69" i="86" s="1"/>
  <c r="V63" i="86"/>
  <c r="W63" i="86" s="1"/>
  <c r="U64" i="86" s="1"/>
  <c r="J36" i="86"/>
  <c r="K36" i="86" s="1"/>
  <c r="I37" i="86" s="1"/>
  <c r="V64" i="86" l="1"/>
  <c r="W64" i="86" s="1"/>
  <c r="U65" i="86" s="1"/>
  <c r="V65" i="86" s="1"/>
  <c r="W65" i="86" s="1"/>
  <c r="U66" i="86" s="1"/>
  <c r="R69" i="86"/>
  <c r="S69" i="86" s="1"/>
  <c r="Q70" i="86" s="1"/>
  <c r="R70" i="86" s="1"/>
  <c r="S70" i="86" s="1"/>
  <c r="Q71" i="86" s="1"/>
  <c r="J37" i="86"/>
  <c r="K37" i="86" s="1"/>
  <c r="I38" i="86" s="1"/>
  <c r="R71" i="86" l="1"/>
  <c r="S71" i="86" s="1"/>
  <c r="S72" i="86" s="1"/>
  <c r="V66" i="86"/>
  <c r="W66" i="86" s="1"/>
  <c r="U67" i="86" s="1"/>
  <c r="J38" i="86"/>
  <c r="K38" i="86" s="1"/>
  <c r="I39" i="86" s="1"/>
  <c r="V67" i="86" l="1"/>
  <c r="W67" i="86" s="1"/>
  <c r="U68" i="86" s="1"/>
  <c r="J39" i="86"/>
  <c r="K39" i="86"/>
  <c r="I40" i="86" s="1"/>
  <c r="J40" i="86" s="1"/>
  <c r="K40" i="86" s="1"/>
  <c r="I41" i="86" s="1"/>
  <c r="J41" i="86" s="1"/>
  <c r="K41" i="86" s="1"/>
  <c r="I42" i="86" s="1"/>
  <c r="V68" i="86" l="1"/>
  <c r="W68" i="86" s="1"/>
  <c r="U69" i="86" s="1"/>
  <c r="J42" i="86"/>
  <c r="K42" i="86" s="1"/>
  <c r="I43" i="86" s="1"/>
  <c r="J43" i="86" s="1"/>
  <c r="K43" i="86" s="1"/>
  <c r="I44" i="86" s="1"/>
  <c r="V69" i="86" l="1"/>
  <c r="W69" i="86" s="1"/>
  <c r="U70" i="86" s="1"/>
  <c r="J44" i="86"/>
  <c r="K44" i="86" s="1"/>
  <c r="I45" i="86" s="1"/>
  <c r="V70" i="86" l="1"/>
  <c r="W70" i="86" s="1"/>
  <c r="U71" i="86" s="1"/>
  <c r="J45" i="86"/>
  <c r="K45" i="86" s="1"/>
  <c r="I46" i="86" s="1"/>
  <c r="V71" i="86" l="1"/>
  <c r="W71" i="86"/>
  <c r="W72" i="86" s="1"/>
  <c r="J46" i="86"/>
  <c r="K46" i="86" s="1"/>
  <c r="I47" i="86" s="1"/>
  <c r="F34" i="100" l="1"/>
  <c r="J47" i="86"/>
  <c r="K47" i="86" s="1"/>
  <c r="I48" i="86" s="1"/>
  <c r="J48" i="86" s="1"/>
  <c r="K48" i="86" s="1"/>
  <c r="I49" i="86" s="1"/>
  <c r="F30" i="100" l="1"/>
  <c r="J49" i="86"/>
  <c r="K49" i="86" s="1"/>
  <c r="I50" i="86" s="1"/>
  <c r="J50" i="86" l="1"/>
  <c r="K50" i="86" s="1"/>
  <c r="I51" i="86" s="1"/>
  <c r="J51" i="86" s="1"/>
  <c r="K51" i="86" s="1"/>
  <c r="I52" i="86" s="1"/>
  <c r="J52" i="86" l="1"/>
  <c r="K52" i="86" s="1"/>
  <c r="I53" i="86" s="1"/>
  <c r="J53" i="86" l="1"/>
  <c r="K53" i="86" s="1"/>
  <c r="I54" i="86" s="1"/>
  <c r="J54" i="86" s="1"/>
  <c r="K54" i="86" s="1"/>
  <c r="I55" i="86" s="1"/>
  <c r="J55" i="86" s="1"/>
  <c r="K55" i="86" s="1"/>
  <c r="I56" i="86" s="1"/>
  <c r="J56" i="86" s="1"/>
  <c r="K56" i="86" s="1"/>
  <c r="I57" i="86" s="1"/>
  <c r="J57" i="86" s="1"/>
  <c r="K57" i="86" s="1"/>
  <c r="I58" i="86" s="1"/>
  <c r="J58" i="86" l="1"/>
  <c r="K58" i="86" s="1"/>
  <c r="I59" i="86" s="1"/>
  <c r="J59" i="86" s="1"/>
  <c r="K59" i="86" s="1"/>
  <c r="I60" i="86" s="1"/>
  <c r="J60" i="86" l="1"/>
  <c r="K60" i="86" s="1"/>
  <c r="I61" i="86" s="1"/>
  <c r="J61" i="86" l="1"/>
  <c r="K61" i="86" s="1"/>
  <c r="I62" i="86" s="1"/>
  <c r="J62" i="86" l="1"/>
  <c r="K62" i="86" s="1"/>
  <c r="I63" i="86" s="1"/>
  <c r="J63" i="86" s="1"/>
  <c r="K63" i="86" s="1"/>
  <c r="I64" i="86" s="1"/>
  <c r="J64" i="86" s="1"/>
  <c r="K64" i="86" s="1"/>
  <c r="I65" i="86" s="1"/>
  <c r="J65" i="86" l="1"/>
  <c r="K65" i="86" s="1"/>
  <c r="I66" i="86" s="1"/>
  <c r="J66" i="86" l="1"/>
  <c r="K66" i="86" s="1"/>
  <c r="I67" i="86" s="1"/>
  <c r="J67" i="86" s="1"/>
  <c r="K67" i="86" s="1"/>
  <c r="I68" i="86" s="1"/>
  <c r="J68" i="86" l="1"/>
  <c r="K68" i="86" s="1"/>
  <c r="I69" i="86" s="1"/>
  <c r="J69" i="86" l="1"/>
  <c r="K69" i="86" s="1"/>
  <c r="I70" i="86" s="1"/>
  <c r="J70" i="86" l="1"/>
  <c r="K70" i="86" s="1"/>
  <c r="I71" i="86" s="1"/>
  <c r="J71" i="86" s="1"/>
  <c r="K71" i="86" s="1"/>
  <c r="K72" i="86" s="1"/>
  <c r="F11" i="100" s="1"/>
  <c r="F13" i="100" s="1"/>
  <c r="D12" i="86" l="1"/>
  <c r="E12" i="86" l="1"/>
  <c r="D13" i="86"/>
  <c r="D14" i="86" l="1"/>
  <c r="F12" i="86"/>
  <c r="G12" i="86" s="1"/>
  <c r="F13" i="86" l="1"/>
  <c r="G13" i="86" s="1"/>
  <c r="E14" i="86" s="1"/>
  <c r="F14" i="86" s="1"/>
  <c r="G14" i="86" s="1"/>
  <c r="D15" i="86"/>
  <c r="D16" i="86" s="1"/>
  <c r="E15" i="86" l="1"/>
  <c r="F15" i="86" s="1"/>
  <c r="G15" i="86" s="1"/>
  <c r="E16" i="86" s="1"/>
  <c r="F16" i="86" s="1"/>
  <c r="G16" i="86" s="1"/>
  <c r="E17" i="86" s="1"/>
  <c r="F17" i="86" s="1"/>
  <c r="G17" i="86" s="1"/>
  <c r="D17" i="86"/>
  <c r="D18" i="86" l="1"/>
  <c r="D19" i="86" s="1"/>
  <c r="D20" i="86" s="1"/>
  <c r="D21" i="86" s="1"/>
  <c r="D22" i="86" s="1"/>
  <c r="D23" i="86" s="1"/>
  <c r="E18" i="86" l="1"/>
  <c r="F18" i="86" s="1"/>
  <c r="G18" i="86" s="1"/>
  <c r="E19" i="86" s="1"/>
  <c r="F19" i="86" s="1"/>
  <c r="G19" i="86" s="1"/>
  <c r="E20" i="86" s="1"/>
  <c r="F20" i="86" s="1"/>
  <c r="G20" i="86" s="1"/>
  <c r="E21" i="86" s="1"/>
  <c r="F21" i="86" s="1"/>
  <c r="G21" i="86" s="1"/>
  <c r="E22" i="86" s="1"/>
  <c r="F22" i="86" s="1"/>
  <c r="G22" i="86" s="1"/>
  <c r="E23" i="86" s="1"/>
  <c r="F23" i="86" s="1"/>
  <c r="G23" i="86" s="1"/>
  <c r="E24" i="86" s="1"/>
  <c r="F24" i="86" s="1"/>
  <c r="G24" i="86" s="1"/>
  <c r="E25" i="86" s="1"/>
  <c r="F25" i="86" s="1"/>
  <c r="G25" i="86" s="1"/>
  <c r="E26" i="86" s="1"/>
  <c r="F26" i="86" l="1"/>
  <c r="G26" i="86" s="1"/>
  <c r="E27" i="86" s="1"/>
  <c r="F27" i="86" s="1"/>
  <c r="G27" i="86" s="1"/>
  <c r="E28" i="86" s="1"/>
  <c r="F28" i="86" l="1"/>
  <c r="G28" i="86" s="1"/>
  <c r="E29" i="86" l="1"/>
  <c r="F29" i="86" l="1"/>
  <c r="G29" i="86"/>
  <c r="E30" i="86" l="1"/>
  <c r="F30" i="86" l="1"/>
  <c r="G30" i="86" s="1"/>
  <c r="E31" i="86" s="1"/>
  <c r="F31" i="86" s="1"/>
  <c r="G31" i="86" s="1"/>
  <c r="E32" i="86" s="1"/>
  <c r="D8" i="194"/>
  <c r="F32" i="86" l="1"/>
  <c r="G32" i="86" s="1"/>
  <c r="E33" i="86" s="1"/>
  <c r="F33" i="86" s="1"/>
  <c r="G33" i="86" s="1"/>
  <c r="E34" i="86" s="1"/>
  <c r="F34" i="86" s="1"/>
  <c r="G34" i="86" s="1"/>
  <c r="E35" i="86" s="1"/>
  <c r="F35" i="86" s="1"/>
  <c r="G35" i="86" s="1"/>
  <c r="E36" i="86" s="1"/>
  <c r="F36" i="86" s="1"/>
  <c r="G36" i="86" s="1"/>
  <c r="D49" i="86" l="1"/>
  <c r="D50" i="86" s="1"/>
  <c r="D51" i="86" s="1"/>
  <c r="D52" i="86" l="1"/>
  <c r="D53" i="86" l="1"/>
  <c r="D54" i="86" l="1"/>
  <c r="D55" i="86" l="1"/>
  <c r="D56" i="86" l="1"/>
  <c r="D57" i="86" l="1"/>
  <c r="D58" i="86" l="1"/>
  <c r="D59" i="86" l="1"/>
  <c r="F10" i="213" l="1"/>
  <c r="G10" i="213" s="1"/>
  <c r="F9" i="213"/>
  <c r="G9" i="213" s="1"/>
  <c r="F7" i="213"/>
  <c r="G7" i="213" s="1"/>
  <c r="F6" i="213"/>
  <c r="G6" i="213" s="1"/>
  <c r="G11" i="213" l="1"/>
  <c r="G8" i="213"/>
  <c r="G12" i="213"/>
  <c r="L37" i="86" l="1"/>
  <c r="L38" i="86" s="1"/>
  <c r="L39" i="86" s="1"/>
  <c r="L40" i="86" s="1"/>
  <c r="L41" i="86" s="1"/>
  <c r="L42" i="86" s="1"/>
  <c r="L43" i="86" s="1"/>
  <c r="L44" i="86" s="1"/>
  <c r="L45" i="86" s="1"/>
  <c r="L46" i="86" s="1"/>
  <c r="L47" i="86" s="1"/>
  <c r="M36" i="86"/>
  <c r="D37" i="86"/>
  <c r="L72" i="86" l="1"/>
  <c r="N36" i="86"/>
  <c r="O36" i="86" s="1"/>
  <c r="M37" i="86" s="1"/>
  <c r="N37" i="86" s="1"/>
  <c r="O37" i="86" s="1"/>
  <c r="M38" i="86" s="1"/>
  <c r="N38" i="86" s="1"/>
  <c r="O38" i="86" s="1"/>
  <c r="M39" i="86" s="1"/>
  <c r="N39" i="86" s="1"/>
  <c r="O39" i="86" s="1"/>
  <c r="M40" i="86" s="1"/>
  <c r="N40" i="86" s="1"/>
  <c r="O40" i="86" s="1"/>
  <c r="M41" i="86" s="1"/>
  <c r="N41" i="86" s="1"/>
  <c r="O41" i="86" s="1"/>
  <c r="M42" i="86" s="1"/>
  <c r="N42" i="86" s="1"/>
  <c r="O42" i="86" s="1"/>
  <c r="M43" i="86" s="1"/>
  <c r="E37" i="86"/>
  <c r="F37" i="86" s="1"/>
  <c r="G37" i="86" s="1"/>
  <c r="D38" i="86"/>
  <c r="N43" i="86" l="1"/>
  <c r="O43" i="86" s="1"/>
  <c r="M44" i="86" s="1"/>
  <c r="E38" i="86"/>
  <c r="F38" i="86" s="1"/>
  <c r="G38" i="86" s="1"/>
  <c r="D39" i="86"/>
  <c r="D40" i="86" s="1"/>
  <c r="D41" i="86" s="1"/>
  <c r="D42" i="86" s="1"/>
  <c r="D43" i="86" s="1"/>
  <c r="D44" i="86" s="1"/>
  <c r="D45" i="86" s="1"/>
  <c r="D46" i="86" s="1"/>
  <c r="D47" i="86" s="1"/>
  <c r="N44" i="86" l="1"/>
  <c r="O44" i="86" s="1"/>
  <c r="M45" i="86" s="1"/>
  <c r="N45" i="86" s="1"/>
  <c r="O45" i="86" s="1"/>
  <c r="M46" i="86" s="1"/>
  <c r="E39" i="86"/>
  <c r="F39" i="86" s="1"/>
  <c r="G39" i="86" s="1"/>
  <c r="E40" i="86" s="1"/>
  <c r="F40" i="86" s="1"/>
  <c r="G40" i="86" s="1"/>
  <c r="E41" i="86" s="1"/>
  <c r="F41" i="86" s="1"/>
  <c r="G41" i="86" s="1"/>
  <c r="E42" i="86" s="1"/>
  <c r="F42" i="86" s="1"/>
  <c r="G42" i="86" s="1"/>
  <c r="E43" i="86" s="1"/>
  <c r="F43" i="86" s="1"/>
  <c r="G43" i="86" s="1"/>
  <c r="E44" i="86" s="1"/>
  <c r="F44" i="86" s="1"/>
  <c r="G44" i="86" s="1"/>
  <c r="E45" i="86" s="1"/>
  <c r="F45" i="86" s="1"/>
  <c r="G45" i="86" s="1"/>
  <c r="E46" i="86" s="1"/>
  <c r="F46" i="86" s="1"/>
  <c r="G46" i="86" s="1"/>
  <c r="E47" i="86" s="1"/>
  <c r="F47" i="86" s="1"/>
  <c r="G47" i="86" s="1"/>
  <c r="E48" i="86" s="1"/>
  <c r="F48" i="86" s="1"/>
  <c r="G48" i="86" s="1"/>
  <c r="E49" i="86" s="1"/>
  <c r="F49" i="86" s="1"/>
  <c r="G49" i="86" s="1"/>
  <c r="E50" i="86" s="1"/>
  <c r="F50" i="86" s="1"/>
  <c r="G50" i="86" s="1"/>
  <c r="E51" i="86" s="1"/>
  <c r="F51" i="86" s="1"/>
  <c r="G51" i="86" s="1"/>
  <c r="E52" i="86" s="1"/>
  <c r="F52" i="86" s="1"/>
  <c r="G52" i="86" s="1"/>
  <c r="E53" i="86" s="1"/>
  <c r="F53" i="86" s="1"/>
  <c r="G53" i="86" s="1"/>
  <c r="E54" i="86" s="1"/>
  <c r="F54" i="86" s="1"/>
  <c r="G54" i="86" s="1"/>
  <c r="E55" i="86" s="1"/>
  <c r="F55" i="86" s="1"/>
  <c r="G55" i="86" s="1"/>
  <c r="E56" i="86" s="1"/>
  <c r="F56" i="86" s="1"/>
  <c r="G56" i="86" s="1"/>
  <c r="E57" i="86" s="1"/>
  <c r="F57" i="86" s="1"/>
  <c r="G57" i="86" s="1"/>
  <c r="E58" i="86" s="1"/>
  <c r="F58" i="86" s="1"/>
  <c r="G58" i="86" s="1"/>
  <c r="E59" i="86" s="1"/>
  <c r="F59" i="86" s="1"/>
  <c r="G59" i="86" s="1"/>
  <c r="E60" i="86" s="1"/>
  <c r="F60" i="86" s="1"/>
  <c r="G60" i="86" s="1"/>
  <c r="E61" i="86" s="1"/>
  <c r="F61" i="86" s="1"/>
  <c r="G61" i="86" s="1"/>
  <c r="E62" i="86" s="1"/>
  <c r="F62" i="86" s="1"/>
  <c r="G62" i="86" s="1"/>
  <c r="E63" i="86" s="1"/>
  <c r="F63" i="86" s="1"/>
  <c r="G63" i="86" s="1"/>
  <c r="E64" i="86" s="1"/>
  <c r="F64" i="86" s="1"/>
  <c r="G64" i="86" s="1"/>
  <c r="E65" i="86" s="1"/>
  <c r="F65" i="86" s="1"/>
  <c r="G65" i="86" s="1"/>
  <c r="E66" i="86" s="1"/>
  <c r="F66" i="86" s="1"/>
  <c r="G66" i="86" s="1"/>
  <c r="E67" i="86" s="1"/>
  <c r="F67" i="86" s="1"/>
  <c r="G67" i="86" s="1"/>
  <c r="E68" i="86" s="1"/>
  <c r="F68" i="86" s="1"/>
  <c r="G68" i="86" s="1"/>
  <c r="E69" i="86" s="1"/>
  <c r="F69" i="86" s="1"/>
  <c r="G69" i="86" s="1"/>
  <c r="E70" i="86" s="1"/>
  <c r="F70" i="86" s="1"/>
  <c r="G70" i="86" s="1"/>
  <c r="E71" i="86" s="1"/>
  <c r="F71" i="86" s="1"/>
  <c r="G71" i="86" s="1"/>
  <c r="G72" i="86" s="1"/>
  <c r="D72" i="86"/>
  <c r="E6" i="100" s="1"/>
  <c r="E8" i="100" s="1"/>
  <c r="E37" i="100" s="1"/>
  <c r="F25" i="100"/>
  <c r="F6" i="100" l="1"/>
  <c r="F8" i="100" s="1"/>
  <c r="F37" i="100" s="1"/>
  <c r="N46" i="86"/>
  <c r="O46" i="86" s="1"/>
  <c r="M47" i="86" s="1"/>
  <c r="N47" i="86" l="1"/>
  <c r="O47" i="86" s="1"/>
  <c r="M48" i="86" s="1"/>
  <c r="N48" i="86" l="1"/>
  <c r="O48" i="86" s="1"/>
  <c r="M49" i="86" s="1"/>
  <c r="N49" i="86" s="1"/>
  <c r="O49" i="86" s="1"/>
  <c r="M50" i="86" s="1"/>
  <c r="N50" i="86" s="1"/>
  <c r="O50" i="86" s="1"/>
  <c r="M51" i="86" s="1"/>
  <c r="N51" i="86" l="1"/>
  <c r="O51" i="86" s="1"/>
  <c r="M52" i="86" s="1"/>
  <c r="N52" i="86" l="1"/>
  <c r="O52" i="86" s="1"/>
  <c r="M53" i="86" s="1"/>
  <c r="N53" i="86" s="1"/>
  <c r="O53" i="86" s="1"/>
  <c r="M54" i="86" s="1"/>
  <c r="N54" i="86" s="1"/>
  <c r="O54" i="86" s="1"/>
  <c r="M55" i="86" s="1"/>
  <c r="N55" i="86" s="1"/>
  <c r="O55" i="86" s="1"/>
  <c r="M56" i="86" s="1"/>
  <c r="N56" i="86" s="1"/>
  <c r="O56" i="86" s="1"/>
  <c r="M57" i="86" s="1"/>
  <c r="N57" i="86" s="1"/>
  <c r="O57" i="86" s="1"/>
  <c r="M58" i="86" s="1"/>
  <c r="N58" i="86" s="1"/>
  <c r="O58" i="86" s="1"/>
  <c r="M59" i="86" s="1"/>
  <c r="N59" i="86" l="1"/>
  <c r="O59" i="86" s="1"/>
  <c r="M60" i="86" s="1"/>
  <c r="N60" i="86" s="1"/>
  <c r="O60" i="86" s="1"/>
  <c r="M61" i="86" s="1"/>
  <c r="N61" i="86" s="1"/>
  <c r="O61" i="86" s="1"/>
  <c r="M62" i="86" s="1"/>
  <c r="N62" i="86" s="1"/>
  <c r="O62" i="86" s="1"/>
  <c r="M63" i="86" s="1"/>
  <c r="N63" i="86" s="1"/>
  <c r="O63" i="86" s="1"/>
  <c r="M64" i="86" s="1"/>
  <c r="N64" i="86" s="1"/>
  <c r="O64" i="86" s="1"/>
  <c r="M65" i="86" s="1"/>
  <c r="N65" i="86" s="1"/>
  <c r="O65" i="86" s="1"/>
  <c r="M66" i="86" s="1"/>
  <c r="N66" i="86" s="1"/>
  <c r="O66" i="86" s="1"/>
  <c r="M67" i="86" s="1"/>
  <c r="N67" i="86" s="1"/>
  <c r="O67" i="86" s="1"/>
  <c r="M68" i="86" s="1"/>
  <c r="N68" i="86" s="1"/>
  <c r="O68" i="86" s="1"/>
  <c r="M69" i="86" s="1"/>
  <c r="N69" i="86" s="1"/>
  <c r="O69" i="86" s="1"/>
  <c r="M70" i="86" s="1"/>
  <c r="N70" i="86" s="1"/>
  <c r="O70" i="86" s="1"/>
  <c r="M71" i="86" s="1"/>
  <c r="N71" i="86" s="1"/>
  <c r="O71" i="86" s="1"/>
  <c r="O7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FA805A3D-A03A-4DDE-8470-516A709EBD9B}">
      <text>
        <r>
          <rPr>
            <b/>
            <sz val="9"/>
            <color indexed="81"/>
            <rFont val="Tahoma"/>
            <family val="2"/>
          </rPr>
          <t xml:space="preserve">Changed from $7,758,094 to $7,846,218  to removal of outside counsel cost related to employment litigation or arbitration matters which should have been excluded.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Hansen, Berton J</author>
  </authors>
  <commentList>
    <comment ref="F62" authorId="0" shapeId="0" xr:uid="{6EF7AE5C-5542-499D-AF01-C378BFF8B7ED}">
      <text>
        <r>
          <rPr>
            <sz val="9"/>
            <color indexed="81"/>
            <rFont val="Tahoma"/>
            <family val="2"/>
          </rPr>
          <t>Settlement term 3: New Line 39a reversing Line 39 Incentive Adder.  Will not apply to True Up Years of 2016 and 2017 as the True Up TRR for those years will be calculated pursuant to the Original Formula Rate (workpaper).</t>
        </r>
      </text>
    </comment>
    <comment ref="E84" authorId="0" shapeId="0" xr:uid="{799D019D-6D91-4612-81D9-47D5C557F271}">
      <text>
        <r>
          <rPr>
            <sz val="9"/>
            <color indexed="81"/>
            <rFont val="Tahoma"/>
            <family val="2"/>
          </rPr>
          <t>11.2% for 2018 True Up TRR pursuant to Settlement Term #3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60AC06B8-A1DF-49F4-BFCC-8173023073E0}">
      <text>
        <r>
          <rPr>
            <b/>
            <sz val="9"/>
            <color indexed="81"/>
            <rFont val="Tahoma"/>
            <family val="2"/>
          </rPr>
          <t xml:space="preserve">Change from $8,764,724 to $9,099,604 due to removal of outside counsel cost related to employment litigation or arbitration matters which should have been excluded.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C9EE0685-784D-4DD2-A93B-B0002A26F54A}">
      <text>
        <r>
          <rPr>
            <b/>
            <sz val="9"/>
            <color indexed="81"/>
            <rFont val="Tahoma"/>
            <family val="2"/>
          </rPr>
          <t xml:space="preserve">Changed from $9,003,377 to $9,399,151 due to removal of outside counsel cost related to employment litigation or arbitration matters which should have been excluded.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A5F88532-AA06-434F-BAC9-C37FD73DC89E}">
      <text>
        <r>
          <rPr>
            <b/>
            <sz val="9"/>
            <color indexed="81"/>
            <rFont val="Tahoma"/>
            <family val="2"/>
          </rPr>
          <t>Changed from $8,991,127 to $9,386,901 due to removal of outside counsel cost related to employment litigation or arbitration matters which should have been excluded.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34A41B26-D19E-49E7-9966-9A3575A2D092}">
      <text>
        <r>
          <rPr>
            <b/>
            <sz val="9"/>
            <color indexed="81"/>
            <rFont val="Tahoma"/>
            <family val="2"/>
          </rPr>
          <t>Changed from $2,925,374 to $3,361,642 due to to removal of outside counsel cost related to employment litigation or arbitration matters which should have been excluded.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0D335A1E-9994-4864-84C4-ADE3D60390FB}">
      <text>
        <r>
          <rPr>
            <b/>
            <sz val="9"/>
            <color indexed="81"/>
            <rFont val="Tahoma"/>
            <family val="2"/>
          </rPr>
          <t xml:space="preserve">Changed from 1.13759% to 1.13762% to keep the uncollectible expense $13,789,000
</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9F782944-D5D1-4D87-881D-9A27944BEEB3}">
      <text>
        <r>
          <rPr>
            <b/>
            <sz val="9"/>
            <color indexed="81"/>
            <rFont val="Tahoma"/>
            <family val="2"/>
          </rPr>
          <t>Changed from $1,504,970 to $1,846,552 due to removal of outside counsel cost related to employment litigation or arbitration matters which should have been excluded.</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DD7C64F6-A6AD-453B-81BE-BE37C9C6F7E3}">
      <text>
        <r>
          <rPr>
            <b/>
            <sz val="9"/>
            <color indexed="81"/>
            <rFont val="Tahoma"/>
            <family val="2"/>
          </rPr>
          <t>U Factor changed from 0.98731% to 0.98733% to keep the uncollectible expense $11,953,557</t>
        </r>
        <r>
          <rPr>
            <sz val="9"/>
            <color indexed="81"/>
            <rFont val="Tahoma"/>
            <family val="2"/>
          </rPr>
          <t xml:space="preserve">
</t>
        </r>
      </text>
    </comment>
  </commentList>
</comments>
</file>

<file path=xl/sharedStrings.xml><?xml version="1.0" encoding="utf-8"?>
<sst xmlns="http://schemas.openxmlformats.org/spreadsheetml/2006/main" count="2412" uniqueCount="505">
  <si>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</si>
  <si>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</si>
  <si>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</si>
  <si>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</si>
  <si>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</si>
  <si>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</si>
  <si>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</si>
  <si>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</si>
  <si>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</si>
  <si>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</si>
  <si>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</si>
  <si>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</si>
  <si>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</si>
  <si>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</si>
  <si>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</si>
  <si>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</si>
  <si>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</si>
  <si>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</si>
  <si>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</si>
  <si>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</si>
  <si>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</si>
  <si>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</si>
  <si>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</si>
  <si>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</si>
  <si>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</si>
  <si>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</si>
  <si>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</si>
  <si>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</si>
  <si>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</si>
  <si>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</si>
  <si>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</si>
  <si>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</si>
  <si>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</si>
  <si>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</si>
  <si>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</si>
  <si>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</si>
  <si>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</si>
  <si>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</si>
  <si>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</si>
  <si>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</si>
  <si>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</si>
  <si>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</si>
  <si>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</si>
  <si>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</si>
  <si>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</si>
  <si>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</si>
  <si>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</si>
  <si>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</si>
  <si>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</si>
  <si>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</si>
  <si>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</si>
  <si>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</si>
  <si>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</si>
  <si>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</si>
  <si>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</si>
  <si>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</si>
  <si>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</si>
  <si>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</si>
  <si>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</si>
  <si>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</si>
  <si>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</si>
  <si>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</si>
  <si>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</si>
  <si>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</si>
  <si>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</si>
  <si>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</si>
  <si>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</si>
  <si>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</si>
  <si>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</si>
  <si>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</si>
  <si>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</si>
  <si>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</si>
  <si>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</si>
  <si>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</si>
  <si>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</si>
  <si>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</si>
  <si>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</si>
  <si>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</si>
  <si>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</si>
  <si>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</si>
  <si>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</si>
  <si>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</si>
  <si>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</si>
  <si>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</si>
  <si>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</si>
  <si>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</si>
  <si>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</si>
  <si>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</si>
  <si>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</si>
  <si>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</si>
  <si>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</si>
  <si>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</si>
  <si>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</si>
  <si>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</si>
  <si>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</si>
  <si>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</si>
  <si>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</si>
  <si>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</si>
  <si>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</si>
  <si>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</si>
  <si>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</si>
  <si>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</si>
  <si>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</si>
  <si>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</si>
  <si>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</si>
  <si>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</si>
  <si>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</si>
  <si>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</si>
  <si>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</si>
  <si>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</si>
  <si>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</si>
  <si>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</si>
  <si>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</si>
  <si>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</si>
  <si>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</si>
  <si>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</si>
  <si>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</si>
  <si>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</si>
  <si>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</si>
  <si>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</si>
  <si>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</si>
  <si>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</si>
  <si>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</si>
  <si>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</si>
  <si>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</si>
  <si>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</si>
  <si>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</si>
  <si>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</si>
  <si>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</si>
  <si>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</si>
  <si>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</si>
  <si>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</si>
  <si>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</si>
  <si>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</si>
  <si>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</si>
  <si>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</si>
  <si>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</si>
  <si>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</si>
  <si>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</si>
  <si>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</si>
  <si>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</si>
  <si>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</si>
  <si>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</si>
  <si>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</si>
  <si>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1/8 (O&amp;M + A&amp;G)</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</si>
  <si>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</si>
  <si>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</si>
  <si>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</si>
  <si>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</si>
  <si>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</si>
  <si>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</si>
  <si>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Line 38 + Line 39 + Line 39a</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</si>
  <si>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</si>
  <si>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</si>
  <si>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</si>
  <si>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2.</t>
  </si>
  <si>
    <t>E</t>
  </si>
  <si>
    <t>Changes to 2019</t>
  </si>
  <si>
    <t>One Time Adjustment for Revised 2019 True Up TRR</t>
  </si>
  <si>
    <t>Weighting Factor</t>
  </si>
  <si>
    <t>Weighted Amount</t>
  </si>
  <si>
    <t xml:space="preserve">One Time Adjustment to Reflect 2019 True Up TRR </t>
  </si>
  <si>
    <t xml:space="preserve">TO2021 Weighted One Time Adjustment: </t>
  </si>
  <si>
    <t xml:space="preserve">Total One Time Adjustment: </t>
  </si>
  <si>
    <t xml:space="preserve">TO2018 Weighted One Time Adjustment: </t>
  </si>
  <si>
    <t>TO2021 TUTRR</t>
  </si>
  <si>
    <t>Settlement of TO2019A (ER19-1553)</t>
  </si>
  <si>
    <t>169 FERC ¶ 61,177</t>
  </si>
  <si>
    <t>(Line 39) for True Up Years during the term of the settlement of ER19-1553.</t>
  </si>
  <si>
    <t>Total Adjustment</t>
  </si>
  <si>
    <t>Calculation of Administrative and General Expense</t>
  </si>
  <si>
    <t>Inputs are shaded yellow</t>
  </si>
  <si>
    <t>Col 1</t>
  </si>
  <si>
    <t>Col 2</t>
  </si>
  <si>
    <t>Col 3</t>
  </si>
  <si>
    <t>Col 4</t>
  </si>
  <si>
    <t>See Note 1</t>
  </si>
  <si>
    <t>FERC Form 1</t>
  </si>
  <si>
    <t>Data</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</si>
  <si>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</si>
  <si>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</si>
  <si>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</si>
  <si>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</si>
  <si>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</si>
  <si>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</si>
  <si>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</si>
  <si>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</si>
  <si>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</si>
  <si>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</si>
  <si>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</si>
  <si>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</si>
  <si>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</si>
  <si>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</si>
  <si>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</si>
  <si>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</si>
  <si>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</si>
  <si>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</si>
  <si>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Franchise Requirements</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</si>
  <si>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</si>
  <si>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</si>
  <si>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</si>
  <si>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</si>
  <si>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</si>
  <si>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</si>
  <si>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</si>
  <si>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</si>
  <si>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</si>
  <si>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</si>
  <si>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</si>
  <si>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</si>
  <si>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</si>
  <si>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</si>
  <si>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</si>
  <si>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</si>
  <si>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</si>
  <si>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</si>
  <si>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27-Allocators, Line 5</t>
  </si>
  <si>
    <t>Transmission W&amp;S AF Portion of A&amp;G:</t>
  </si>
  <si>
    <t>Transmission Plant Allocation Factor:</t>
  </si>
  <si>
    <t>27-Allocators, Line 18</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</si>
  <si>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</si>
  <si>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</si>
  <si>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</si>
  <si>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</si>
  <si>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</si>
  <si>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</si>
  <si>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</si>
  <si>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</si>
  <si>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</si>
  <si>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</si>
  <si>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</si>
  <si>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</si>
  <si>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</si>
  <si>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</si>
  <si>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3</t>
  </si>
  <si>
    <t>See Note 4</t>
  </si>
  <si>
    <t xml:space="preserve">Note 2: Non-Officer Incentive Compensation ("NOIC") Adjustment </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</si>
  <si>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</si>
  <si>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</si>
  <si>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</si>
  <si>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</si>
  <si>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</si>
  <si>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</si>
  <si>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</si>
  <si>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</si>
  <si>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</si>
  <si>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</si>
  <si>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</si>
  <si>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</si>
  <si>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Total:</t>
  </si>
  <si>
    <t>Note 3: PBOPs Exclusion Calculation</t>
  </si>
  <si>
    <t>Note:</t>
  </si>
  <si>
    <t>Current Authorized PBOPs Expense Amount:</t>
  </si>
  <si>
    <t>See instruction #4</t>
  </si>
  <si>
    <t>Prior Year Authorized PBOPs Expense Amount:</t>
  </si>
  <si>
    <t>Authorized PBOPs Expense Amount during Prior Year</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</si>
  <si>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</si>
  <si>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</si>
  <si>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</si>
  <si>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</si>
  <si>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</si>
  <si>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</si>
  <si>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</si>
  <si>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</si>
  <si>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</si>
  <si>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</si>
  <si>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</si>
  <si>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</si>
  <si>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</si>
  <si>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</si>
  <si>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</si>
  <si>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</si>
  <si>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</si>
  <si>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</si>
  <si>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</si>
  <si>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</si>
  <si>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or fines.</t>
  </si>
  <si>
    <t>4) Any amount of costs recovered 100% through California Public Utilities Commission ("CPUC") rates.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</si>
  <si>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</si>
  <si>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</si>
  <si>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</si>
  <si>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</si>
  <si>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 expense</t>
  </si>
  <si>
    <t>during the Prior Year is excluded from account 926 (see note 3). Docket or Decision approving authorized PBOPs amount:</t>
  </si>
  <si>
    <t>5) SCE shall make no adjustments to recorded labor amounts related to non-labor labor and/or Indirect labor in Schedule 20.</t>
  </si>
  <si>
    <t>Workpaper:</t>
  </si>
  <si>
    <t>WP Schedule 20 A&amp;G</t>
  </si>
  <si>
    <t>See Instruction 6</t>
  </si>
  <si>
    <t>ER20-1382</t>
  </si>
  <si>
    <t>6) Any A&amp;G costs associated with wildfires other than the 2017/18 Wildfire/Mudslide Events shall be reflected in A&amp;G accounts on a cash basis during the</t>
  </si>
  <si>
    <t xml:space="preserve">year in which associated cash payments are made.  In the event an initial cost accrual is made in a year to one or more A&amp;G accounts 920-935, </t>
  </si>
  <si>
    <t>SCE shall exclude from A&amp;G cost recovery any amount not paid in cash during that year through an entry to Column 1, Lines 24-37 of the</t>
  </si>
  <si>
    <t>"Itemization of Exclusions" matrix to the account in which the initial expense accrual was made.  As cash payments related to the initial expense accrual are</t>
  </si>
  <si>
    <t xml:space="preserve">made in future years, SCE shall also include those expenses in A&amp;G cost recovery on a cash basis through an entry to the Itemization of Exclusions matrix. </t>
  </si>
  <si>
    <t>Weighted Average Percentage</t>
  </si>
  <si>
    <t>Weighted Average</t>
  </si>
  <si>
    <t>3.</t>
  </si>
  <si>
    <t>4.</t>
  </si>
  <si>
    <t>D</t>
  </si>
  <si>
    <t>Changes to 2020</t>
  </si>
  <si>
    <t>Total Weighted Adjustment</t>
  </si>
  <si>
    <t>One Time Adjustment for Revised 2020 True Up TRR</t>
  </si>
  <si>
    <t xml:space="preserve">One Time Adjustment for Revised 2020 True Up TRR </t>
  </si>
  <si>
    <t>TO2022 TUTRR</t>
  </si>
  <si>
    <t>TO2020 True Up TRR in TO2022</t>
  </si>
  <si>
    <t>WP Schedule 20</t>
  </si>
  <si>
    <t>Docket No. ER21-1521</t>
  </si>
  <si>
    <t>C</t>
  </si>
  <si>
    <t>Line</t>
  </si>
  <si>
    <t>15a</t>
  </si>
  <si>
    <t>Franchise Fees and Uncollectibles Expense Factors</t>
  </si>
  <si>
    <t>WP Schedule 28 FFU</t>
  </si>
  <si>
    <t>1) Approved Franchise Fee Factor(s)</t>
  </si>
  <si>
    <t xml:space="preserve">Days in </t>
  </si>
  <si>
    <t>Prior Year</t>
  </si>
  <si>
    <t>FF Factor</t>
  </si>
  <si>
    <t>Reference</t>
  </si>
  <si>
    <t>Present</t>
  </si>
  <si>
    <t>Schedule 28 - Workpaper Line 10</t>
  </si>
  <si>
    <t>2) Approved Uncollectibles Expense Factor(s)</t>
  </si>
  <si>
    <t>U Factor</t>
  </si>
  <si>
    <t>Schedule 28 - Workpaper Line 11</t>
  </si>
  <si>
    <t>3) FF and U Factors</t>
  </si>
  <si>
    <t>Prior</t>
  </si>
  <si>
    <t>Calculated according to Instruction 3</t>
  </si>
  <si>
    <t xml:space="preserve">1) Franchise Fees represent payments that SCE makes to municipal entities for the right to locate facilities within </t>
  </si>
  <si>
    <t>the municipality.</t>
  </si>
  <si>
    <t>1) Enter Franchise Fee and Uncollectibles Factors as approved by the California Public Utilities Commission ("CPUC")</t>
  </si>
  <si>
    <t>in modules 1 and 2 above pursuant to Instruction 2.  If approved factors changed during Prior Year, enter both,</t>
  </si>
  <si>
    <t>and note period of time for which each applies in "From" and "To" columns, and number of days each was in effect</t>
  </si>
  <si>
    <t>during the Prior Year in "Days in Prior Year" Column.</t>
  </si>
  <si>
    <t>2) Franchise Fees Factor is calculated from CPUC Decision by dividing adopted Franchise Fees</t>
  </si>
  <si>
    <t xml:space="preserve">by Total Operating Revenues less Franchise Fees.  Uncollectibles Factor is calculated by </t>
  </si>
  <si>
    <t>dividing adopted Uncollectibles expense by Total Operating revenues less Uncollectibles Expense.  Resulting FF &amp; U</t>
  </si>
  <si>
    <t>Factors represent factors that, when applied to TRR without FF and U will correctly determine FF and U expense.</t>
  </si>
  <si>
    <t>3) Calculate in module 3 the weighted average FF and U factors from the factors in modules 1 and 2 based</t>
  </si>
  <si>
    <t>on the number of days each FF and U factor was in effect during the Prior Year at issue.</t>
  </si>
  <si>
    <t>Percent</t>
  </si>
  <si>
    <t>Prior Year FF Factor:</t>
  </si>
  <si>
    <t>((L1 FF Factor * L1 Days) + (L2 FF Factor * L2 Days))/(L1+L2 Days)</t>
  </si>
  <si>
    <t>Prior Year  U Factor:</t>
  </si>
  <si>
    <t>((L3 U Factor * L3 Days) + (L4 U Factor * L4 Days))/(L3+L4 Days)</t>
  </si>
  <si>
    <t xml:space="preserve">One Time Adjustment for Revised 2017 True Up TRR </t>
  </si>
  <si>
    <t>2017</t>
  </si>
  <si>
    <t>2018</t>
  </si>
  <si>
    <t>One Time Adjustment for Revised 2017 True Up TRR</t>
  </si>
  <si>
    <t>One Time Adjustment for Revised 2018 True Up TRR</t>
  </si>
  <si>
    <t>One Time Adjustment for Revised 2021 True Up TRR</t>
  </si>
  <si>
    <t>Changes to 2017</t>
  </si>
  <si>
    <t>Changes to 2018</t>
  </si>
  <si>
    <t>Total One-Time Adjustment for 2017 Reflected in the June TO2024 Draft Annual Update Posting</t>
  </si>
  <si>
    <t>TO2024</t>
  </si>
  <si>
    <t>TO13/TO2020/TO2021/TO2022/TO2023</t>
  </si>
  <si>
    <t>Total One-Time Adjustment for 2018 Reflected in the June TO2024 Draft Annual Update Posting</t>
  </si>
  <si>
    <t>Total One-Time Adjustment for 2019 Reflected in the June TO2024 Draft Annual Update Posting</t>
  </si>
  <si>
    <t>Total One-Time Adjustment for 2020 Reflected in the June TO2024 Draft Annual Update Posting</t>
  </si>
  <si>
    <t>Total One-Time Adjustment for 2017 through 2021 Reflected in the June TO2024 Draft Annual Update Posting</t>
  </si>
  <si>
    <t>*  The TO2024 One-Time Adjustment is equal to the TO13/TO2020/TO2021/TO2022/TO2023 TUTRR Change, plus interest through December 31, 2021.</t>
  </si>
  <si>
    <t>TO13 True Up TRR in TO2022</t>
  </si>
  <si>
    <t>Revised TO13 True Up TRR in TO2024 Posting</t>
  </si>
  <si>
    <t>1/16 (O&amp;M + A&amp;G)</t>
  </si>
  <si>
    <t>27a</t>
  </si>
  <si>
    <t>PBOPs True Up TRR Adjustment</t>
  </si>
  <si>
    <t>TO13 TUTRR</t>
  </si>
  <si>
    <t>TO2022 Annual Update - WP Schedule 3 - One Time Adj Prior Period, Page 7, Line 45</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</si>
  <si>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</si>
  <si>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</si>
  <si>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Jan 1, 2017</t>
  </si>
  <si>
    <t>Dec 31, 2017</t>
  </si>
  <si>
    <t>Settlement in ER11-3697</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</si>
  <si>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</si>
  <si>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</si>
  <si>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</si>
  <si>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</si>
  <si>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</si>
  <si>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(NOIC includes Results Sharing, Management Incentive Program, and Non-Officer Executive Incentive Compensation).</t>
  </si>
  <si>
    <t>Authorized PBOPs expense amount:</t>
  </si>
  <si>
    <t>3) Any penalties of fines.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</si>
  <si>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</si>
  <si>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</si>
  <si>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</si>
  <si>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</si>
  <si>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</si>
  <si>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</si>
  <si>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</si>
  <si>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</si>
  <si>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t>in accordance with the tariff protocols.  Accordingly, any amount different than the authorized PBOPs</t>
  </si>
  <si>
    <t>expense is excluded from account 926 (see note 3).  Docket or Decision approving authorized PBOPs amount:</t>
  </si>
  <si>
    <t>ER16-2433</t>
  </si>
  <si>
    <t xml:space="preserve">One Time Adjustment for Revised 2018 True Up TRR </t>
  </si>
  <si>
    <t>Revised TO2020 True Up TRR in TO2024 Posting</t>
  </si>
  <si>
    <t>TO2020 TUTRR</t>
  </si>
  <si>
    <t>TO2022 Annual Update - WP Sch 3 One Time Adj Prior Period Page 14, Line 46</t>
  </si>
  <si>
    <t>Second Formula Rate ER18-169 Settlement</t>
  </si>
  <si>
    <t>ER19-1226</t>
  </si>
  <si>
    <t>TO2023 Annual Update - WP Sch3- One Time Adj Prior Period, Page 6, Line 46</t>
  </si>
  <si>
    <t>TO2023 Annual Update - WP Schedule 3 - One Time Adj Prior Period, Page 12, Line 46</t>
  </si>
  <si>
    <t>Updated TO2018 Model True Up TRR in TO2024</t>
  </si>
  <si>
    <t>Revised TO2018 Model True Up TRR in TO2023</t>
  </si>
  <si>
    <t>TO2023 Annual Filing - WP Schedule 3 - One Time Adj-Prior Period, Page 6, Line 46</t>
  </si>
  <si>
    <t>Updated TO2021 Model True Up TRR in TO2024</t>
  </si>
  <si>
    <t>Revised TO2021 Model True Up TRR in TO2023</t>
  </si>
  <si>
    <t>TO2023 Annual Update Filing - WP Schedule 3 - One Time Adj-Prior Period, Page 12, Line 46</t>
  </si>
  <si>
    <t>A&amp;G Outside Counsel Adjustment</t>
  </si>
  <si>
    <t>(2) 2020 Uncollectibles Expense Factor Adjustment</t>
  </si>
  <si>
    <t xml:space="preserve">Outside counsel adjustment </t>
  </si>
  <si>
    <t>TO2023 Annual Filing - WP Schedule 3 - One Time Adj-Prior Period, Page 19, Line 46</t>
  </si>
  <si>
    <t>TO2023 Annual Update - WP Schedule 3-One Time Adj Prior Period, Page 19, Line 46</t>
  </si>
  <si>
    <t>Outside Counsel Adjustment</t>
  </si>
  <si>
    <t>FF&amp;U Adjustment</t>
  </si>
  <si>
    <t xml:space="preserve">One Time Adjustment for Revised 2021 True Up TRR </t>
  </si>
  <si>
    <t>Revised TO2023 True Up TRR in TO2024 Posting</t>
  </si>
  <si>
    <t>TO2023 True Up TRR in TO2023</t>
  </si>
  <si>
    <t>TO2023 TUTRR</t>
  </si>
  <si>
    <t>TO2023 Annual Update - Attachment 1, Schedule 4, Line 46</t>
  </si>
  <si>
    <t>45a</t>
  </si>
  <si>
    <t>O&amp;M Services Formula Revenues</t>
  </si>
  <si>
    <t>Col 3a</t>
  </si>
  <si>
    <t>See Note 5</t>
  </si>
  <si>
    <t>= (C1 - C3) + C3a</t>
  </si>
  <si>
    <t>Other Formula</t>
  </si>
  <si>
    <t>Revenue</t>
  </si>
  <si>
    <t>= (C1 - C3), See also Note 5</t>
  </si>
  <si>
    <t>Note 5:</t>
  </si>
  <si>
    <t>O&amp;M Services Formula Revenue is added in Column 3a pursuant to Schedule 35, Note 2.  Column 3 amounts are from</t>
  </si>
  <si>
    <t>Schedule 35, Lines 38-52, Column 4.  Franchise Fees are separately recovered through Line 43 of Schedule 4, and therefore</t>
  </si>
  <si>
    <t>the amount of O&amp;M Services Formula revenue associated with Franchise Fees (Line 8, Col. 3a) is not included in Column 4.</t>
  </si>
  <si>
    <t>Docket No. ER22-1446</t>
  </si>
  <si>
    <t>Revised TO2022 True Up TRR in TO2024 Posting</t>
  </si>
  <si>
    <t>TO2022 True Up TRR in TO2023</t>
  </si>
  <si>
    <t>(1) 2018 A&amp;G adjustment to remove outside counsel expenses related to employment litigation or arbitration matters which should have been excluded.</t>
  </si>
  <si>
    <t>5.</t>
  </si>
  <si>
    <t>F = D + E</t>
  </si>
  <si>
    <t>Changes to 2021</t>
  </si>
  <si>
    <t>G</t>
  </si>
  <si>
    <t>H</t>
  </si>
  <si>
    <t>I = G + H</t>
  </si>
  <si>
    <t>J = A + B + C + F + I</t>
  </si>
  <si>
    <t>Total One-Time Adj with Interest:</t>
  </si>
  <si>
    <t>TO2024 Draft Annual Posting - WP Schedule 3 - One Time Adj-Prior Period, Page 6, Line 46</t>
  </si>
  <si>
    <t>TO2043 Draft Annual Posting - WP Schedule 3 - One Time Adj-Prior Period, Page 13, Line 46</t>
  </si>
  <si>
    <t>TO2024 Draft Annual Posting - WP Schedule 3 - One Time Adj-Prior Period, Page 20, Line 46</t>
  </si>
  <si>
    <t>TO2024 Draft Annual Posting - WP Schedule 3 - One Time Adj-Prior Period, Page 26, Line 46</t>
  </si>
  <si>
    <t>(1) 2019 A&amp;G adjustment to remove outside counsel cost related to employment litigation or arbitration matters which should have been excluded.</t>
  </si>
  <si>
    <t>TO2024 Draft Annual Posting - WP Schedule 3 - One Time Adj-Prior Period, Page 33, Line 46</t>
  </si>
  <si>
    <t>(1) 2020 A&amp;G adjustment to remove outside counsel cost related to employment litigation or arbitration matters which should have been excluded.</t>
  </si>
  <si>
    <t>TO2024 Draft Annual Posting - WP Schedule 3 - One Time Adj-Prior Period, Page 41, Line 46</t>
  </si>
  <si>
    <t>(1) 2017 A&amp;G adjustment to remove outside counsel cost related to employment litigation or arbitration matters which should have been excluded.</t>
  </si>
  <si>
    <t>Outside counsel adjustment</t>
  </si>
  <si>
    <t>TO2023 Annual Filing - Attachment 1, Schedule 4, Line 46</t>
  </si>
  <si>
    <t>In preparing the TO2024 Draft Annual Update, SCE discovered that it had outside counsel expenses related to employment litigation or arbitration matters that were subsequently resolved by the Company which were not excluded.  The amount of expenses were overstated by $88,124, which should have been excluded in 2017.  As such, SCE is including an additional TO13 A&amp;G exclusion of $88,124 to remove these additional expenses.  SCE has incorporated this correction that changes the TO13 A&amp;G exclusions and the impact of this change is a decrease in the 2017 True Up TRR of $5,052.</t>
  </si>
  <si>
    <t>In preparing the TO2024 Draft Annual Update, SCE discovered that it had outside counsel expenses related to employment litigation or arbitration matters that were subsequently resolved by the Company which were not excluded.  The amount of expenses were overstated by $334,880, which should have been excluded in 2018.  As such, SCE is including an additional TO2020 A&amp;G exclusion of $334,880 to remove these additional expenses.  SCE has incorporated this correction that changes the TO2020 A&amp;G exclusions and the impact of this change is a decrease in the 2018 True Up TRR of $19,693.</t>
  </si>
  <si>
    <t>In preparing the TO2024 Draft Annual Update, SCE discovered that it had outside counsel expenses related to employment litigation or arbitration matters that were subsequently resolved by the Company which were not excluded.  The amount of expenses were overstated by $436,268, which should have been excluded in 2020.  As such, SCE is including an additional TO2022 A&amp;G exclusion of $436,268 to remove these additional expenses.  SCE has incorporated this correction that changes the TO2022 A&amp;G exclusions and the impact of this change is a decrease in the 2020 True Up TRR of $31,453.</t>
  </si>
  <si>
    <t>In preparing the TO2024 Draft Annual Update, SCE discovered that it had outside counsel expenses related to employment litigation or arbitration matters that were subsequently resolved by the Company which were not excluded.  The amount of expenses were overstated by $341,582, which should have been excluded in 2021.  As such, SCE is including an additional TO2023 A&amp;G exclusion of $341,582 to remove these additional expenses.  SCE has incorporated this correction that changes the TO2023 A&amp;G exclusions and the impact of this change is a decrease in the 2021 True Up TRR of $21,892.</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</si>
  <si>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</si>
  <si>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</si>
  <si>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</si>
  <si>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</si>
  <si>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</si>
  <si>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</si>
  <si>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</si>
  <si>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</si>
  <si>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</si>
  <si>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</si>
  <si>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</si>
  <si>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</si>
  <si>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</si>
  <si>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</si>
  <si>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</si>
  <si>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</si>
  <si>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</si>
  <si>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</si>
  <si>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</si>
  <si>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</si>
  <si>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</si>
  <si>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</si>
  <si>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</si>
  <si>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</si>
  <si>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</si>
  <si>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9-ADIT, Line 15</t>
  </si>
  <si>
    <t>14-IncentivePlant, L 12, C2</t>
  </si>
  <si>
    <t>22-NUCs, Line 7</t>
  </si>
  <si>
    <t>34-UnfundedReserves, Line 7</t>
  </si>
  <si>
    <t>23-RegAssets, Line 15</t>
  </si>
  <si>
    <t>15-IncentiveAdder L 20</t>
  </si>
  <si>
    <t>28-FFU, L 5</t>
  </si>
  <si>
    <t>1-Base TRR L 58</t>
  </si>
  <si>
    <t>1-Base TRR L 62</t>
  </si>
  <si>
    <t>1-Base TRR L 64</t>
  </si>
  <si>
    <t>1-Base TRR L 74</t>
  </si>
  <si>
    <t>1-Base TRR L 49</t>
  </si>
  <si>
    <t>1-Base TRR L 50</t>
  </si>
  <si>
    <t>1-Base TRR L 46 * Line d</t>
  </si>
  <si>
    <t>14-IncentivePlant, L 13, C2</t>
  </si>
  <si>
    <t>22-NUCs, Line 9</t>
  </si>
  <si>
    <t>35-PBOPs L 14</t>
  </si>
  <si>
    <t>27-Allocators, Line 9</t>
  </si>
  <si>
    <t>27-Allocators, Line 22</t>
  </si>
  <si>
    <t>9-ADIT-1, Line 15</t>
  </si>
  <si>
    <t>Negative of 35-Other Formula Revenue, L 80</t>
  </si>
  <si>
    <t>In preparing the TO2024 Draft Annual Update, SCE discovered that it had outside counsel expenses related to employment litigation or arbitration matters that were subsequently resolved by the Company which were not excluded.  The amount of expenses were overstated by $395,774, which should have been excluded in 2019.  As such, SCE is including an additional TO2021 A&amp;G exclusion of $395,774 to remove these additional expenses.  SCE has incorporated this correction that changes the TO2021 A&amp;G exclusions and the impact of this change is a decrease in the 2019 True Up TRR of $26,614.**</t>
  </si>
  <si>
    <t>In the TO2022 Annual Update the FERC Uncollectible expense was $13,789,000 for calendar year 2020.  To hold this value constant, SCE has incorporated an additional increase in the 2020 True Up TRR of $351.</t>
  </si>
  <si>
    <t>In the TO2023 Annual Update the FERC Uncollectible expense was $11,953,557 for calendar year 2021.  To hold this value constant, SCE has incorporated an additional increase in the 2021 True Up TRR of $212.</t>
  </si>
  <si>
    <t>Total One-Time Adjustment for 2021 Reflected in the June TO2024 Draft Annual Update Posting</t>
  </si>
  <si>
    <t>**  In accordance with the Formula Rate Protocols, the True Up TRR for calendar year 2019 was determined using a weighted average of the True Up TRRs calculated pursuant to the formula rates in effect in 2019, which was SCE’s TO2018 Formula Rate from January 1, 2019 through November 11, 2019, and the TO2019A Formula Rate from November 12, 2019 through December 31,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</si>
</sst>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
    <numFmt numFmtId="174" formatCode="0.0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z val="10"/>
      <name val="Arial"/>
      <family val="2"/>
    </font>
    <font>
      <sz val="10"/>
      <name val="Calibri"/>
      <family val="2"/>
      <scheme val="minor"/>
    </font>
    <font>
      <b/>
      <sz val="11"/>
      <name val="Calibri"/>
      <family val="2"/>
      <scheme val="minor"/>
    </font>
    <font>
      <b/>
      <u/>
      <sz val="11"/>
      <name val="Calibri"/>
      <family val="2"/>
      <scheme val="minor"/>
    </font>
    <font>
      <b/>
      <u/>
      <sz val="11"/>
      <color theme="1"/>
      <name val="Calibri"/>
      <family val="2"/>
      <scheme val="minor"/>
    </font>
    <font>
      <strike/>
      <sz val="10"/>
      <color rgb="FFFF0000"/>
      <name val="Arial"/>
      <family val="2"/>
    </font>
    <font>
      <strike/>
      <sz val="10"/>
      <name val="Arial"/>
      <family val="2"/>
    </font>
    <font>
      <b/>
      <sz val="9"/>
      <color indexed="81"/>
      <name val="Tahoma"/>
      <family val="2"/>
    </font>
    <font>
      <sz val="8"/>
      <name val="Arial"/>
      <family val="2"/>
    </font>
    <font>
      <u/>
      <sz val="11"/>
      <color theme="1"/>
      <name val="Calibri"/>
      <family val="2"/>
      <scheme val="minor"/>
    </font>
    <font>
      <sz val="10"/>
      <color rgb="FF000000"/>
      <name val="Arial"/>
      <family val="2"/>
    </font>
    <font>
      <b/>
      <u/>
      <sz val="10"/>
      <color rgb="FFFF0000"/>
      <name val="Arial"/>
      <family val="2"/>
    </font>
    <font>
      <sz val="10"/>
      <color rgb="FF00B050"/>
      <name val="Arial"/>
      <family val="2"/>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rgb="FFCCFFCC"/>
        <bgColor indexed="64"/>
      </patternFill>
    </fill>
    <fill>
      <patternFill patternType="solid">
        <fgColor rgb="FFCCECFF"/>
        <bgColor indexed="64"/>
      </patternFill>
    </fill>
    <fill>
      <patternFill patternType="solid">
        <fgColor indexed="13"/>
        <bgColor indexed="64"/>
      </patternFill>
    </fill>
  </fills>
  <borders count="32">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style="thin">
        <color indexed="64"/>
      </left>
      <right/>
      <top style="thin">
        <color theme="1"/>
      </top>
      <bottom/>
      <diagonal/>
    </border>
    <border>
      <left/>
      <right/>
      <top style="thin">
        <color theme="1"/>
      </top>
      <bottom style="thin">
        <color theme="1"/>
      </bottom>
      <diagonal/>
    </border>
    <border>
      <left style="medium">
        <color rgb="FFFF0000"/>
      </left>
      <right style="medium">
        <color rgb="FFFF0000"/>
      </right>
      <top style="medium">
        <color rgb="FFFF0000"/>
      </top>
      <bottom style="medium">
        <color rgb="FFFF0000"/>
      </bottom>
      <diagonal/>
    </border>
    <border>
      <left style="thin">
        <color theme="1"/>
      </left>
      <right/>
      <top style="thin">
        <color theme="1"/>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233">
    <xf numFmtId="0" fontId="0" fillId="0" borderId="0"/>
    <xf numFmtId="0" fontId="31" fillId="8" borderId="0" applyNumberFormat="0" applyBorder="0" applyAlignment="0" applyProtection="0"/>
    <xf numFmtId="0" fontId="31" fillId="9" borderId="0" applyNumberFormat="0" applyBorder="0" applyAlignment="0" applyProtection="0"/>
    <xf numFmtId="0" fontId="32" fillId="10"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18"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2" fillId="18"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2" fillId="9" borderId="0" applyNumberFormat="0" applyBorder="0" applyAlignment="0" applyProtection="0"/>
    <xf numFmtId="0" fontId="31" fillId="20" borderId="0" applyNumberFormat="0" applyBorder="0" applyAlignment="0" applyProtection="0"/>
    <xf numFmtId="0" fontId="31" fillId="13" borderId="0" applyNumberFormat="0" applyBorder="0" applyAlignment="0" applyProtection="0"/>
    <xf numFmtId="0" fontId="32" fillId="21" borderId="0" applyNumberFormat="0" applyBorder="0" applyAlignment="0" applyProtection="0"/>
    <xf numFmtId="43" fontId="29" fillId="0" borderId="0" applyFont="0" applyFill="0" applyBorder="0" applyAlignment="0" applyProtection="0"/>
    <xf numFmtId="43" fontId="29" fillId="0" borderId="0" applyFont="0" applyFill="0" applyBorder="0" applyAlignment="0" applyProtection="0"/>
    <xf numFmtId="165" fontId="29" fillId="0" borderId="0" applyFont="0" applyFill="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29" fillId="0" borderId="0"/>
    <xf numFmtId="0" fontId="29" fillId="0" borderId="0"/>
    <xf numFmtId="0" fontId="29" fillId="0" borderId="0"/>
    <xf numFmtId="0" fontId="29" fillId="0" borderId="0"/>
    <xf numFmtId="0" fontId="29" fillId="0" borderId="0"/>
    <xf numFmtId="0" fontId="29" fillId="0" borderId="0"/>
    <xf numFmtId="9" fontId="37" fillId="0" borderId="0" applyFont="0" applyFill="0" applyBorder="0" applyAlignment="0" applyProtection="0"/>
    <xf numFmtId="9" fontId="29" fillId="0" borderId="0" applyFont="0" applyFill="0" applyBorder="0" applyAlignment="0" applyProtection="0"/>
    <xf numFmtId="4" fontId="36" fillId="25" borderId="1" applyNumberFormat="0" applyProtection="0">
      <alignment vertical="center"/>
    </xf>
    <xf numFmtId="4" fontId="38" fillId="25" borderId="1" applyNumberFormat="0" applyProtection="0">
      <alignment vertical="center"/>
    </xf>
    <xf numFmtId="4" fontId="36" fillId="25" borderId="1" applyNumberFormat="0" applyProtection="0">
      <alignment horizontal="left" vertical="center" indent="1"/>
    </xf>
    <xf numFmtId="0" fontId="36" fillId="25" borderId="1" applyNumberFormat="0" applyProtection="0">
      <alignment horizontal="left" vertical="top" indent="1"/>
    </xf>
    <xf numFmtId="4" fontId="36" fillId="27" borderId="0" applyNumberFormat="0" applyProtection="0">
      <alignment horizontal="left" vertical="center" indent="1"/>
    </xf>
    <xf numFmtId="4" fontId="34" fillId="2" borderId="1" applyNumberFormat="0" applyProtection="0">
      <alignment horizontal="right" vertical="center"/>
    </xf>
    <xf numFmtId="4" fontId="34" fillId="4" borderId="1" applyNumberFormat="0" applyProtection="0">
      <alignment horizontal="right" vertical="center"/>
    </xf>
    <xf numFmtId="4" fontId="34" fillId="11" borderId="1" applyNumberFormat="0" applyProtection="0">
      <alignment horizontal="right" vertical="center"/>
    </xf>
    <xf numFmtId="4" fontId="34" fillId="6" borderId="1" applyNumberFormat="0" applyProtection="0">
      <alignment horizontal="right" vertical="center"/>
    </xf>
    <xf numFmtId="4" fontId="34" fillId="7" borderId="1" applyNumberFormat="0" applyProtection="0">
      <alignment horizontal="right" vertical="center"/>
    </xf>
    <xf numFmtId="4" fontId="34" fillId="19" borderId="1" applyNumberFormat="0" applyProtection="0">
      <alignment horizontal="right" vertical="center"/>
    </xf>
    <xf numFmtId="4" fontId="34" fillId="15" borderId="1" applyNumberFormat="0" applyProtection="0">
      <alignment horizontal="right" vertical="center"/>
    </xf>
    <xf numFmtId="4" fontId="34" fillId="28" borderId="1" applyNumberFormat="0" applyProtection="0">
      <alignment horizontal="right" vertical="center"/>
    </xf>
    <xf numFmtId="4" fontId="34" fillId="5" borderId="1" applyNumberFormat="0" applyProtection="0">
      <alignment horizontal="right" vertical="center"/>
    </xf>
    <xf numFmtId="4" fontId="36" fillId="29" borderId="2" applyNumberFormat="0" applyProtection="0">
      <alignment horizontal="left" vertical="center" indent="1"/>
    </xf>
    <xf numFmtId="4" fontId="34" fillId="30" borderId="0" applyNumberFormat="0" applyProtection="0">
      <alignment horizontal="left" vertical="center" indent="1"/>
    </xf>
    <xf numFmtId="4" fontId="39" fillId="31" borderId="0" applyNumberFormat="0" applyProtection="0">
      <alignment horizontal="left" vertical="center" indent="1"/>
    </xf>
    <xf numFmtId="4" fontId="34" fillId="27" borderId="1" applyNumberFormat="0" applyProtection="0">
      <alignment horizontal="right" vertical="center"/>
    </xf>
    <xf numFmtId="4" fontId="34" fillId="30" borderId="0" applyNumberFormat="0" applyProtection="0">
      <alignment horizontal="left" vertical="center" indent="1"/>
    </xf>
    <xf numFmtId="4" fontId="34" fillId="27" borderId="0" applyNumberFormat="0" applyProtection="0">
      <alignment horizontal="left" vertical="center" indent="1"/>
    </xf>
    <xf numFmtId="0" fontId="29" fillId="31" borderId="1" applyNumberFormat="0" applyProtection="0">
      <alignment horizontal="left" vertical="center" indent="1"/>
    </xf>
    <xf numFmtId="0" fontId="29" fillId="31" borderId="1" applyNumberFormat="0" applyProtection="0">
      <alignment horizontal="left" vertical="top" indent="1"/>
    </xf>
    <xf numFmtId="0" fontId="29" fillId="27" borderId="1" applyNumberFormat="0" applyProtection="0">
      <alignment horizontal="left" vertical="center" indent="1"/>
    </xf>
    <xf numFmtId="0" fontId="29" fillId="27" borderId="1" applyNumberFormat="0" applyProtection="0">
      <alignment horizontal="left" vertical="top" indent="1"/>
    </xf>
    <xf numFmtId="0" fontId="29" fillId="3" borderId="1" applyNumberFormat="0" applyProtection="0">
      <alignment horizontal="left" vertical="center" indent="1"/>
    </xf>
    <xf numFmtId="0" fontId="29" fillId="3" borderId="1" applyNumberFormat="0" applyProtection="0">
      <alignment horizontal="left" vertical="top" indent="1"/>
    </xf>
    <xf numFmtId="0" fontId="29" fillId="30" borderId="1" applyNumberFormat="0" applyProtection="0">
      <alignment horizontal="left" vertical="center" indent="1"/>
    </xf>
    <xf numFmtId="0" fontId="29" fillId="30" borderId="1" applyNumberFormat="0" applyProtection="0">
      <alignment horizontal="left" vertical="top" indent="1"/>
    </xf>
    <xf numFmtId="0" fontId="29" fillId="32" borderId="3" applyNumberFormat="0">
      <protection locked="0"/>
    </xf>
    <xf numFmtId="4" fontId="34" fillId="26" borderId="1" applyNumberFormat="0" applyProtection="0">
      <alignment vertical="center"/>
    </xf>
    <xf numFmtId="4" fontId="40" fillId="26" borderId="1" applyNumberFormat="0" applyProtection="0">
      <alignment vertical="center"/>
    </xf>
    <xf numFmtId="4" fontId="34" fillId="26" borderId="1" applyNumberFormat="0" applyProtection="0">
      <alignment horizontal="left" vertical="center" indent="1"/>
    </xf>
    <xf numFmtId="0" fontId="34" fillId="26" borderId="1" applyNumberFormat="0" applyProtection="0">
      <alignment horizontal="left" vertical="top" indent="1"/>
    </xf>
    <xf numFmtId="4" fontId="34" fillId="30" borderId="1" applyNumberFormat="0" applyProtection="0">
      <alignment horizontal="right" vertical="center"/>
    </xf>
    <xf numFmtId="4" fontId="40" fillId="30" borderId="1" applyNumberFormat="0" applyProtection="0">
      <alignment horizontal="right" vertical="center"/>
    </xf>
    <xf numFmtId="4" fontId="34" fillId="27" borderId="1" applyNumberFormat="0" applyProtection="0">
      <alignment horizontal="left" vertical="center" indent="1"/>
    </xf>
    <xf numFmtId="0" fontId="34" fillId="27" borderId="1" applyNumberFormat="0" applyProtection="0">
      <alignment horizontal="left" vertical="top" indent="1"/>
    </xf>
    <xf numFmtId="4" fontId="41" fillId="33" borderId="0" applyNumberFormat="0" applyProtection="0">
      <alignment horizontal="left" vertical="center" indent="1"/>
    </xf>
    <xf numFmtId="4" fontId="35" fillId="30" borderId="1" applyNumberFormat="0" applyProtection="0">
      <alignment horizontal="right" vertical="center"/>
    </xf>
    <xf numFmtId="0" fontId="42" fillId="0" borderId="0" applyNumberFormat="0" applyFill="0" applyBorder="0" applyAlignment="0" applyProtection="0"/>
    <xf numFmtId="0" fontId="27" fillId="0" borderId="0"/>
    <xf numFmtId="0" fontId="26" fillId="0" borderId="0"/>
    <xf numFmtId="0" fontId="26" fillId="0" borderId="0"/>
    <xf numFmtId="165" fontId="27" fillId="0" borderId="0" applyFont="0" applyFill="0" applyBorder="0" applyAlignment="0" applyProtection="0"/>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0" fontId="45"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44"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0" fontId="25" fillId="0" borderId="0"/>
    <xf numFmtId="0" fontId="25" fillId="0" borderId="0"/>
    <xf numFmtId="0" fontId="24" fillId="0" borderId="0"/>
    <xf numFmtId="0" fontId="24"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7" fillId="0" borderId="0"/>
    <xf numFmtId="0" fontId="27" fillId="0" borderId="0"/>
    <xf numFmtId="0" fontId="27" fillId="0" borderId="0"/>
    <xf numFmtId="0" fontId="37" fillId="0" borderId="0"/>
    <xf numFmtId="0" fontId="37" fillId="0" borderId="0"/>
    <xf numFmtId="0" fontId="37" fillId="0" borderId="0"/>
    <xf numFmtId="0" fontId="37" fillId="0" borderId="0"/>
    <xf numFmtId="0" fontId="37" fillId="0" borderId="0"/>
    <xf numFmtId="43" fontId="44" fillId="0" borderId="0" applyFont="0" applyFill="0" applyBorder="0" applyAlignment="0" applyProtection="0"/>
    <xf numFmtId="9" fontId="27" fillId="0" borderId="0" applyFont="0" applyFill="0" applyBorder="0" applyAlignment="0" applyProtection="0"/>
    <xf numFmtId="0" fontId="27" fillId="0" borderId="0"/>
    <xf numFmtId="0" fontId="20" fillId="0" borderId="0"/>
    <xf numFmtId="0" fontId="20" fillId="0" borderId="0"/>
    <xf numFmtId="0" fontId="20" fillId="0" borderId="0"/>
    <xf numFmtId="43" fontId="27" fillId="0" borderId="0" applyFont="0" applyFill="0" applyBorder="0" applyAlignment="0" applyProtection="0"/>
    <xf numFmtId="44" fontId="27" fillId="0" borderId="0" applyFont="0" applyFill="0" applyBorder="0" applyAlignment="0" applyProtection="0"/>
    <xf numFmtId="9" fontId="27" fillId="0" borderId="0" applyFon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9" fontId="19" fillId="0" borderId="0" applyFont="0" applyFill="0" applyBorder="0" applyAlignment="0" applyProtection="0"/>
    <xf numFmtId="0" fontId="18" fillId="0" borderId="0"/>
    <xf numFmtId="43" fontId="18" fillId="0" borderId="0" applyFont="0" applyFill="0" applyBorder="0" applyAlignment="0" applyProtection="0"/>
    <xf numFmtId="9" fontId="18" fillId="0" borderId="0" applyFont="0" applyFill="0" applyBorder="0" applyAlignment="0" applyProtection="0"/>
    <xf numFmtId="4" fontId="36" fillId="29" borderId="8" applyNumberFormat="0" applyProtection="0">
      <alignment horizontal="left" vertical="center" indent="1"/>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9" fontId="17" fillId="0" borderId="0" applyFont="0" applyFill="0" applyBorder="0" applyAlignment="0" applyProtection="0"/>
    <xf numFmtId="0" fontId="17" fillId="0" borderId="0"/>
    <xf numFmtId="43" fontId="17" fillId="0" borderId="0" applyFont="0" applyFill="0" applyBorder="0" applyAlignment="0" applyProtection="0"/>
    <xf numFmtId="9" fontId="17" fillId="0" borderId="0" applyFont="0" applyFill="0" applyBorder="0" applyAlignment="0" applyProtection="0"/>
    <xf numFmtId="0" fontId="16" fillId="0" borderId="0"/>
    <xf numFmtId="0" fontId="16" fillId="0" borderId="0"/>
    <xf numFmtId="0" fontId="46" fillId="0" borderId="0"/>
    <xf numFmtId="43" fontId="27" fillId="0" borderId="0" applyFont="0" applyFill="0" applyBorder="0" applyAlignment="0" applyProtection="0"/>
    <xf numFmtId="43" fontId="49" fillId="0" borderId="0" applyFont="0" applyFill="0" applyBorder="0" applyAlignment="0" applyProtection="0"/>
    <xf numFmtId="0" fontId="15" fillId="0" borderId="0"/>
    <xf numFmtId="43" fontId="15" fillId="0" borderId="0" applyFont="0" applyFill="0" applyBorder="0" applyAlignment="0" applyProtection="0"/>
    <xf numFmtId="0" fontId="15" fillId="0" borderId="0"/>
    <xf numFmtId="0" fontId="15" fillId="0" borderId="0"/>
    <xf numFmtId="44" fontId="56" fillId="0" borderId="0" applyFont="0" applyFill="0" applyBorder="0" applyAlignment="0" applyProtection="0"/>
    <xf numFmtId="0" fontId="14" fillId="0" borderId="0"/>
    <xf numFmtId="9" fontId="14" fillId="0" borderId="0" applyFont="0" applyFill="0" applyBorder="0" applyAlignment="0" applyProtection="0"/>
    <xf numFmtId="43" fontId="14" fillId="0" borderId="0" applyFont="0" applyFill="0" applyBorder="0" applyAlignment="0" applyProtection="0"/>
    <xf numFmtId="44" fontId="27" fillId="0" borderId="0" applyFont="0" applyFill="0" applyBorder="0" applyAlignment="0" applyProtection="0"/>
    <xf numFmtId="0" fontId="13" fillId="0" borderId="0"/>
    <xf numFmtId="0" fontId="13" fillId="0" borderId="0"/>
    <xf numFmtId="0" fontId="12" fillId="0" borderId="0"/>
    <xf numFmtId="43" fontId="12"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43" fontId="10" fillId="0" borderId="0" applyFont="0" applyFill="0" applyBorder="0" applyAlignment="0" applyProtection="0"/>
    <xf numFmtId="9" fontId="64" fillId="0" borderId="0" applyFont="0" applyFill="0" applyBorder="0" applyAlignment="0" applyProtection="0"/>
    <xf numFmtId="0" fontId="6" fillId="0" borderId="0"/>
    <xf numFmtId="0" fontId="6" fillId="0" borderId="0"/>
    <xf numFmtId="44" fontId="6" fillId="0" borderId="0" applyFont="0" applyFill="0" applyBorder="0" applyAlignment="0" applyProtection="0"/>
  </cellStyleXfs>
  <cellXfs count="380">
    <xf numFmtId="0" fontId="0" fillId="0" borderId="0" xfId="0"/>
    <xf numFmtId="0" fontId="18" fillId="0" borderId="0" xfId="157"/>
    <xf numFmtId="0" fontId="43" fillId="0" borderId="0" xfId="157" applyFont="1" applyAlignment="1">
      <alignment horizontal="center"/>
    </xf>
    <xf numFmtId="0" fontId="43" fillId="0" borderId="0" xfId="157" applyFont="1"/>
    <xf numFmtId="0" fontId="28" fillId="0" borderId="0" xfId="157" applyFont="1" applyAlignment="1">
      <alignment horizontal="center"/>
    </xf>
    <xf numFmtId="0" fontId="18" fillId="0" borderId="0" xfId="157" quotePrefix="1"/>
    <xf numFmtId="164" fontId="18" fillId="0" borderId="0" xfId="157" applyNumberFormat="1"/>
    <xf numFmtId="0" fontId="18" fillId="0" borderId="0" xfId="157" applyAlignment="1">
      <alignment horizontal="right"/>
    </xf>
    <xf numFmtId="164" fontId="18" fillId="0" borderId="0" xfId="157" applyNumberFormat="1" applyFont="1"/>
    <xf numFmtId="166" fontId="18" fillId="0" borderId="0" xfId="211" applyNumberFormat="1" applyFont="1"/>
    <xf numFmtId="0" fontId="57" fillId="35" borderId="0" xfId="209" applyFont="1" applyFill="1" applyBorder="1" applyAlignment="1">
      <alignment horizontal="left" vertical="top"/>
    </xf>
    <xf numFmtId="0" fontId="57" fillId="35" borderId="0" xfId="209" applyFont="1" applyFill="1" applyBorder="1" applyAlignment="1">
      <alignment horizontal="left" vertical="top" wrapText="1"/>
    </xf>
    <xf numFmtId="0" fontId="57" fillId="35" borderId="0" xfId="209" applyFont="1" applyFill="1" applyBorder="1" applyAlignment="1">
      <alignment horizontal="center" vertical="center"/>
    </xf>
    <xf numFmtId="171" fontId="57" fillId="0" borderId="0" xfId="216" applyNumberFormat="1" applyFont="1" applyFill="1" applyBorder="1" applyAlignment="1">
      <alignment horizontal="left" vertical="center"/>
    </xf>
    <xf numFmtId="164" fontId="27" fillId="0" borderId="0" xfId="157" applyNumberFormat="1" applyFont="1" applyFill="1" applyBorder="1" applyAlignment="1">
      <alignment horizontal="center" vertical="center"/>
    </xf>
    <xf numFmtId="0" fontId="18" fillId="0" borderId="0" xfId="157" applyFill="1"/>
    <xf numFmtId="0" fontId="57" fillId="0" borderId="0" xfId="209" applyFont="1" applyFill="1" applyBorder="1" applyAlignment="1">
      <alignment horizontal="left" vertical="top"/>
    </xf>
    <xf numFmtId="0" fontId="57" fillId="0" borderId="0" xfId="209" applyFont="1" applyFill="1" applyBorder="1" applyAlignment="1">
      <alignment horizontal="center" vertical="center"/>
    </xf>
    <xf numFmtId="0" fontId="48" fillId="0" borderId="0" xfId="209" quotePrefix="1" applyFont="1" applyFill="1" applyBorder="1" applyAlignment="1">
      <alignment horizontal="right" vertical="top"/>
    </xf>
    <xf numFmtId="0" fontId="48" fillId="0" borderId="0" xfId="209" applyFont="1" applyFill="1" applyBorder="1" applyAlignment="1">
      <alignment vertical="top" wrapText="1"/>
    </xf>
    <xf numFmtId="0" fontId="58" fillId="0" borderId="0" xfId="209" applyFont="1" applyFill="1" applyBorder="1" applyAlignment="1">
      <alignment horizontal="center" vertical="center" wrapText="1"/>
    </xf>
    <xf numFmtId="164" fontId="28" fillId="0" borderId="0" xfId="157" applyNumberFormat="1" applyFont="1" applyFill="1" applyBorder="1" applyAlignment="1">
      <alignment horizontal="center" vertical="center"/>
    </xf>
    <xf numFmtId="0" fontId="58" fillId="0" borderId="0" xfId="209" quotePrefix="1" applyFont="1" applyFill="1" applyBorder="1" applyAlignment="1">
      <alignment horizontal="center" vertical="center" wrapText="1"/>
    </xf>
    <xf numFmtId="0" fontId="57" fillId="0" borderId="10" xfId="209" applyFont="1" applyFill="1" applyBorder="1" applyAlignment="1">
      <alignment horizontal="left" vertical="top"/>
    </xf>
    <xf numFmtId="0" fontId="58" fillId="0" borderId="10" xfId="209" applyFont="1" applyFill="1" applyBorder="1" applyAlignment="1">
      <alignment horizontal="center" vertical="center"/>
    </xf>
    <xf numFmtId="0" fontId="57" fillId="0" borderId="0" xfId="209" applyFont="1" applyFill="1" applyBorder="1" applyAlignment="1">
      <alignment horizontal="left" vertical="top" wrapText="1"/>
    </xf>
    <xf numFmtId="0" fontId="48" fillId="0" borderId="0" xfId="209" applyFont="1" applyFill="1" applyBorder="1" applyAlignment="1">
      <alignment horizontal="left" vertical="top"/>
    </xf>
    <xf numFmtId="0" fontId="57" fillId="0" borderId="0" xfId="209" applyFont="1" applyFill="1" applyBorder="1" applyAlignment="1">
      <alignment horizontal="center" vertical="center" wrapText="1"/>
    </xf>
    <xf numFmtId="164" fontId="57" fillId="35" borderId="0" xfId="209" applyNumberFormat="1" applyFont="1" applyFill="1" applyBorder="1" applyAlignment="1">
      <alignment horizontal="left" vertical="top"/>
    </xf>
    <xf numFmtId="0" fontId="11" fillId="0" borderId="0" xfId="225" applyFont="1"/>
    <xf numFmtId="0" fontId="11" fillId="0" borderId="0" xfId="225" applyFont="1" applyFill="1"/>
    <xf numFmtId="166" fontId="11" fillId="0" borderId="23" xfId="225" applyNumberFormat="1" applyFont="1" applyFill="1" applyBorder="1"/>
    <xf numFmtId="0" fontId="28" fillId="0" borderId="0" xfId="118" applyFont="1"/>
    <xf numFmtId="0" fontId="27" fillId="0" borderId="0" xfId="118"/>
    <xf numFmtId="0" fontId="28" fillId="0" borderId="0" xfId="118" applyFont="1" applyAlignment="1">
      <alignment horizontal="left"/>
    </xf>
    <xf numFmtId="0" fontId="28" fillId="0" borderId="0" xfId="118" applyFont="1" applyAlignment="1">
      <alignment horizontal="left" indent="1"/>
    </xf>
    <xf numFmtId="0" fontId="28" fillId="0" borderId="0" xfId="118" applyFont="1" applyAlignment="1">
      <alignment horizontal="center"/>
    </xf>
    <xf numFmtId="0" fontId="30" fillId="0" borderId="0" xfId="118" applyFont="1" applyAlignment="1">
      <alignment horizontal="left"/>
    </xf>
    <xf numFmtId="0" fontId="27" fillId="0" borderId="0" xfId="118" applyAlignment="1">
      <alignment horizontal="left" indent="1"/>
    </xf>
    <xf numFmtId="0" fontId="30" fillId="0" borderId="0" xfId="118" applyFont="1"/>
    <xf numFmtId="0" fontId="30" fillId="0" borderId="0" xfId="118" applyFont="1" applyAlignment="1">
      <alignment horizontal="center"/>
    </xf>
    <xf numFmtId="0" fontId="27" fillId="0" borderId="0" xfId="118" applyAlignment="1">
      <alignment horizontal="left"/>
    </xf>
    <xf numFmtId="164" fontId="27" fillId="0" borderId="0" xfId="118" applyNumberFormat="1"/>
    <xf numFmtId="0" fontId="52" fillId="0" borderId="0" xfId="118" applyFont="1"/>
    <xf numFmtId="164" fontId="52" fillId="36" borderId="0" xfId="118" applyNumberFormat="1" applyFont="1" applyFill="1"/>
    <xf numFmtId="164" fontId="27" fillId="36" borderId="0" xfId="118" applyNumberFormat="1" applyFill="1"/>
    <xf numFmtId="0" fontId="52" fillId="0" borderId="0" xfId="118" applyFont="1" applyAlignment="1">
      <alignment horizontal="left"/>
    </xf>
    <xf numFmtId="0" fontId="28" fillId="0" borderId="0" xfId="93" applyFont="1" applyAlignment="1">
      <alignment horizontal="left"/>
    </xf>
    <xf numFmtId="164" fontId="52" fillId="0" borderId="0" xfId="118" applyNumberFormat="1" applyFont="1"/>
    <xf numFmtId="0" fontId="27" fillId="0" borderId="0" xfId="93" applyAlignment="1">
      <alignment horizontal="left" indent="1"/>
    </xf>
    <xf numFmtId="167" fontId="27" fillId="0" borderId="0" xfId="118" applyNumberFormat="1"/>
    <xf numFmtId="0" fontId="27" fillId="0" borderId="0" xfId="101"/>
    <xf numFmtId="0" fontId="27" fillId="0" borderId="0" xfId="118" applyAlignment="1">
      <alignment horizontal="right"/>
    </xf>
    <xf numFmtId="0" fontId="28" fillId="36" borderId="15" xfId="118" applyFont="1" applyFill="1" applyBorder="1" applyAlignment="1">
      <alignment horizontal="center"/>
    </xf>
    <xf numFmtId="168" fontId="27" fillId="0" borderId="0" xfId="118" applyNumberFormat="1"/>
    <xf numFmtId="0" fontId="28" fillId="36" borderId="16" xfId="118" applyFont="1" applyFill="1" applyBorder="1" applyAlignment="1">
      <alignment horizontal="center"/>
    </xf>
    <xf numFmtId="164" fontId="27" fillId="36" borderId="16" xfId="118" applyNumberFormat="1" applyFill="1" applyBorder="1"/>
    <xf numFmtId="169" fontId="52" fillId="36" borderId="16" xfId="118" applyNumberFormat="1" applyFont="1" applyFill="1" applyBorder="1"/>
    <xf numFmtId="164" fontId="44" fillId="36" borderId="17" xfId="118" applyNumberFormat="1" applyFont="1" applyFill="1" applyBorder="1"/>
    <xf numFmtId="0" fontId="27" fillId="0" borderId="0" xfId="93"/>
    <xf numFmtId="0" fontId="28" fillId="0" borderId="0" xfId="118" quotePrefix="1" applyFont="1" applyAlignment="1">
      <alignment horizontal="center"/>
    </xf>
    <xf numFmtId="10" fontId="27" fillId="0" borderId="0" xfId="118" applyNumberFormat="1"/>
    <xf numFmtId="0" fontId="27" fillId="34" borderId="0" xfId="118" applyFill="1"/>
    <xf numFmtId="10" fontId="27" fillId="0" borderId="0" xfId="118" quotePrefix="1" applyNumberFormat="1" applyAlignment="1">
      <alignment horizontal="right"/>
    </xf>
    <xf numFmtId="0" fontId="27" fillId="0" borderId="0" xfId="118" quotePrefix="1" applyAlignment="1">
      <alignment horizontal="center"/>
    </xf>
    <xf numFmtId="167" fontId="52" fillId="0" borderId="0" xfId="118" applyNumberFormat="1" applyFont="1"/>
    <xf numFmtId="0" fontId="27" fillId="0" borderId="0" xfId="118" applyAlignment="1">
      <alignment horizontal="center"/>
    </xf>
    <xf numFmtId="3" fontId="27" fillId="0" borderId="0" xfId="118" applyNumberFormat="1" applyAlignment="1">
      <alignment horizontal="center"/>
    </xf>
    <xf numFmtId="0" fontId="27" fillId="0" borderId="0" xfId="93" applyAlignment="1">
      <alignment horizontal="left"/>
    </xf>
    <xf numFmtId="1" fontId="27" fillId="0" borderId="0" xfId="93" applyNumberFormat="1" applyAlignment="1">
      <alignment horizontal="center"/>
    </xf>
    <xf numFmtId="0" fontId="30" fillId="0" borderId="0" xfId="93" applyFont="1" applyAlignment="1">
      <alignment horizontal="center"/>
    </xf>
    <xf numFmtId="0" fontId="27" fillId="0" borderId="0" xfId="93" applyAlignment="1">
      <alignment horizontal="right"/>
    </xf>
    <xf numFmtId="0" fontId="30" fillId="0" borderId="0" xfId="118" quotePrefix="1" applyFont="1" applyAlignment="1">
      <alignment horizontal="center"/>
    </xf>
    <xf numFmtId="170" fontId="27" fillId="0" borderId="0" xfId="118" applyNumberFormat="1"/>
    <xf numFmtId="1" fontId="27" fillId="0" borderId="0" xfId="93" applyNumberFormat="1" applyAlignment="1">
      <alignment horizontal="right"/>
    </xf>
    <xf numFmtId="170" fontId="27" fillId="0" borderId="0" xfId="118" applyNumberFormat="1" applyAlignment="1">
      <alignment horizontal="left" indent="1"/>
    </xf>
    <xf numFmtId="167" fontId="53" fillId="0" borderId="0" xfId="118" applyNumberFormat="1" applyFont="1"/>
    <xf numFmtId="167" fontId="54" fillId="0" borderId="0" xfId="118" applyNumberFormat="1" applyFont="1"/>
    <xf numFmtId="172" fontId="27" fillId="34" borderId="0" xfId="118" quotePrefix="1" applyNumberFormat="1" applyFill="1" applyAlignment="1">
      <alignment horizontal="center"/>
    </xf>
    <xf numFmtId="0" fontId="27" fillId="0" borderId="25" xfId="118" applyBorder="1" applyAlignment="1">
      <alignment wrapText="1"/>
    </xf>
    <xf numFmtId="0" fontId="27" fillId="0" borderId="0" xfId="118" applyAlignment="1">
      <alignment wrapText="1"/>
    </xf>
    <xf numFmtId="0" fontId="10" fillId="0" borderId="0" xfId="227"/>
    <xf numFmtId="164" fontId="9" fillId="0" borderId="3" xfId="225" applyNumberFormat="1" applyFont="1" applyBorder="1" applyAlignment="1">
      <alignment horizontal="center" wrapText="1"/>
    </xf>
    <xf numFmtId="0" fontId="9" fillId="0" borderId="0" xfId="227" applyFont="1"/>
    <xf numFmtId="173" fontId="59" fillId="0" borderId="3" xfId="229" applyNumberFormat="1" applyFont="1" applyBorder="1" applyAlignment="1">
      <alignment horizontal="center" wrapText="1"/>
    </xf>
    <xf numFmtId="0" fontId="43" fillId="39" borderId="3" xfId="225" applyFont="1" applyFill="1" applyBorder="1" applyAlignment="1">
      <alignment horizontal="center"/>
    </xf>
    <xf numFmtId="0" fontId="43" fillId="39" borderId="3" xfId="225" applyFont="1" applyFill="1" applyBorder="1" applyAlignment="1">
      <alignment horizontal="center" wrapText="1"/>
    </xf>
    <xf numFmtId="164" fontId="43" fillId="39" borderId="3" xfId="225" applyNumberFormat="1" applyFont="1" applyFill="1" applyBorder="1" applyAlignment="1">
      <alignment horizontal="center" wrapText="1"/>
    </xf>
    <xf numFmtId="164" fontId="43" fillId="39" borderId="27" xfId="225" applyNumberFormat="1" applyFont="1" applyFill="1" applyBorder="1" applyAlignment="1">
      <alignment horizontal="center"/>
    </xf>
    <xf numFmtId="0" fontId="43" fillId="37" borderId="3" xfId="225" applyFont="1" applyFill="1" applyBorder="1" applyAlignment="1">
      <alignment horizontal="center"/>
    </xf>
    <xf numFmtId="164" fontId="27" fillId="0" borderId="0" xfId="210" applyNumberFormat="1" applyFont="1"/>
    <xf numFmtId="164" fontId="0" fillId="0" borderId="0" xfId="210" applyNumberFormat="1" applyFont="1"/>
    <xf numFmtId="0" fontId="8" fillId="0" borderId="0" xfId="157" applyFont="1"/>
    <xf numFmtId="0" fontId="8" fillId="0" borderId="12" xfId="157" applyFont="1" applyBorder="1"/>
    <xf numFmtId="0" fontId="8" fillId="0" borderId="13" xfId="157" applyFont="1" applyBorder="1"/>
    <xf numFmtId="0" fontId="8" fillId="0" borderId="0" xfId="157" applyFont="1" applyBorder="1"/>
    <xf numFmtId="0" fontId="8" fillId="0" borderId="6" xfId="157" applyFont="1" applyBorder="1"/>
    <xf numFmtId="0" fontId="8" fillId="0" borderId="6" xfId="157" applyFont="1" applyFill="1" applyBorder="1"/>
    <xf numFmtId="0" fontId="66" fillId="0" borderId="13" xfId="157" applyFont="1" applyBorder="1" applyAlignment="1">
      <alignment horizontal="center"/>
    </xf>
    <xf numFmtId="0" fontId="67" fillId="0" borderId="13" xfId="157" quotePrefix="1" applyFont="1" applyBorder="1" applyAlignment="1">
      <alignment horizontal="center"/>
    </xf>
    <xf numFmtId="0" fontId="67" fillId="0" borderId="14" xfId="157" quotePrefix="1" applyFont="1" applyBorder="1" applyAlignment="1">
      <alignment horizontal="center"/>
    </xf>
    <xf numFmtId="0" fontId="66" fillId="0" borderId="0" xfId="157" applyFont="1" applyBorder="1" applyAlignment="1">
      <alignment horizontal="center"/>
    </xf>
    <xf numFmtId="0" fontId="67" fillId="0" borderId="0" xfId="157" quotePrefix="1" applyFont="1" applyBorder="1" applyAlignment="1">
      <alignment horizontal="center"/>
    </xf>
    <xf numFmtId="0" fontId="67" fillId="0" borderId="7" xfId="157" quotePrefix="1" applyFont="1" applyBorder="1" applyAlignment="1">
      <alignment horizontal="center"/>
    </xf>
    <xf numFmtId="0" fontId="66" fillId="0" borderId="7" xfId="157" applyFont="1" applyBorder="1" applyAlignment="1">
      <alignment horizontal="center"/>
    </xf>
    <xf numFmtId="0" fontId="43" fillId="0" borderId="6" xfId="157" applyFont="1" applyBorder="1"/>
    <xf numFmtId="0" fontId="43" fillId="0" borderId="0" xfId="157" applyFont="1" applyBorder="1"/>
    <xf numFmtId="0" fontId="43" fillId="0" borderId="0" xfId="157" applyFont="1" applyBorder="1" applyAlignment="1">
      <alignment horizontal="center" vertical="top" wrapText="1"/>
    </xf>
    <xf numFmtId="0" fontId="43" fillId="0" borderId="0" xfId="157" applyFont="1" applyBorder="1" applyAlignment="1">
      <alignment horizontal="center"/>
    </xf>
    <xf numFmtId="0" fontId="68" fillId="0" borderId="6" xfId="157" applyFont="1" applyBorder="1" applyAlignment="1">
      <alignment horizontal="center" vertical="top"/>
    </xf>
    <xf numFmtId="0" fontId="68" fillId="0" borderId="0" xfId="157" applyFont="1" applyBorder="1" applyAlignment="1">
      <alignment horizontal="center" vertical="top"/>
    </xf>
    <xf numFmtId="0" fontId="67" fillId="0" borderId="0" xfId="157" applyFont="1" applyBorder="1" applyAlignment="1">
      <alignment horizontal="center" vertical="top"/>
    </xf>
    <xf numFmtId="0" fontId="67" fillId="0" borderId="7" xfId="157" applyFont="1" applyBorder="1" applyAlignment="1">
      <alignment horizontal="center" vertical="top"/>
    </xf>
    <xf numFmtId="164" fontId="8" fillId="34" borderId="0" xfId="157" applyNumberFormat="1" applyFont="1" applyFill="1" applyBorder="1"/>
    <xf numFmtId="164" fontId="8" fillId="34" borderId="6" xfId="157" applyNumberFormat="1" applyFont="1" applyFill="1" applyBorder="1"/>
    <xf numFmtId="0" fontId="48" fillId="0" borderId="0" xfId="209" applyFont="1" applyFill="1" applyBorder="1" applyAlignment="1">
      <alignment horizontal="center" vertical="top" wrapText="1"/>
    </xf>
    <xf numFmtId="0" fontId="28" fillId="0" borderId="0" xfId="93" applyFont="1" applyAlignment="1">
      <alignment horizontal="center"/>
    </xf>
    <xf numFmtId="164" fontId="27" fillId="34" borderId="0" xfId="93" applyNumberFormat="1" applyFill="1"/>
    <xf numFmtId="164" fontId="55" fillId="0" borderId="0" xfId="93" applyNumberFormat="1" applyFont="1"/>
    <xf numFmtId="164" fontId="52" fillId="34" borderId="0" xfId="93" applyNumberFormat="1" applyFont="1" applyFill="1"/>
    <xf numFmtId="0" fontId="11" fillId="0" borderId="0" xfId="225" applyFont="1" applyAlignment="1">
      <alignment vertical="top" wrapText="1"/>
    </xf>
    <xf numFmtId="0" fontId="73" fillId="0" borderId="0" xfId="225" applyFont="1"/>
    <xf numFmtId="164" fontId="52" fillId="0" borderId="0" xfId="210" applyNumberFormat="1" applyFont="1"/>
    <xf numFmtId="0" fontId="27" fillId="40" borderId="0" xfId="118" applyFill="1"/>
    <xf numFmtId="164" fontId="27" fillId="40" borderId="0" xfId="118" applyNumberFormat="1" applyFill="1"/>
    <xf numFmtId="164" fontId="52" fillId="40" borderId="0" xfId="118" applyNumberFormat="1" applyFont="1" applyFill="1"/>
    <xf numFmtId="164" fontId="27" fillId="36" borderId="0" xfId="118" applyNumberFormat="1" applyFill="1" applyAlignment="1">
      <alignment horizontal="right" indent="1"/>
    </xf>
    <xf numFmtId="164" fontId="27" fillId="34" borderId="28" xfId="118" applyNumberFormat="1" applyFill="1" applyBorder="1"/>
    <xf numFmtId="164" fontId="27" fillId="34" borderId="0" xfId="118" applyNumberFormat="1" applyFill="1"/>
    <xf numFmtId="164" fontId="27" fillId="0" borderId="0" xfId="118" applyNumberFormat="1" applyAlignment="1">
      <alignment horizontal="right" indent="1"/>
    </xf>
    <xf numFmtId="164" fontId="27" fillId="0" borderId="0" xfId="118" applyNumberFormat="1" applyAlignment="1">
      <alignment horizontal="right"/>
    </xf>
    <xf numFmtId="164" fontId="27" fillId="34" borderId="0" xfId="118" applyNumberFormat="1" applyFill="1" applyAlignment="1">
      <alignment horizontal="right"/>
    </xf>
    <xf numFmtId="164" fontId="52" fillId="34" borderId="0" xfId="118" applyNumberFormat="1" applyFont="1" applyFill="1"/>
    <xf numFmtId="0" fontId="70" fillId="0" borderId="0" xfId="118" applyFont="1"/>
    <xf numFmtId="0" fontId="27" fillId="0" borderId="0" xfId="118" applyAlignment="1">
      <alignment horizontal="left" indent="2"/>
    </xf>
    <xf numFmtId="164" fontId="43" fillId="38" borderId="3" xfId="0" applyNumberFormat="1" applyFont="1" applyFill="1" applyBorder="1" applyAlignment="1">
      <alignment horizontal="center"/>
    </xf>
    <xf numFmtId="164" fontId="59" fillId="38" borderId="0" xfId="0" applyNumberFormat="1" applyFont="1" applyFill="1" applyAlignment="1">
      <alignment horizontal="center"/>
    </xf>
    <xf numFmtId="164" fontId="59" fillId="38" borderId="26" xfId="226" applyNumberFormat="1" applyFont="1" applyFill="1" applyBorder="1" applyAlignment="1">
      <alignment horizontal="center"/>
    </xf>
    <xf numFmtId="164" fontId="59" fillId="39" borderId="0" xfId="0" applyNumberFormat="1" applyFont="1" applyFill="1" applyAlignment="1">
      <alignment horizontal="center"/>
    </xf>
    <xf numFmtId="164" fontId="59" fillId="39" borderId="3" xfId="226" applyNumberFormat="1" applyFont="1" applyFill="1" applyBorder="1" applyAlignment="1">
      <alignment horizontal="center"/>
    </xf>
    <xf numFmtId="0" fontId="73" fillId="0" borderId="0" xfId="227" applyFont="1"/>
    <xf numFmtId="0" fontId="27" fillId="37" borderId="0" xfId="118" applyFill="1"/>
    <xf numFmtId="173" fontId="27" fillId="38" borderId="0" xfId="229" applyNumberFormat="1" applyFont="1" applyFill="1"/>
    <xf numFmtId="0" fontId="27" fillId="38" borderId="0" xfId="118" applyFill="1"/>
    <xf numFmtId="164" fontId="27" fillId="37" borderId="0" xfId="118" applyNumberFormat="1" applyFill="1"/>
    <xf numFmtId="164" fontId="27" fillId="38" borderId="0" xfId="118" applyNumberFormat="1" applyFill="1"/>
    <xf numFmtId="171" fontId="58" fillId="0" borderId="0" xfId="216" applyNumberFormat="1" applyFont="1" applyFill="1" applyBorder="1" applyAlignment="1">
      <alignment horizontal="center" vertical="center" wrapText="1"/>
    </xf>
    <xf numFmtId="171" fontId="58" fillId="0" borderId="0" xfId="216" applyNumberFormat="1" applyFont="1" applyFill="1" applyBorder="1" applyAlignment="1">
      <alignment horizontal="center" vertical="center"/>
    </xf>
    <xf numFmtId="164" fontId="28" fillId="0" borderId="10" xfId="157" applyNumberFormat="1" applyFont="1" applyFill="1" applyBorder="1" applyAlignment="1">
      <alignment horizontal="center" vertical="center"/>
    </xf>
    <xf numFmtId="164" fontId="28" fillId="0" borderId="11" xfId="157" applyNumberFormat="1" applyFont="1" applyFill="1" applyBorder="1" applyAlignment="1">
      <alignment horizontal="center" vertical="center"/>
    </xf>
    <xf numFmtId="0" fontId="66" fillId="0" borderId="0" xfId="209" applyFont="1" applyFill="1" applyBorder="1" applyAlignment="1">
      <alignment vertical="top"/>
    </xf>
    <xf numFmtId="0" fontId="50" fillId="0" borderId="0" xfId="209" applyFont="1" applyFill="1" applyBorder="1" applyAlignment="1">
      <alignment vertical="top"/>
    </xf>
    <xf numFmtId="0" fontId="60" fillId="0" borderId="0" xfId="209" applyFont="1" applyFill="1" applyBorder="1" applyAlignment="1">
      <alignment horizontal="center" vertical="center"/>
    </xf>
    <xf numFmtId="0" fontId="27" fillId="0" borderId="0" xfId="118" applyFill="1"/>
    <xf numFmtId="173" fontId="27" fillId="37" borderId="0" xfId="99" applyNumberFormat="1" applyFont="1" applyFill="1"/>
    <xf numFmtId="10" fontId="44" fillId="34" borderId="0" xfId="118" applyNumberFormat="1" applyFont="1" applyFill="1" applyAlignment="1">
      <alignment horizontal="center"/>
    </xf>
    <xf numFmtId="0" fontId="27" fillId="34" borderId="0" xfId="118" applyFill="1" applyAlignment="1">
      <alignment horizontal="center"/>
    </xf>
    <xf numFmtId="0" fontId="44" fillId="34" borderId="0" xfId="118" applyFont="1" applyFill="1"/>
    <xf numFmtId="167" fontId="27" fillId="0" borderId="0" xfId="118" applyNumberFormat="1" applyAlignment="1">
      <alignment horizontal="center"/>
    </xf>
    <xf numFmtId="167" fontId="52" fillId="0" borderId="0" xfId="118" applyNumberFormat="1" applyFont="1" applyAlignment="1">
      <alignment horizontal="center"/>
    </xf>
    <xf numFmtId="0" fontId="28" fillId="0" borderId="0" xfId="118" applyFont="1" applyAlignment="1">
      <alignment horizontal="right"/>
    </xf>
    <xf numFmtId="0" fontId="27" fillId="34" borderId="0" xfId="118" applyFill="1" applyAlignment="1">
      <alignment horizontal="left" indent="1"/>
    </xf>
    <xf numFmtId="0" fontId="62" fillId="0" borderId="0" xfId="118" applyFont="1" applyAlignment="1">
      <alignment horizontal="left" indent="2"/>
    </xf>
    <xf numFmtId="0" fontId="74" fillId="0" borderId="0" xfId="118" applyFont="1"/>
    <xf numFmtId="168" fontId="0" fillId="0" borderId="0" xfId="99" applyNumberFormat="1" applyFont="1"/>
    <xf numFmtId="164" fontId="44" fillId="0" borderId="0" xfId="118" applyNumberFormat="1" applyFont="1"/>
    <xf numFmtId="0" fontId="28" fillId="0" borderId="0" xfId="0" applyFont="1"/>
    <xf numFmtId="0" fontId="0" fillId="40" borderId="0" xfId="0" applyFill="1"/>
    <xf numFmtId="0" fontId="0" fillId="34" borderId="0" xfId="0" applyFill="1"/>
    <xf numFmtId="0" fontId="0" fillId="0" borderId="0" xfId="0" applyAlignment="1">
      <alignment horizontal="center"/>
    </xf>
    <xf numFmtId="0" fontId="30" fillId="0" borderId="0" xfId="0" quotePrefix="1" applyFont="1" applyAlignment="1">
      <alignment horizontal="center"/>
    </xf>
    <xf numFmtId="0" fontId="28" fillId="0" borderId="0" xfId="0" applyFont="1" applyAlignment="1">
      <alignment horizontal="center"/>
    </xf>
    <xf numFmtId="0" fontId="30" fillId="0" borderId="0" xfId="0" applyFont="1" applyAlignment="1">
      <alignment horizontal="left"/>
    </xf>
    <xf numFmtId="0" fontId="30" fillId="0" borderId="0" xfId="0" applyFont="1" applyAlignment="1">
      <alignment horizontal="center"/>
    </xf>
    <xf numFmtId="164" fontId="0" fillId="40" borderId="0" xfId="0" applyNumberFormat="1" applyFill="1"/>
    <xf numFmtId="164" fontId="0" fillId="36" borderId="0" xfId="0" applyNumberFormat="1" applyFill="1"/>
    <xf numFmtId="0" fontId="27" fillId="0" borderId="0" xfId="0" applyFont="1"/>
    <xf numFmtId="164" fontId="0" fillId="0" borderId="0" xfId="0" applyNumberFormat="1"/>
    <xf numFmtId="164" fontId="52" fillId="40" borderId="0" xfId="0" applyNumberFormat="1" applyFont="1" applyFill="1"/>
    <xf numFmtId="164" fontId="52" fillId="36" borderId="0" xfId="0" applyNumberFormat="1" applyFont="1" applyFill="1"/>
    <xf numFmtId="0" fontId="0" fillId="0" borderId="0" xfId="0" applyAlignment="1">
      <alignment horizontal="right"/>
    </xf>
    <xf numFmtId="164" fontId="27" fillId="36" borderId="0" xfId="0" applyNumberFormat="1" applyFont="1" applyFill="1"/>
    <xf numFmtId="0" fontId="27" fillId="0" borderId="0" xfId="0" applyFont="1" applyAlignment="1">
      <alignment horizontal="right"/>
    </xf>
    <xf numFmtId="0" fontId="27" fillId="0" borderId="0" xfId="0" applyFont="1" applyAlignment="1">
      <alignment horizontal="left" indent="1"/>
    </xf>
    <xf numFmtId="164" fontId="52" fillId="0" borderId="0" xfId="0" applyNumberFormat="1" applyFont="1"/>
    <xf numFmtId="167" fontId="52" fillId="0" borderId="0" xfId="0" applyNumberFormat="1" applyFont="1"/>
    <xf numFmtId="167" fontId="0" fillId="0" borderId="0" xfId="0" applyNumberFormat="1"/>
    <xf numFmtId="0" fontId="0" fillId="0" borderId="0" xfId="0" applyAlignment="1">
      <alignment horizontal="left" indent="1"/>
    </xf>
    <xf numFmtId="0" fontId="27" fillId="34" borderId="0" xfId="0" applyFont="1" applyFill="1"/>
    <xf numFmtId="164" fontId="0" fillId="36" borderId="0" xfId="0" applyNumberFormat="1" applyFill="1" applyAlignment="1">
      <alignment horizontal="right" indent="1"/>
    </xf>
    <xf numFmtId="164" fontId="27" fillId="34" borderId="28"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7" fillId="34" borderId="0" xfId="0" applyNumberFormat="1" applyFont="1" applyFill="1"/>
    <xf numFmtId="164" fontId="27" fillId="0" borderId="0" xfId="0" applyNumberFormat="1" applyFont="1"/>
    <xf numFmtId="0" fontId="30" fillId="0" borderId="0" xfId="0" applyFont="1"/>
    <xf numFmtId="164" fontId="27" fillId="0" borderId="0" xfId="0" applyNumberFormat="1" applyFont="1" applyAlignment="1">
      <alignment horizontal="right"/>
    </xf>
    <xf numFmtId="164" fontId="27" fillId="34" borderId="0" xfId="0" applyNumberFormat="1" applyFont="1" applyFill="1" applyAlignment="1">
      <alignment horizontal="right"/>
    </xf>
    <xf numFmtId="164" fontId="52" fillId="34" borderId="0" xfId="0" applyNumberFormat="1" applyFont="1" applyFill="1"/>
    <xf numFmtId="0" fontId="70" fillId="0" borderId="0" xfId="0" applyFont="1"/>
    <xf numFmtId="0" fontId="27" fillId="0" borderId="0" xfId="0" applyFont="1" applyAlignment="1">
      <alignment horizontal="left" indent="2"/>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0" fontId="5" fillId="0" borderId="0" xfId="157" quotePrefix="1" applyFont="1" applyFill="1" applyBorder="1" applyAlignment="1">
      <alignment horizontal="center"/>
    </xf>
    <xf numFmtId="0" fontId="8" fillId="0" borderId="0" xfId="157" quotePrefix="1" applyFont="1" applyFill="1" applyBorder="1" applyAlignment="1">
      <alignment horizontal="center"/>
    </xf>
    <xf numFmtId="0" fontId="28" fillId="0" borderId="0" xfId="0" quotePrefix="1" applyFont="1" applyAlignment="1">
      <alignment horizontal="center"/>
    </xf>
    <xf numFmtId="0" fontId="27" fillId="0" borderId="0" xfId="0" applyFont="1" applyAlignment="1">
      <alignment horizontal="center"/>
    </xf>
    <xf numFmtId="0" fontId="27" fillId="0" borderId="0" xfId="0" quotePrefix="1" applyFont="1" applyAlignment="1">
      <alignment horizontal="center"/>
    </xf>
    <xf numFmtId="0" fontId="27" fillId="0" borderId="0" xfId="0" applyFont="1" applyAlignment="1">
      <alignment horizontal="left"/>
    </xf>
    <xf numFmtId="0" fontId="27" fillId="34" borderId="0" xfId="0" applyFont="1" applyFill="1" applyAlignment="1">
      <alignment horizontal="center"/>
    </xf>
    <xf numFmtId="0" fontId="4" fillId="0" borderId="0" xfId="225" applyFont="1"/>
    <xf numFmtId="0" fontId="48" fillId="0" borderId="0" xfId="209" applyFont="1" applyFill="1" applyBorder="1" applyAlignment="1">
      <alignment horizontal="left" vertical="top" wrapText="1"/>
    </xf>
    <xf numFmtId="0" fontId="28" fillId="0" borderId="0" xfId="0" applyFont="1" applyAlignment="1">
      <alignment horizontal="left"/>
    </xf>
    <xf numFmtId="0" fontId="28" fillId="0" borderId="0" xfId="0" applyFont="1" applyAlignment="1">
      <alignment horizontal="left" indent="1"/>
    </xf>
    <xf numFmtId="0" fontId="52" fillId="0" borderId="0" xfId="0" applyFont="1"/>
    <xf numFmtId="0" fontId="52" fillId="0" borderId="0" xfId="0" applyFont="1" applyAlignment="1">
      <alignment horizontal="left"/>
    </xf>
    <xf numFmtId="0" fontId="0" fillId="0" borderId="0" xfId="0" applyAlignment="1">
      <alignment horizontal="left"/>
    </xf>
    <xf numFmtId="167" fontId="27" fillId="0" borderId="0" xfId="0" applyNumberFormat="1" applyFont="1"/>
    <xf numFmtId="168" fontId="0" fillId="0" borderId="0" xfId="0" applyNumberFormat="1"/>
    <xf numFmtId="10" fontId="44" fillId="34" borderId="0" xfId="0" applyNumberFormat="1" applyFont="1" applyFill="1" applyAlignment="1">
      <alignment horizontal="center"/>
    </xf>
    <xf numFmtId="172" fontId="27" fillId="34" borderId="0" xfId="0" quotePrefix="1" applyNumberFormat="1" applyFont="1" applyFill="1" applyAlignment="1">
      <alignment horizontal="center"/>
    </xf>
    <xf numFmtId="10" fontId="27" fillId="0" borderId="0" xfId="0" quotePrefix="1" applyNumberFormat="1" applyFont="1" applyAlignment="1">
      <alignment horizontal="right"/>
    </xf>
    <xf numFmtId="10" fontId="0" fillId="0" borderId="0" xfId="0" applyNumberFormat="1"/>
    <xf numFmtId="0" fontId="44" fillId="34" borderId="0" xfId="0" applyFont="1" applyFill="1"/>
    <xf numFmtId="167" fontId="0" fillId="0" borderId="0" xfId="0" applyNumberFormat="1" applyAlignment="1">
      <alignment horizontal="center"/>
    </xf>
    <xf numFmtId="167" fontId="52" fillId="0" borderId="0" xfId="0" applyNumberFormat="1" applyFont="1" applyAlignment="1">
      <alignment horizontal="center"/>
    </xf>
    <xf numFmtId="167" fontId="27" fillId="0" borderId="0" xfId="0" applyNumberFormat="1" applyFont="1" applyAlignment="1">
      <alignment horizontal="center"/>
    </xf>
    <xf numFmtId="3" fontId="0" fillId="0" borderId="0" xfId="0" applyNumberFormat="1" applyAlignment="1">
      <alignment horizontal="center"/>
    </xf>
    <xf numFmtId="170" fontId="0" fillId="0" borderId="0" xfId="0" applyNumberFormat="1"/>
    <xf numFmtId="170" fontId="27" fillId="0" borderId="0" xfId="0" applyNumberFormat="1" applyFont="1" applyAlignment="1">
      <alignment horizontal="left" indent="1"/>
    </xf>
    <xf numFmtId="167" fontId="53" fillId="0" borderId="0" xfId="0" applyNumberFormat="1" applyFont="1"/>
    <xf numFmtId="167" fontId="54" fillId="0" borderId="0" xfId="0" applyNumberFormat="1" applyFont="1"/>
    <xf numFmtId="164" fontId="69" fillId="0" borderId="0" xfId="0" quotePrefix="1" applyNumberFormat="1" applyFont="1" applyAlignment="1">
      <alignment horizontal="right" wrapText="1"/>
    </xf>
    <xf numFmtId="0" fontId="48" fillId="0" borderId="0" xfId="209" applyFont="1" applyFill="1" applyBorder="1" applyAlignment="1">
      <alignment horizontal="left" vertical="top" wrapText="1"/>
    </xf>
    <xf numFmtId="0" fontId="0" fillId="0" borderId="0" xfId="0"/>
    <xf numFmtId="0" fontId="3" fillId="0" borderId="6" xfId="157" applyFont="1" applyBorder="1"/>
    <xf numFmtId="0" fontId="3" fillId="0" borderId="0" xfId="157" quotePrefix="1" applyFont="1" applyAlignment="1">
      <alignment horizontal="center"/>
    </xf>
    <xf numFmtId="164" fontId="3" fillId="34" borderId="0" xfId="157" applyNumberFormat="1" applyFont="1" applyFill="1"/>
    <xf numFmtId="164" fontId="3" fillId="0" borderId="0" xfId="157" applyNumberFormat="1" applyFont="1" applyAlignment="1">
      <alignment horizontal="right"/>
    </xf>
    <xf numFmtId="164" fontId="3" fillId="0" borderId="7" xfId="157" applyNumberFormat="1" applyFont="1" applyBorder="1" applyAlignment="1">
      <alignment horizontal="right"/>
    </xf>
    <xf numFmtId="0" fontId="67" fillId="34" borderId="0" xfId="157" applyFont="1" applyFill="1" applyBorder="1" applyAlignment="1">
      <alignment horizontal="center" vertical="top"/>
    </xf>
    <xf numFmtId="0" fontId="57" fillId="0" borderId="0" xfId="209" applyFont="1" applyAlignment="1">
      <alignment horizontal="left" vertical="top"/>
    </xf>
    <xf numFmtId="0" fontId="57" fillId="0" borderId="0" xfId="209" applyFont="1" applyAlignment="1">
      <alignment horizontal="center" vertical="center"/>
    </xf>
    <xf numFmtId="171" fontId="57" fillId="0" borderId="0" xfId="91" applyNumberFormat="1" applyFont="1" applyFill="1" applyBorder="1" applyAlignment="1">
      <alignment horizontal="left" vertical="center"/>
    </xf>
    <xf numFmtId="0" fontId="57" fillId="35" borderId="0" xfId="209" applyFont="1" applyFill="1" applyAlignment="1">
      <alignment horizontal="left" vertical="top"/>
    </xf>
    <xf numFmtId="0" fontId="48" fillId="0" borderId="0" xfId="209" quotePrefix="1" applyFont="1" applyAlignment="1">
      <alignment horizontal="right" vertical="top"/>
    </xf>
    <xf numFmtId="0" fontId="48" fillId="0" borderId="0" xfId="209" applyFont="1" applyAlignment="1">
      <alignment horizontal="left" vertical="top" wrapText="1"/>
    </xf>
    <xf numFmtId="164" fontId="27" fillId="0" borderId="0" xfId="157" applyNumberFormat="1" applyFont="1" applyAlignment="1">
      <alignment horizontal="center" vertical="center"/>
    </xf>
    <xf numFmtId="0" fontId="48" fillId="0" borderId="0" xfId="209" applyFont="1" applyAlignment="1">
      <alignment vertical="top" wrapText="1"/>
    </xf>
    <xf numFmtId="0" fontId="58" fillId="0" borderId="0" xfId="209" applyFont="1" applyAlignment="1">
      <alignment horizontal="center" vertical="center" wrapText="1"/>
    </xf>
    <xf numFmtId="164" fontId="28" fillId="0" borderId="0" xfId="157" applyNumberFormat="1" applyFont="1" applyAlignment="1">
      <alignment horizontal="center" vertical="center"/>
    </xf>
    <xf numFmtId="0" fontId="47" fillId="0" borderId="0" xfId="209" applyFont="1" applyAlignment="1">
      <alignment horizontal="left" vertical="top" wrapText="1"/>
    </xf>
    <xf numFmtId="164" fontId="3" fillId="0" borderId="0" xfId="157" applyNumberFormat="1" applyFont="1" applyFill="1" applyAlignment="1">
      <alignment horizontal="right"/>
    </xf>
    <xf numFmtId="164" fontId="3" fillId="0" borderId="7" xfId="157" applyNumberFormat="1" applyFont="1" applyFill="1" applyBorder="1" applyAlignment="1">
      <alignment horizontal="right"/>
    </xf>
    <xf numFmtId="0" fontId="28" fillId="36" borderId="15" xfId="0" applyFont="1" applyFill="1" applyBorder="1" applyAlignment="1">
      <alignment horizontal="center"/>
    </xf>
    <xf numFmtId="0" fontId="28" fillId="36" borderId="16" xfId="0" applyFont="1" applyFill="1" applyBorder="1" applyAlignment="1">
      <alignment horizontal="center"/>
    </xf>
    <xf numFmtId="164" fontId="27" fillId="36" borderId="16" xfId="0" applyNumberFormat="1" applyFont="1" applyFill="1" applyBorder="1"/>
    <xf numFmtId="164" fontId="52" fillId="36" borderId="16" xfId="0" applyNumberFormat="1" applyFont="1" applyFill="1" applyBorder="1"/>
    <xf numFmtId="164" fontId="44" fillId="36" borderId="17" xfId="0" applyNumberFormat="1" applyFont="1" applyFill="1" applyBorder="1"/>
    <xf numFmtId="164" fontId="27" fillId="0" borderId="0" xfId="91" applyNumberFormat="1" applyFont="1"/>
    <xf numFmtId="0" fontId="53" fillId="0" borderId="0" xfId="0" applyFont="1" applyAlignment="1">
      <alignment wrapText="1"/>
    </xf>
    <xf numFmtId="15" fontId="27" fillId="34" borderId="0" xfId="0" quotePrefix="1" applyNumberFormat="1" applyFont="1" applyFill="1" applyAlignment="1">
      <alignment horizontal="center"/>
    </xf>
    <xf numFmtId="0" fontId="27" fillId="34" borderId="0" xfId="0" quotePrefix="1" applyFont="1" applyFill="1" applyAlignment="1">
      <alignment horizontal="center"/>
    </xf>
    <xf numFmtId="10" fontId="27" fillId="34" borderId="0" xfId="0" quotePrefix="1" applyNumberFormat="1" applyFont="1" applyFill="1" applyAlignment="1">
      <alignment horizontal="right"/>
    </xf>
    <xf numFmtId="164" fontId="27" fillId="0" borderId="0" xfId="93" applyNumberFormat="1"/>
    <xf numFmtId="0" fontId="27" fillId="0" borderId="0" xfId="93" applyAlignment="1">
      <alignment horizontal="left" indent="2"/>
    </xf>
    <xf numFmtId="0" fontId="43" fillId="37" borderId="3" xfId="225" applyFont="1" applyFill="1" applyBorder="1" applyAlignment="1">
      <alignment horizontal="center"/>
    </xf>
    <xf numFmtId="0" fontId="0" fillId="0" borderId="0" xfId="0"/>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170" fontId="0" fillId="0" borderId="0" xfId="91" applyNumberFormat="1" applyFont="1"/>
    <xf numFmtId="170" fontId="27" fillId="0" borderId="0" xfId="0" applyNumberFormat="1" applyFont="1"/>
    <xf numFmtId="10" fontId="55" fillId="34" borderId="0" xfId="0" applyNumberFormat="1" applyFont="1" applyFill="1"/>
    <xf numFmtId="0" fontId="62" fillId="34" borderId="0" xfId="0" applyFont="1" applyFill="1"/>
    <xf numFmtId="0" fontId="62" fillId="0" borderId="0" xfId="0" applyFont="1"/>
    <xf numFmtId="164" fontId="69" fillId="0" borderId="0" xfId="118" quotePrefix="1" applyNumberFormat="1" applyFont="1" applyAlignment="1">
      <alignment horizontal="right" wrapText="1"/>
    </xf>
    <xf numFmtId="170" fontId="27" fillId="0" borderId="0" xfId="118" applyNumberFormat="1" applyAlignment="1">
      <alignment vertical="top"/>
    </xf>
    <xf numFmtId="174" fontId="27" fillId="0" borderId="0" xfId="118" applyNumberFormat="1"/>
    <xf numFmtId="164" fontId="27" fillId="36" borderId="0" xfId="210" applyNumberFormat="1" applyFont="1" applyFill="1"/>
    <xf numFmtId="166" fontId="27" fillId="0" borderId="0" xfId="210" applyNumberFormat="1" applyFont="1"/>
    <xf numFmtId="166" fontId="52" fillId="0" borderId="0" xfId="118" applyNumberFormat="1" applyFont="1"/>
    <xf numFmtId="166" fontId="27" fillId="36" borderId="0" xfId="118" applyNumberFormat="1" applyFill="1"/>
    <xf numFmtId="0" fontId="75" fillId="0" borderId="0" xfId="118" applyFont="1"/>
    <xf numFmtId="0" fontId="27" fillId="34" borderId="0" xfId="118" quotePrefix="1" applyFill="1" applyAlignment="1">
      <alignment horizontal="center"/>
    </xf>
    <xf numFmtId="167" fontId="44" fillId="40" borderId="0" xfId="118" applyNumberFormat="1" applyFont="1" applyFill="1" applyAlignment="1">
      <alignment wrapText="1"/>
    </xf>
    <xf numFmtId="0" fontId="27" fillId="34" borderId="0" xfId="118" applyFill="1" applyAlignment="1">
      <alignment wrapText="1"/>
    </xf>
    <xf numFmtId="174" fontId="44" fillId="40" borderId="28" xfId="118" applyNumberFormat="1" applyFont="1" applyFill="1" applyBorder="1"/>
    <xf numFmtId="174" fontId="27" fillId="40" borderId="0" xfId="118" applyNumberFormat="1" applyFill="1"/>
    <xf numFmtId="0" fontId="27" fillId="0" borderId="0" xfId="118" quotePrefix="1"/>
    <xf numFmtId="168" fontId="27" fillId="36" borderId="0" xfId="118" applyNumberFormat="1" applyFill="1"/>
    <xf numFmtId="0" fontId="55" fillId="0" borderId="0" xfId="118" applyFont="1"/>
    <xf numFmtId="167" fontId="27" fillId="0" borderId="0" xfId="99" applyNumberFormat="1" applyFont="1"/>
    <xf numFmtId="0" fontId="76" fillId="0" borderId="0" xfId="118" applyFont="1"/>
    <xf numFmtId="0" fontId="27" fillId="0" borderId="0" xfId="118" quotePrefix="1" applyAlignment="1">
      <alignment horizontal="left" indent="1"/>
    </xf>
    <xf numFmtId="164" fontId="76" fillId="0" borderId="0" xfId="118" applyNumberFormat="1" applyFont="1"/>
    <xf numFmtId="167" fontId="44" fillId="40" borderId="0" xfId="118" applyNumberFormat="1" applyFont="1" applyFill="1"/>
    <xf numFmtId="0" fontId="43" fillId="37" borderId="3" xfId="225" applyFont="1" applyFill="1" applyBorder="1" applyAlignment="1">
      <alignment horizontal="center"/>
    </xf>
    <xf numFmtId="0" fontId="48" fillId="0" borderId="0" xfId="209" applyFont="1" applyFill="1" applyBorder="1" applyAlignment="1">
      <alignment horizontal="left" vertical="top" wrapText="1"/>
    </xf>
    <xf numFmtId="166" fontId="43" fillId="37" borderId="24" xfId="225" applyNumberFormat="1" applyFont="1" applyFill="1" applyBorder="1"/>
    <xf numFmtId="166" fontId="43" fillId="37" borderId="29" xfId="225" applyNumberFormat="1" applyFont="1" applyFill="1" applyBorder="1"/>
    <xf numFmtId="0" fontId="4" fillId="0" borderId="0" xfId="225" applyFont="1" applyFill="1" applyAlignment="1">
      <alignment horizontal="left"/>
    </xf>
    <xf numFmtId="0" fontId="5" fillId="0" borderId="0" xfId="225" applyFont="1" applyFill="1" applyAlignment="1">
      <alignment horizontal="left"/>
    </xf>
    <xf numFmtId="0" fontId="47" fillId="0" borderId="9" xfId="209" applyFont="1" applyFill="1" applyBorder="1" applyAlignment="1">
      <alignment horizontal="left" vertical="top" wrapText="1"/>
    </xf>
    <xf numFmtId="0" fontId="47" fillId="0" borderId="1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0" fontId="47" fillId="0" borderId="0" xfId="209" applyFont="1" applyFill="1" applyBorder="1" applyAlignment="1">
      <alignment horizontal="center" vertical="top" wrapText="1"/>
    </xf>
    <xf numFmtId="0" fontId="48" fillId="0" borderId="0" xfId="209" applyFont="1" applyFill="1" applyBorder="1" applyAlignment="1">
      <alignment horizontal="center" vertical="top" wrapText="1"/>
    </xf>
    <xf numFmtId="0" fontId="47" fillId="0" borderId="0" xfId="209" applyFont="1" applyAlignment="1">
      <alignment horizontal="left" vertical="top" wrapText="1"/>
    </xf>
    <xf numFmtId="0" fontId="48" fillId="0" borderId="0" xfId="209" applyFont="1" applyAlignment="1">
      <alignment horizontal="left" vertical="top" wrapText="1"/>
    </xf>
    <xf numFmtId="0" fontId="51" fillId="37" borderId="9" xfId="157" applyFont="1" applyFill="1" applyBorder="1" applyAlignment="1">
      <alignment horizontal="right"/>
    </xf>
    <xf numFmtId="0" fontId="51" fillId="37" borderId="10" xfId="157" applyFont="1" applyFill="1" applyBorder="1" applyAlignment="1">
      <alignment horizontal="right"/>
    </xf>
    <xf numFmtId="0" fontId="43" fillId="37" borderId="9" xfId="157" applyFont="1" applyFill="1" applyBorder="1" applyAlignment="1">
      <alignment horizontal="center"/>
    </xf>
    <xf numFmtId="0" fontId="43" fillId="37" borderId="10" xfId="157" applyFont="1" applyFill="1" applyBorder="1" applyAlignment="1">
      <alignment horizontal="center"/>
    </xf>
    <xf numFmtId="0" fontId="43" fillId="37" borderId="11" xfId="157" applyFont="1" applyFill="1" applyBorder="1" applyAlignment="1">
      <alignment horizontal="center"/>
    </xf>
    <xf numFmtId="0" fontId="43" fillId="37" borderId="4" xfId="157" applyFont="1" applyFill="1" applyBorder="1" applyAlignment="1">
      <alignment horizontal="center" vertical="center"/>
    </xf>
    <xf numFmtId="0" fontId="43" fillId="37" borderId="5" xfId="157" applyFont="1" applyFill="1" applyBorder="1" applyAlignment="1">
      <alignment horizontal="center" vertical="center"/>
    </xf>
    <xf numFmtId="0" fontId="3" fillId="0" borderId="18" xfId="225" applyFont="1" applyFill="1" applyBorder="1" applyAlignment="1">
      <alignment horizontal="left" wrapText="1"/>
    </xf>
    <xf numFmtId="0" fontId="11" fillId="0" borderId="19" xfId="225" applyFont="1" applyFill="1" applyBorder="1" applyAlignment="1">
      <alignment horizontal="left" wrapText="1"/>
    </xf>
    <xf numFmtId="0" fontId="11" fillId="0" borderId="20" xfId="225" applyFont="1" applyFill="1" applyBorder="1" applyAlignment="1">
      <alignment horizontal="left" wrapText="1"/>
    </xf>
    <xf numFmtId="0" fontId="8" fillId="0" borderId="19" xfId="225" applyFont="1" applyFill="1" applyBorder="1" applyAlignment="1">
      <alignment horizontal="left" wrapText="1"/>
    </xf>
    <xf numFmtId="0" fontId="8" fillId="0" borderId="20" xfId="225" applyFont="1" applyFill="1" applyBorder="1" applyAlignment="1">
      <alignment horizontal="left" wrapText="1"/>
    </xf>
    <xf numFmtId="0" fontId="43" fillId="37" borderId="21" xfId="225" applyFont="1" applyFill="1" applyBorder="1" applyAlignment="1">
      <alignment horizontal="right"/>
    </xf>
    <xf numFmtId="0" fontId="43" fillId="37" borderId="22" xfId="225" applyFont="1" applyFill="1" applyBorder="1" applyAlignment="1">
      <alignment horizontal="right"/>
    </xf>
    <xf numFmtId="0" fontId="11" fillId="37" borderId="3" xfId="225" applyFont="1" applyFill="1" applyBorder="1" applyAlignment="1">
      <alignment horizontal="left"/>
    </xf>
    <xf numFmtId="0" fontId="1" fillId="0" borderId="0" xfId="225" applyFont="1" applyAlignment="1">
      <alignment horizontal="left" wrapText="1"/>
    </xf>
    <xf numFmtId="0" fontId="5" fillId="0" borderId="0" xfId="225" applyFont="1" applyAlignment="1">
      <alignment horizontal="left" wrapText="1"/>
    </xf>
    <xf numFmtId="0" fontId="51" fillId="37" borderId="3" xfId="225" applyFont="1" applyFill="1" applyBorder="1" applyAlignment="1">
      <alignment horizontal="center" vertical="center" wrapText="1"/>
    </xf>
    <xf numFmtId="0" fontId="43" fillId="37" borderId="3" xfId="225" quotePrefix="1" applyFont="1" applyFill="1" applyBorder="1" applyAlignment="1">
      <alignment horizontal="center"/>
    </xf>
    <xf numFmtId="0" fontId="43" fillId="37" borderId="3" xfId="225" applyFont="1" applyFill="1" applyBorder="1" applyAlignment="1">
      <alignment horizontal="center"/>
    </xf>
    <xf numFmtId="0" fontId="5" fillId="0" borderId="19" xfId="225" applyFont="1" applyFill="1" applyBorder="1" applyAlignment="1">
      <alignment horizontal="left" wrapText="1"/>
    </xf>
    <xf numFmtId="0" fontId="5" fillId="0" borderId="20" xfId="225" applyFont="1" applyFill="1" applyBorder="1" applyAlignment="1">
      <alignment horizontal="left" wrapText="1"/>
    </xf>
    <xf numFmtId="0" fontId="59" fillId="0" borderId="3" xfId="225" applyFont="1" applyFill="1" applyBorder="1" applyAlignment="1">
      <alignment wrapText="1"/>
    </xf>
    <xf numFmtId="0" fontId="53" fillId="0" borderId="25" xfId="118" applyFont="1" applyBorder="1" applyAlignment="1">
      <alignment horizontal="left" wrapText="1"/>
    </xf>
    <xf numFmtId="0" fontId="53" fillId="0" borderId="0" xfId="118" applyFont="1" applyAlignment="1">
      <alignment horizontal="left" wrapText="1"/>
    </xf>
    <xf numFmtId="0" fontId="2" fillId="0" borderId="0" xfId="225" applyFont="1" applyAlignment="1">
      <alignment horizontal="left" wrapText="1"/>
    </xf>
    <xf numFmtId="0" fontId="2" fillId="0" borderId="18" xfId="225" applyFont="1" applyFill="1" applyBorder="1" applyAlignment="1">
      <alignment horizontal="left" wrapText="1"/>
    </xf>
    <xf numFmtId="170" fontId="27" fillId="0" borderId="0" xfId="118" applyNumberFormat="1" applyAlignment="1">
      <alignment horizontal="left" vertical="top" wrapText="1"/>
    </xf>
    <xf numFmtId="0" fontId="51" fillId="39" borderId="3" xfId="225" applyFont="1" applyFill="1" applyBorder="1" applyAlignment="1">
      <alignment horizontal="center" vertical="center" wrapText="1"/>
    </xf>
    <xf numFmtId="0" fontId="43" fillId="39" borderId="3" xfId="225" quotePrefix="1" applyFont="1" applyFill="1" applyBorder="1" applyAlignment="1">
      <alignment horizontal="center"/>
    </xf>
    <xf numFmtId="0" fontId="2" fillId="0" borderId="18" xfId="225" applyFont="1" applyFill="1" applyBorder="1" applyAlignment="1">
      <alignment horizontal="center" wrapText="1"/>
    </xf>
    <xf numFmtId="0" fontId="9" fillId="0" borderId="19" xfId="225" applyFont="1" applyFill="1" applyBorder="1" applyAlignment="1">
      <alignment horizontal="center" wrapText="1"/>
    </xf>
    <xf numFmtId="0" fontId="9" fillId="0" borderId="20" xfId="225" applyFont="1" applyFill="1" applyBorder="1" applyAlignment="1">
      <alignment horizontal="center" wrapText="1"/>
    </xf>
    <xf numFmtId="0" fontId="59" fillId="0" borderId="18" xfId="225" applyFont="1" applyFill="1" applyBorder="1" applyAlignment="1">
      <alignment horizontal="center" wrapText="1"/>
    </xf>
    <xf numFmtId="0" fontId="1" fillId="0" borderId="0" xfId="225" applyFont="1" applyAlignment="1">
      <alignment horizontal="left" vertical="top" wrapText="1"/>
    </xf>
    <xf numFmtId="0" fontId="7" fillId="0" borderId="0" xfId="225" applyFont="1" applyAlignment="1">
      <alignment horizontal="left" vertical="top" wrapText="1"/>
    </xf>
    <xf numFmtId="0" fontId="43" fillId="39" borderId="3" xfId="225" applyFont="1" applyFill="1" applyBorder="1" applyAlignment="1">
      <alignment horizontal="center"/>
    </xf>
    <xf numFmtId="0" fontId="43" fillId="39" borderId="18" xfId="225" applyFont="1" applyFill="1" applyBorder="1" applyAlignment="1">
      <alignment horizontal="right"/>
    </xf>
    <xf numFmtId="0" fontId="43" fillId="39" borderId="19" xfId="225" applyFont="1" applyFill="1" applyBorder="1" applyAlignment="1">
      <alignment horizontal="right"/>
    </xf>
    <xf numFmtId="0" fontId="43" fillId="39" borderId="20" xfId="225" applyFont="1" applyFill="1" applyBorder="1" applyAlignment="1">
      <alignment horizontal="right"/>
    </xf>
    <xf numFmtId="0" fontId="65" fillId="39" borderId="18" xfId="225" applyFont="1" applyFill="1" applyBorder="1" applyAlignment="1">
      <alignment horizontal="center" wrapText="1"/>
    </xf>
    <xf numFmtId="0" fontId="65" fillId="39" borderId="19" xfId="225" applyFont="1" applyFill="1" applyBorder="1" applyAlignment="1">
      <alignment horizontal="center" wrapText="1"/>
    </xf>
    <xf numFmtId="0" fontId="65" fillId="39" borderId="20" xfId="225" applyFont="1" applyFill="1" applyBorder="1" applyAlignment="1">
      <alignment horizontal="center" wrapText="1"/>
    </xf>
    <xf numFmtId="0" fontId="59" fillId="0" borderId="3" xfId="0" applyFont="1" applyFill="1" applyBorder="1" applyAlignment="1">
      <alignment horizontal="center" wrapText="1"/>
    </xf>
    <xf numFmtId="0" fontId="59" fillId="0" borderId="3" xfId="0" applyFont="1" applyBorder="1" applyAlignment="1">
      <alignment horizontal="center" wrapText="1"/>
    </xf>
    <xf numFmtId="0" fontId="43" fillId="38" borderId="3" xfId="225" applyFont="1" applyFill="1" applyBorder="1" applyAlignment="1">
      <alignment horizontal="right"/>
    </xf>
    <xf numFmtId="0" fontId="65" fillId="38" borderId="18" xfId="225" applyFont="1" applyFill="1" applyBorder="1" applyAlignment="1">
      <alignment horizontal="center" wrapText="1"/>
    </xf>
    <xf numFmtId="0" fontId="65" fillId="38" borderId="19" xfId="225" applyFont="1" applyFill="1" applyBorder="1" applyAlignment="1">
      <alignment horizontal="center" wrapText="1"/>
    </xf>
    <xf numFmtId="0" fontId="65" fillId="38" borderId="20" xfId="225" applyFont="1" applyFill="1" applyBorder="1" applyAlignment="1">
      <alignment horizontal="center" wrapText="1"/>
    </xf>
    <xf numFmtId="0" fontId="9" fillId="39" borderId="3" xfId="225" applyFont="1" applyFill="1" applyBorder="1" applyAlignment="1">
      <alignment horizontal="left"/>
    </xf>
    <xf numFmtId="0" fontId="53" fillId="0" borderId="25" xfId="118" applyFont="1" applyBorder="1" applyAlignment="1">
      <alignment horizontal="left" vertical="top" wrapText="1"/>
    </xf>
    <xf numFmtId="0" fontId="53" fillId="0" borderId="0" xfId="118" applyFont="1" applyAlignment="1">
      <alignment horizontal="left" vertical="top" wrapText="1"/>
    </xf>
    <xf numFmtId="0" fontId="27" fillId="37" borderId="0" xfId="118" applyFill="1" applyAlignment="1">
      <alignment horizontal="left" wrapText="1"/>
    </xf>
    <xf numFmtId="0" fontId="52" fillId="0" borderId="0" xfId="118" applyFont="1" applyAlignment="1">
      <alignment horizontal="left" wrapText="1"/>
    </xf>
    <xf numFmtId="0" fontId="2" fillId="0" borderId="0" xfId="225" applyFont="1" applyFill="1" applyAlignment="1">
      <alignment horizontal="left"/>
    </xf>
    <xf numFmtId="10" fontId="59" fillId="0" borderId="0" xfId="159" applyNumberFormat="1" applyFont="1" applyFill="1" applyBorder="1"/>
    <xf numFmtId="164" fontId="51" fillId="37" borderId="11" xfId="157" applyNumberFormat="1" applyFont="1" applyFill="1" applyBorder="1" applyAlignment="1"/>
    <xf numFmtId="0" fontId="8" fillId="37" borderId="9" xfId="157" applyFont="1" applyFill="1" applyBorder="1"/>
    <xf numFmtId="0" fontId="8" fillId="37" borderId="10" xfId="157" applyFont="1" applyFill="1" applyBorder="1"/>
    <xf numFmtId="164" fontId="43" fillId="37" borderId="10" xfId="157" applyNumberFormat="1" applyFont="1" applyFill="1" applyBorder="1"/>
    <xf numFmtId="0" fontId="43" fillId="37" borderId="9" xfId="157" applyFont="1" applyFill="1" applyBorder="1"/>
    <xf numFmtId="0" fontId="43" fillId="37" borderId="10" xfId="157" applyFont="1" applyFill="1" applyBorder="1" applyAlignment="1">
      <alignment horizontal="right"/>
    </xf>
    <xf numFmtId="164" fontId="43" fillId="37" borderId="11" xfId="157" applyNumberFormat="1" applyFont="1" applyFill="1" applyBorder="1"/>
    <xf numFmtId="164" fontId="43" fillId="37" borderId="9" xfId="157" applyNumberFormat="1" applyFont="1" applyFill="1" applyBorder="1"/>
    <xf numFmtId="0" fontId="43" fillId="37" borderId="10" xfId="157" applyFont="1" applyFill="1" applyBorder="1"/>
    <xf numFmtId="164" fontId="43" fillId="37" borderId="30" xfId="157" applyNumberFormat="1" applyFont="1" applyFill="1" applyBorder="1"/>
    <xf numFmtId="0" fontId="43" fillId="37" borderId="12" xfId="157" applyFont="1" applyFill="1" applyBorder="1" applyAlignment="1">
      <alignment horizontal="center" vertical="center"/>
    </xf>
    <xf numFmtId="0" fontId="43" fillId="37" borderId="13" xfId="157" applyFont="1" applyFill="1" applyBorder="1" applyAlignment="1">
      <alignment horizontal="center" vertical="center"/>
    </xf>
    <xf numFmtId="0" fontId="43" fillId="37" borderId="14" xfId="157" applyFont="1" applyFill="1" applyBorder="1" applyAlignment="1">
      <alignment horizontal="center" vertical="center"/>
    </xf>
    <xf numFmtId="0" fontId="43" fillId="37" borderId="31" xfId="157" applyFont="1" applyFill="1" applyBorder="1" applyAlignment="1">
      <alignment horizontal="center" vertical="center"/>
    </xf>
  </cellXfs>
  <cellStyles count="233">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Currency 5" xfId="232" xr:uid="{E713A125-0837-4DF2-BBB0-AF2FD681BFD4}"/>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2 8" xfId="231" xr:uid="{28FEAA29-6C6D-4AB8-88AB-75231A58310E}"/>
    <cellStyle name="Normal 20" xfId="230" xr:uid="{3C1D16CE-1931-4CC4-88AE-76085458B2D5}"/>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xfId="229" builtinId="5"/>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99CCFF"/>
      <color rgb="FFCCFFCC"/>
      <color rgb="FFFFCC99"/>
      <color rgb="FFFFFFCC"/>
      <color rgb="FFFFCCCC"/>
      <color rgb="FFCC99FF"/>
      <color rgb="FFFF9999"/>
      <color rgb="FF99FFCC"/>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66675</xdr:colOff>
      <xdr:row>0</xdr:row>
      <xdr:rowOff>112117</xdr:rowOff>
    </xdr:to>
    <xdr:sp macro="" textlink="">
      <xdr:nvSpPr>
        <xdr:cNvPr id="2" name="TextBox 1">
          <a:extLst>
            <a:ext uri="{FF2B5EF4-FFF2-40B4-BE49-F238E27FC236}">
              <a16:creationId xmlns:a16="http://schemas.microsoft.com/office/drawing/2014/main" id="{8D0569B4-920D-49B7-AF5A-1FF2B71BC0D8}"/>
            </a:ext>
          </a:extLst>
        </xdr:cNvPr>
        <xdr:cNvSpPr txBox="1"/>
      </xdr:nvSpPr>
      <xdr:spPr>
        <a:xfrm>
          <a:off x="9525" y="9525"/>
          <a:ext cx="5715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X25A0T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disonintl.sharepoint.com/teams/rcms365/InProgress%20Data%20Request%20Library/FERC-Audit-03%20-%202062%20Accounting/Claims%20Settlements%20-%20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row r="2">
          <cell r="A2">
            <v>101010</v>
          </cell>
        </row>
      </sheetData>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1">
          <cell r="D1" t="str">
            <v>MTM Calculation of Calpine Renewable QF Contract</v>
          </cell>
        </row>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5">
          <cell r="B5">
            <v>38028</v>
          </cell>
        </row>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 Data"/>
      <sheetName val="Data"/>
      <sheetName val="Claims - 2017 (JE)"/>
    </sheetNames>
    <sheetDataSet>
      <sheetData sheetId="0">
        <row r="2">
          <cell r="U2">
            <v>125</v>
          </cell>
        </row>
        <row r="3">
          <cell r="U3">
            <v>100</v>
          </cell>
        </row>
        <row r="4">
          <cell r="U4">
            <v>590</v>
          </cell>
        </row>
        <row r="5">
          <cell r="U5">
            <v>175</v>
          </cell>
        </row>
        <row r="6">
          <cell r="U6">
            <v>85</v>
          </cell>
        </row>
        <row r="7">
          <cell r="U7">
            <v>645</v>
          </cell>
        </row>
        <row r="8">
          <cell r="U8">
            <v>1235</v>
          </cell>
        </row>
        <row r="9">
          <cell r="U9">
            <v>1020.05</v>
          </cell>
        </row>
        <row r="10">
          <cell r="U10">
            <v>360</v>
          </cell>
        </row>
        <row r="11">
          <cell r="U11">
            <v>320</v>
          </cell>
        </row>
        <row r="12">
          <cell r="U12">
            <v>100</v>
          </cell>
        </row>
        <row r="13">
          <cell r="U13">
            <v>339.99</v>
          </cell>
        </row>
        <row r="14">
          <cell r="U14">
            <v>384.39</v>
          </cell>
        </row>
        <row r="15">
          <cell r="U15">
            <v>35000</v>
          </cell>
        </row>
        <row r="16">
          <cell r="U16">
            <v>1819.57</v>
          </cell>
        </row>
        <row r="17">
          <cell r="U17">
            <v>1181.02</v>
          </cell>
        </row>
        <row r="18">
          <cell r="U18">
            <v>657.51</v>
          </cell>
        </row>
        <row r="19">
          <cell r="U19">
            <v>70</v>
          </cell>
        </row>
        <row r="20">
          <cell r="U20">
            <v>67798.38</v>
          </cell>
        </row>
        <row r="21">
          <cell r="U21">
            <v>889.33</v>
          </cell>
        </row>
        <row r="22">
          <cell r="U22">
            <v>139</v>
          </cell>
        </row>
        <row r="23">
          <cell r="U23">
            <v>215</v>
          </cell>
        </row>
        <row r="24">
          <cell r="U24">
            <v>180</v>
          </cell>
        </row>
        <row r="25">
          <cell r="U25">
            <v>100</v>
          </cell>
        </row>
        <row r="26">
          <cell r="U26">
            <v>461</v>
          </cell>
        </row>
        <row r="27">
          <cell r="U27">
            <v>125</v>
          </cell>
        </row>
        <row r="28">
          <cell r="U28">
            <v>1570.5</v>
          </cell>
        </row>
        <row r="29">
          <cell r="U29">
            <v>1203.3499999999999</v>
          </cell>
        </row>
        <row r="30">
          <cell r="U30">
            <v>622</v>
          </cell>
        </row>
        <row r="31">
          <cell r="U31">
            <v>2773.6</v>
          </cell>
        </row>
        <row r="32">
          <cell r="U32">
            <v>303</v>
          </cell>
        </row>
        <row r="33">
          <cell r="U33">
            <v>5000</v>
          </cell>
        </row>
        <row r="34">
          <cell r="U34">
            <v>550</v>
          </cell>
        </row>
        <row r="35">
          <cell r="U35">
            <v>100</v>
          </cell>
        </row>
        <row r="36">
          <cell r="U36">
            <v>3796.62</v>
          </cell>
        </row>
        <row r="37">
          <cell r="U37">
            <v>953</v>
          </cell>
        </row>
        <row r="38">
          <cell r="U38">
            <v>1200.94</v>
          </cell>
        </row>
        <row r="39">
          <cell r="U39">
            <v>230</v>
          </cell>
        </row>
        <row r="40">
          <cell r="U40">
            <v>4952</v>
          </cell>
        </row>
        <row r="41">
          <cell r="U41">
            <v>2554.06</v>
          </cell>
        </row>
        <row r="42">
          <cell r="U42">
            <v>100</v>
          </cell>
        </row>
        <row r="43">
          <cell r="U43">
            <v>225</v>
          </cell>
        </row>
        <row r="44">
          <cell r="U44">
            <v>100</v>
          </cell>
        </row>
        <row r="45">
          <cell r="U45">
            <v>139</v>
          </cell>
        </row>
        <row r="46">
          <cell r="U46">
            <v>225</v>
          </cell>
        </row>
        <row r="47">
          <cell r="U47">
            <v>794.45</v>
          </cell>
        </row>
        <row r="48">
          <cell r="U48">
            <v>1100</v>
          </cell>
        </row>
        <row r="49">
          <cell r="U49">
            <v>325</v>
          </cell>
        </row>
        <row r="50">
          <cell r="U50">
            <v>499.55</v>
          </cell>
        </row>
        <row r="51">
          <cell r="U51">
            <v>1050</v>
          </cell>
        </row>
        <row r="52">
          <cell r="U52">
            <v>1022.92</v>
          </cell>
        </row>
        <row r="53">
          <cell r="U53">
            <v>450</v>
          </cell>
        </row>
        <row r="54">
          <cell r="U54">
            <v>106.25</v>
          </cell>
        </row>
        <row r="55">
          <cell r="U55">
            <v>649.99</v>
          </cell>
        </row>
        <row r="56">
          <cell r="U56">
            <v>474</v>
          </cell>
        </row>
        <row r="57">
          <cell r="U57">
            <v>280</v>
          </cell>
        </row>
        <row r="58">
          <cell r="U58">
            <v>1750</v>
          </cell>
        </row>
        <row r="59">
          <cell r="U59">
            <v>2300</v>
          </cell>
        </row>
        <row r="60">
          <cell r="U60">
            <v>17560.61</v>
          </cell>
        </row>
        <row r="61">
          <cell r="U61">
            <v>20.09</v>
          </cell>
        </row>
        <row r="62">
          <cell r="U62">
            <v>73.14</v>
          </cell>
        </row>
        <row r="63">
          <cell r="U63">
            <v>918</v>
          </cell>
        </row>
        <row r="64">
          <cell r="U64">
            <v>800</v>
          </cell>
        </row>
        <row r="65">
          <cell r="U65">
            <v>1012</v>
          </cell>
        </row>
        <row r="66">
          <cell r="U66">
            <v>3106.25</v>
          </cell>
        </row>
        <row r="67">
          <cell r="U67">
            <v>742.28</v>
          </cell>
        </row>
        <row r="68">
          <cell r="U68">
            <v>230</v>
          </cell>
        </row>
        <row r="69">
          <cell r="U69">
            <v>120</v>
          </cell>
        </row>
        <row r="70">
          <cell r="U70">
            <v>200</v>
          </cell>
        </row>
        <row r="71">
          <cell r="U71">
            <v>568.98</v>
          </cell>
        </row>
        <row r="72">
          <cell r="U72">
            <v>985.5</v>
          </cell>
        </row>
        <row r="73">
          <cell r="U73">
            <v>718.97</v>
          </cell>
        </row>
        <row r="74">
          <cell r="U74">
            <v>1004</v>
          </cell>
        </row>
        <row r="75">
          <cell r="U75">
            <v>455</v>
          </cell>
        </row>
        <row r="76">
          <cell r="U76">
            <v>100</v>
          </cell>
        </row>
        <row r="77">
          <cell r="U77">
            <v>70</v>
          </cell>
        </row>
        <row r="78">
          <cell r="U78">
            <v>1717.8</v>
          </cell>
        </row>
        <row r="79">
          <cell r="U79">
            <v>519</v>
          </cell>
        </row>
        <row r="80">
          <cell r="U80">
            <v>3924.2</v>
          </cell>
        </row>
        <row r="81">
          <cell r="U81">
            <v>787.54</v>
          </cell>
        </row>
        <row r="82">
          <cell r="U82">
            <v>2200</v>
          </cell>
        </row>
        <row r="83">
          <cell r="U83">
            <v>150</v>
          </cell>
        </row>
        <row r="84">
          <cell r="U84">
            <v>1567.02</v>
          </cell>
        </row>
        <row r="85">
          <cell r="U85">
            <v>29188.94</v>
          </cell>
        </row>
        <row r="86">
          <cell r="U86">
            <v>7500000</v>
          </cell>
        </row>
        <row r="87">
          <cell r="U87">
            <v>10000000</v>
          </cell>
        </row>
        <row r="88">
          <cell r="U88">
            <v>250</v>
          </cell>
        </row>
        <row r="89">
          <cell r="U89">
            <v>182.61</v>
          </cell>
        </row>
        <row r="90">
          <cell r="U90">
            <v>604</v>
          </cell>
        </row>
        <row r="91">
          <cell r="U91">
            <v>1000</v>
          </cell>
        </row>
        <row r="92">
          <cell r="U92">
            <v>87.18</v>
          </cell>
        </row>
        <row r="93">
          <cell r="U93">
            <v>707.96</v>
          </cell>
        </row>
        <row r="94">
          <cell r="U94">
            <v>1000</v>
          </cell>
        </row>
        <row r="95">
          <cell r="U95">
            <v>311.8</v>
          </cell>
        </row>
        <row r="96">
          <cell r="U96">
            <v>1082.26</v>
          </cell>
        </row>
        <row r="97">
          <cell r="U97">
            <v>836.75</v>
          </cell>
        </row>
        <row r="98">
          <cell r="U98">
            <v>200</v>
          </cell>
        </row>
        <row r="99">
          <cell r="U99">
            <v>125</v>
          </cell>
        </row>
        <row r="100">
          <cell r="U100">
            <v>1896.15</v>
          </cell>
        </row>
        <row r="101">
          <cell r="U101">
            <v>595</v>
          </cell>
        </row>
        <row r="102">
          <cell r="U102">
            <v>905.79</v>
          </cell>
        </row>
        <row r="103">
          <cell r="U103">
            <v>10000</v>
          </cell>
        </row>
        <row r="104">
          <cell r="U104">
            <v>822.72</v>
          </cell>
        </row>
        <row r="105">
          <cell r="U105">
            <v>9126.77</v>
          </cell>
        </row>
        <row r="106">
          <cell r="U106">
            <v>340</v>
          </cell>
        </row>
        <row r="107">
          <cell r="U107">
            <v>5000</v>
          </cell>
        </row>
        <row r="108">
          <cell r="U108">
            <v>380</v>
          </cell>
        </row>
        <row r="109">
          <cell r="U109">
            <v>896.96</v>
          </cell>
        </row>
        <row r="110">
          <cell r="U110">
            <v>3822</v>
          </cell>
        </row>
        <row r="111">
          <cell r="U111">
            <v>1414.9</v>
          </cell>
        </row>
        <row r="112">
          <cell r="U112">
            <v>750</v>
          </cell>
        </row>
        <row r="113">
          <cell r="U113">
            <v>455</v>
          </cell>
        </row>
        <row r="114">
          <cell r="U114">
            <v>343</v>
          </cell>
        </row>
        <row r="115">
          <cell r="U115">
            <v>306.99</v>
          </cell>
        </row>
        <row r="116">
          <cell r="U116">
            <v>192.9</v>
          </cell>
        </row>
        <row r="117">
          <cell r="U117">
            <v>107.12</v>
          </cell>
        </row>
        <row r="118">
          <cell r="U118">
            <v>7293.56</v>
          </cell>
        </row>
        <row r="119">
          <cell r="U119">
            <v>569</v>
          </cell>
        </row>
        <row r="120">
          <cell r="U120">
            <v>946.2</v>
          </cell>
        </row>
        <row r="121">
          <cell r="U121">
            <v>195.7</v>
          </cell>
        </row>
        <row r="122">
          <cell r="U122">
            <v>2178</v>
          </cell>
        </row>
        <row r="123">
          <cell r="U123">
            <v>2276.1999999999998</v>
          </cell>
        </row>
        <row r="124">
          <cell r="U124">
            <v>5600</v>
          </cell>
        </row>
        <row r="125">
          <cell r="U125">
            <v>514.80999999999995</v>
          </cell>
        </row>
        <row r="126">
          <cell r="U126">
            <v>1200</v>
          </cell>
        </row>
        <row r="127">
          <cell r="U127">
            <v>902.5</v>
          </cell>
        </row>
        <row r="128">
          <cell r="U128">
            <v>407.6</v>
          </cell>
        </row>
        <row r="129">
          <cell r="U129">
            <v>1335</v>
          </cell>
        </row>
        <row r="130">
          <cell r="U130">
            <v>2294.62</v>
          </cell>
        </row>
        <row r="131">
          <cell r="U131">
            <v>700</v>
          </cell>
        </row>
        <row r="132">
          <cell r="U132">
            <v>436.88</v>
          </cell>
        </row>
        <row r="133">
          <cell r="U133">
            <v>68</v>
          </cell>
        </row>
        <row r="134">
          <cell r="U134">
            <v>667</v>
          </cell>
        </row>
        <row r="135">
          <cell r="U135">
            <v>15063.1</v>
          </cell>
        </row>
        <row r="136">
          <cell r="U136">
            <v>54.34</v>
          </cell>
        </row>
        <row r="137">
          <cell r="U137">
            <v>567.41999999999996</v>
          </cell>
        </row>
        <row r="138">
          <cell r="U138">
            <v>1500</v>
          </cell>
        </row>
        <row r="139">
          <cell r="U139">
            <v>703</v>
          </cell>
        </row>
        <row r="140">
          <cell r="U140">
            <v>2200</v>
          </cell>
        </row>
        <row r="141">
          <cell r="U141">
            <v>1100</v>
          </cell>
        </row>
        <row r="142">
          <cell r="U142">
            <v>1051.68</v>
          </cell>
        </row>
        <row r="143">
          <cell r="U143">
            <v>30</v>
          </cell>
        </row>
        <row r="144">
          <cell r="U144">
            <v>55</v>
          </cell>
        </row>
        <row r="145">
          <cell r="U145">
            <v>80000</v>
          </cell>
        </row>
        <row r="146">
          <cell r="U146">
            <v>10000</v>
          </cell>
        </row>
        <row r="147">
          <cell r="U147">
            <v>293.25</v>
          </cell>
        </row>
        <row r="148">
          <cell r="U148">
            <v>727.38</v>
          </cell>
        </row>
        <row r="149">
          <cell r="U149">
            <v>463</v>
          </cell>
        </row>
        <row r="150">
          <cell r="U150">
            <v>2596</v>
          </cell>
        </row>
        <row r="151">
          <cell r="U151">
            <v>204.59</v>
          </cell>
        </row>
        <row r="152">
          <cell r="U152">
            <v>940.11</v>
          </cell>
        </row>
        <row r="153">
          <cell r="U153">
            <v>369.79</v>
          </cell>
        </row>
        <row r="154">
          <cell r="U154">
            <v>1459</v>
          </cell>
        </row>
        <row r="155">
          <cell r="U155">
            <v>800</v>
          </cell>
        </row>
        <row r="156">
          <cell r="U156">
            <v>1125</v>
          </cell>
        </row>
        <row r="157">
          <cell r="U157">
            <v>4834.9399999999996</v>
          </cell>
        </row>
        <row r="158">
          <cell r="U158">
            <v>3441.24</v>
          </cell>
        </row>
        <row r="159">
          <cell r="U159">
            <v>24773.95</v>
          </cell>
        </row>
        <row r="160">
          <cell r="U160">
            <v>44.33</v>
          </cell>
        </row>
        <row r="161">
          <cell r="U161">
            <v>1454.8</v>
          </cell>
        </row>
        <row r="162">
          <cell r="U162">
            <v>410</v>
          </cell>
        </row>
        <row r="163">
          <cell r="U163">
            <v>1600</v>
          </cell>
        </row>
        <row r="164">
          <cell r="U164">
            <v>270.99</v>
          </cell>
        </row>
        <row r="165">
          <cell r="U165">
            <v>430</v>
          </cell>
        </row>
        <row r="166">
          <cell r="U166">
            <v>300</v>
          </cell>
        </row>
        <row r="167">
          <cell r="U167">
            <v>472.64</v>
          </cell>
        </row>
        <row r="168">
          <cell r="U168">
            <v>100</v>
          </cell>
        </row>
        <row r="169">
          <cell r="U169">
            <v>16500</v>
          </cell>
        </row>
        <row r="170">
          <cell r="U170">
            <v>1125</v>
          </cell>
        </row>
        <row r="171">
          <cell r="U171">
            <v>940</v>
          </cell>
        </row>
        <row r="172">
          <cell r="U172">
            <v>450</v>
          </cell>
        </row>
        <row r="173">
          <cell r="U173">
            <v>2590.15</v>
          </cell>
        </row>
        <row r="174">
          <cell r="U174">
            <v>1029.8499999999999</v>
          </cell>
        </row>
        <row r="175">
          <cell r="U175">
            <v>2783.52</v>
          </cell>
        </row>
        <row r="176">
          <cell r="U176">
            <v>2396.85</v>
          </cell>
        </row>
        <row r="177">
          <cell r="U177">
            <v>22500</v>
          </cell>
        </row>
        <row r="178">
          <cell r="U178">
            <v>615</v>
          </cell>
        </row>
        <row r="179">
          <cell r="U179">
            <v>3787.5</v>
          </cell>
        </row>
        <row r="180">
          <cell r="U180">
            <v>880</v>
          </cell>
        </row>
        <row r="181">
          <cell r="U181">
            <v>838.85</v>
          </cell>
        </row>
        <row r="182">
          <cell r="U182">
            <v>185</v>
          </cell>
        </row>
        <row r="183">
          <cell r="U183">
            <v>1550</v>
          </cell>
        </row>
        <row r="184">
          <cell r="U184">
            <v>205</v>
          </cell>
        </row>
        <row r="185">
          <cell r="U185">
            <v>3484.77</v>
          </cell>
        </row>
        <row r="186">
          <cell r="U186">
            <v>333.33</v>
          </cell>
        </row>
        <row r="187">
          <cell r="U187">
            <v>1139.9100000000001</v>
          </cell>
        </row>
        <row r="188">
          <cell r="U188">
            <v>20</v>
          </cell>
        </row>
        <row r="189">
          <cell r="U189">
            <v>300</v>
          </cell>
        </row>
        <row r="190">
          <cell r="U190">
            <v>525</v>
          </cell>
        </row>
        <row r="191">
          <cell r="U191">
            <v>745.66</v>
          </cell>
        </row>
        <row r="192">
          <cell r="U192">
            <v>350</v>
          </cell>
        </row>
        <row r="193">
          <cell r="U193">
            <v>423</v>
          </cell>
        </row>
        <row r="194">
          <cell r="U194">
            <v>3628.4</v>
          </cell>
        </row>
        <row r="195">
          <cell r="U195">
            <v>660</v>
          </cell>
        </row>
        <row r="196">
          <cell r="U196">
            <v>9488.83</v>
          </cell>
        </row>
        <row r="197">
          <cell r="U197">
            <v>552</v>
          </cell>
        </row>
        <row r="198">
          <cell r="U198">
            <v>4153</v>
          </cell>
        </row>
        <row r="199">
          <cell r="U199">
            <v>2080.17</v>
          </cell>
        </row>
        <row r="200">
          <cell r="U200">
            <v>1252.5</v>
          </cell>
        </row>
        <row r="201">
          <cell r="U201">
            <v>1282.07</v>
          </cell>
        </row>
        <row r="202">
          <cell r="U202">
            <v>175</v>
          </cell>
        </row>
        <row r="203">
          <cell r="U203">
            <v>2000.61</v>
          </cell>
        </row>
        <row r="204">
          <cell r="U204">
            <v>8000</v>
          </cell>
        </row>
        <row r="205">
          <cell r="U205">
            <v>175</v>
          </cell>
        </row>
        <row r="206">
          <cell r="U206">
            <v>500</v>
          </cell>
        </row>
        <row r="207">
          <cell r="U207">
            <v>1000</v>
          </cell>
        </row>
        <row r="208">
          <cell r="U208">
            <v>245.38</v>
          </cell>
        </row>
        <row r="209">
          <cell r="U209">
            <v>3050</v>
          </cell>
        </row>
        <row r="210">
          <cell r="U210">
            <v>250</v>
          </cell>
        </row>
        <row r="211">
          <cell r="U211">
            <v>135</v>
          </cell>
        </row>
        <row r="212">
          <cell r="U212">
            <v>300</v>
          </cell>
        </row>
        <row r="213">
          <cell r="U213">
            <v>600</v>
          </cell>
        </row>
        <row r="214">
          <cell r="U214">
            <v>6000</v>
          </cell>
        </row>
        <row r="215">
          <cell r="U215">
            <v>200</v>
          </cell>
        </row>
        <row r="216">
          <cell r="U216">
            <v>550</v>
          </cell>
        </row>
        <row r="217">
          <cell r="U217">
            <v>158</v>
          </cell>
        </row>
        <row r="218">
          <cell r="U218">
            <v>935.29</v>
          </cell>
        </row>
        <row r="219">
          <cell r="U219">
            <v>336</v>
          </cell>
        </row>
        <row r="220">
          <cell r="U220">
            <v>241.56</v>
          </cell>
        </row>
        <row r="221">
          <cell r="U221">
            <v>555</v>
          </cell>
        </row>
        <row r="222">
          <cell r="U222">
            <v>971.42</v>
          </cell>
        </row>
        <row r="223">
          <cell r="U223">
            <v>1881.32</v>
          </cell>
        </row>
        <row r="224">
          <cell r="U224">
            <v>608.95000000000005</v>
          </cell>
        </row>
        <row r="225">
          <cell r="U225">
            <v>1760</v>
          </cell>
        </row>
        <row r="226">
          <cell r="U226">
            <v>231</v>
          </cell>
        </row>
        <row r="227">
          <cell r="U227">
            <v>1784</v>
          </cell>
        </row>
        <row r="228">
          <cell r="U228">
            <v>119</v>
          </cell>
        </row>
        <row r="229">
          <cell r="U229">
            <v>2174.94</v>
          </cell>
        </row>
        <row r="230">
          <cell r="U230">
            <v>995.96</v>
          </cell>
        </row>
        <row r="231">
          <cell r="U231">
            <v>415</v>
          </cell>
        </row>
        <row r="232">
          <cell r="U232">
            <v>612.03</v>
          </cell>
        </row>
        <row r="233">
          <cell r="U233">
            <v>730</v>
          </cell>
        </row>
        <row r="234">
          <cell r="U234">
            <v>889.33</v>
          </cell>
        </row>
        <row r="235">
          <cell r="U235">
            <v>450</v>
          </cell>
        </row>
        <row r="236">
          <cell r="U236">
            <v>50</v>
          </cell>
        </row>
        <row r="237">
          <cell r="U237">
            <v>4930</v>
          </cell>
        </row>
        <row r="238">
          <cell r="U238">
            <v>1269.69</v>
          </cell>
        </row>
        <row r="239">
          <cell r="U239">
            <v>732.88</v>
          </cell>
        </row>
        <row r="240">
          <cell r="U240">
            <v>260</v>
          </cell>
        </row>
        <row r="241">
          <cell r="U241">
            <v>-15527684.380000001</v>
          </cell>
        </row>
        <row r="242">
          <cell r="U242">
            <v>5000</v>
          </cell>
        </row>
        <row r="243">
          <cell r="U243">
            <v>14300</v>
          </cell>
        </row>
        <row r="244">
          <cell r="U244">
            <v>448.26</v>
          </cell>
        </row>
        <row r="245">
          <cell r="U245">
            <v>750</v>
          </cell>
        </row>
        <row r="246">
          <cell r="U246">
            <v>-889.33</v>
          </cell>
        </row>
        <row r="247">
          <cell r="U247">
            <v>435</v>
          </cell>
        </row>
        <row r="248">
          <cell r="U248">
            <v>695</v>
          </cell>
        </row>
        <row r="249">
          <cell r="U249">
            <v>294.7</v>
          </cell>
        </row>
        <row r="250">
          <cell r="U250">
            <v>595</v>
          </cell>
        </row>
        <row r="251">
          <cell r="U251">
            <v>100</v>
          </cell>
        </row>
        <row r="252">
          <cell r="U252">
            <v>100</v>
          </cell>
        </row>
        <row r="253">
          <cell r="U253">
            <v>198</v>
          </cell>
        </row>
        <row r="254">
          <cell r="U254">
            <v>486.93</v>
          </cell>
        </row>
        <row r="255">
          <cell r="U255">
            <v>1200</v>
          </cell>
        </row>
        <row r="256">
          <cell r="U256">
            <v>225</v>
          </cell>
        </row>
        <row r="257">
          <cell r="U257">
            <v>1794.8</v>
          </cell>
        </row>
        <row r="258">
          <cell r="U258">
            <v>500</v>
          </cell>
        </row>
        <row r="259">
          <cell r="U259">
            <v>200</v>
          </cell>
        </row>
        <row r="260">
          <cell r="U260">
            <v>176</v>
          </cell>
        </row>
        <row r="261">
          <cell r="U261">
            <v>50</v>
          </cell>
        </row>
        <row r="262">
          <cell r="U262">
            <v>137</v>
          </cell>
        </row>
        <row r="263">
          <cell r="U263">
            <v>4200</v>
          </cell>
        </row>
        <row r="264">
          <cell r="U264">
            <v>781.24</v>
          </cell>
        </row>
        <row r="265">
          <cell r="U265">
            <v>100</v>
          </cell>
        </row>
        <row r="266">
          <cell r="U266">
            <v>734.95</v>
          </cell>
        </row>
        <row r="267">
          <cell r="U267">
            <v>491.85</v>
          </cell>
        </row>
        <row r="268">
          <cell r="U268">
            <v>398</v>
          </cell>
        </row>
        <row r="269">
          <cell r="U269">
            <v>1854.85</v>
          </cell>
        </row>
        <row r="270">
          <cell r="U270">
            <v>385.95</v>
          </cell>
        </row>
        <row r="271">
          <cell r="U271">
            <v>831.33</v>
          </cell>
        </row>
        <row r="272">
          <cell r="U272">
            <v>1741.79</v>
          </cell>
        </row>
        <row r="273">
          <cell r="U273">
            <v>599</v>
          </cell>
        </row>
        <row r="274">
          <cell r="U274">
            <v>239.58</v>
          </cell>
        </row>
        <row r="275">
          <cell r="U275">
            <v>100</v>
          </cell>
        </row>
        <row r="276">
          <cell r="U276">
            <v>320</v>
          </cell>
        </row>
        <row r="277">
          <cell r="U277">
            <v>350</v>
          </cell>
        </row>
        <row r="278">
          <cell r="U278">
            <v>2753.49</v>
          </cell>
        </row>
        <row r="279">
          <cell r="U279">
            <v>1200</v>
          </cell>
        </row>
        <row r="280">
          <cell r="U280">
            <v>1008.29</v>
          </cell>
        </row>
        <row r="281">
          <cell r="U281">
            <v>1431.99</v>
          </cell>
        </row>
        <row r="282">
          <cell r="U282">
            <v>865.17</v>
          </cell>
        </row>
        <row r="283">
          <cell r="U283">
            <v>967</v>
          </cell>
        </row>
        <row r="284">
          <cell r="U284">
            <v>570</v>
          </cell>
        </row>
        <row r="285">
          <cell r="U285">
            <v>730</v>
          </cell>
        </row>
        <row r="286">
          <cell r="U286">
            <v>260</v>
          </cell>
        </row>
        <row r="287">
          <cell r="U287">
            <v>327</v>
          </cell>
        </row>
        <row r="288">
          <cell r="U288">
            <v>284</v>
          </cell>
        </row>
        <row r="289">
          <cell r="U289">
            <v>2000</v>
          </cell>
        </row>
        <row r="290">
          <cell r="U290">
            <v>350.63</v>
          </cell>
        </row>
        <row r="291">
          <cell r="U291">
            <v>150</v>
          </cell>
        </row>
        <row r="292">
          <cell r="U292">
            <v>1113</v>
          </cell>
        </row>
        <row r="293">
          <cell r="U293">
            <v>2418.67</v>
          </cell>
        </row>
        <row r="294">
          <cell r="U294">
            <v>917.18</v>
          </cell>
        </row>
        <row r="295">
          <cell r="U295">
            <v>1500</v>
          </cell>
        </row>
        <row r="296">
          <cell r="U296">
            <v>555</v>
          </cell>
        </row>
        <row r="297">
          <cell r="U297">
            <v>3500</v>
          </cell>
        </row>
        <row r="298">
          <cell r="U298">
            <v>260.8</v>
          </cell>
        </row>
        <row r="299">
          <cell r="U299">
            <v>256.64</v>
          </cell>
        </row>
        <row r="300">
          <cell r="U300">
            <v>451.05</v>
          </cell>
        </row>
        <row r="301">
          <cell r="U301">
            <v>4270.18</v>
          </cell>
        </row>
        <row r="302">
          <cell r="U302">
            <v>100</v>
          </cell>
        </row>
        <row r="303">
          <cell r="U303">
            <v>1740</v>
          </cell>
        </row>
        <row r="304">
          <cell r="U304">
            <v>1052.6400000000001</v>
          </cell>
        </row>
        <row r="305">
          <cell r="U305">
            <v>1410.62</v>
          </cell>
        </row>
        <row r="306">
          <cell r="U306">
            <v>645</v>
          </cell>
        </row>
        <row r="307">
          <cell r="U307">
            <v>60</v>
          </cell>
        </row>
        <row r="308">
          <cell r="U308">
            <v>3994.11</v>
          </cell>
        </row>
        <row r="309">
          <cell r="U309">
            <v>-33137.18</v>
          </cell>
        </row>
        <row r="310">
          <cell r="U310">
            <v>-72070.38</v>
          </cell>
        </row>
        <row r="311">
          <cell r="U311">
            <v>-266692.43</v>
          </cell>
        </row>
        <row r="312">
          <cell r="U312">
            <v>-29404.45</v>
          </cell>
        </row>
        <row r="313">
          <cell r="U313">
            <v>-16910</v>
          </cell>
        </row>
        <row r="314">
          <cell r="U314">
            <v>-86574.03</v>
          </cell>
        </row>
        <row r="315">
          <cell r="U315">
            <v>-15741.16</v>
          </cell>
        </row>
        <row r="316">
          <cell r="U316">
            <v>-22123.77</v>
          </cell>
        </row>
        <row r="317">
          <cell r="U317">
            <v>-80000</v>
          </cell>
        </row>
        <row r="318">
          <cell r="U318">
            <v>-1973138.34</v>
          </cell>
        </row>
        <row r="319">
          <cell r="U319">
            <v>186</v>
          </cell>
        </row>
        <row r="320">
          <cell r="U320">
            <v>462</v>
          </cell>
        </row>
        <row r="321">
          <cell r="U321">
            <v>159</v>
          </cell>
        </row>
        <row r="322">
          <cell r="U322">
            <v>1065.96</v>
          </cell>
        </row>
        <row r="323">
          <cell r="U323">
            <v>3536.94</v>
          </cell>
        </row>
        <row r="324">
          <cell r="U324">
            <v>410.25</v>
          </cell>
        </row>
        <row r="325">
          <cell r="U325">
            <v>655.16</v>
          </cell>
        </row>
        <row r="326">
          <cell r="U326">
            <v>7884.77</v>
          </cell>
        </row>
        <row r="327">
          <cell r="U327">
            <v>745</v>
          </cell>
        </row>
        <row r="328">
          <cell r="U328">
            <v>750</v>
          </cell>
        </row>
        <row r="329">
          <cell r="U329">
            <v>5587</v>
          </cell>
        </row>
        <row r="330">
          <cell r="U330">
            <v>9780</v>
          </cell>
        </row>
        <row r="331">
          <cell r="U331">
            <v>1010.08</v>
          </cell>
        </row>
        <row r="332">
          <cell r="U332">
            <v>753.41</v>
          </cell>
        </row>
        <row r="333">
          <cell r="U333">
            <v>715</v>
          </cell>
        </row>
        <row r="334">
          <cell r="U334">
            <v>560</v>
          </cell>
        </row>
        <row r="335">
          <cell r="U335">
            <v>5806.48</v>
          </cell>
        </row>
        <row r="336">
          <cell r="U336">
            <v>3373.99</v>
          </cell>
        </row>
        <row r="337">
          <cell r="U337">
            <v>75</v>
          </cell>
        </row>
        <row r="338">
          <cell r="U338">
            <v>160</v>
          </cell>
        </row>
        <row r="339">
          <cell r="U339">
            <v>755</v>
          </cell>
        </row>
        <row r="340">
          <cell r="U340">
            <v>240</v>
          </cell>
        </row>
        <row r="341">
          <cell r="U341">
            <v>-112.15</v>
          </cell>
        </row>
        <row r="342">
          <cell r="U342">
            <v>-84.39</v>
          </cell>
        </row>
        <row r="343">
          <cell r="U343">
            <v>-37931.03</v>
          </cell>
        </row>
        <row r="344">
          <cell r="U344">
            <v>-14.66</v>
          </cell>
        </row>
        <row r="345">
          <cell r="U345">
            <v>-11.08</v>
          </cell>
        </row>
        <row r="346">
          <cell r="U346">
            <v>-86.08</v>
          </cell>
        </row>
        <row r="347">
          <cell r="U347">
            <v>-53.35</v>
          </cell>
        </row>
        <row r="348">
          <cell r="U348">
            <v>2318.38</v>
          </cell>
        </row>
        <row r="349">
          <cell r="U349">
            <v>300</v>
          </cell>
        </row>
        <row r="350">
          <cell r="U350">
            <v>224</v>
          </cell>
        </row>
        <row r="351">
          <cell r="U351">
            <v>1500</v>
          </cell>
        </row>
        <row r="352">
          <cell r="U352">
            <v>1477.46</v>
          </cell>
        </row>
        <row r="353">
          <cell r="U353">
            <v>150</v>
          </cell>
        </row>
        <row r="354">
          <cell r="U354">
            <v>35</v>
          </cell>
        </row>
        <row r="355">
          <cell r="U355">
            <v>1731.54</v>
          </cell>
        </row>
        <row r="356">
          <cell r="U356">
            <v>90</v>
          </cell>
        </row>
        <row r="357">
          <cell r="U357">
            <v>1320.09</v>
          </cell>
        </row>
        <row r="358">
          <cell r="U358">
            <v>977.68</v>
          </cell>
        </row>
        <row r="359">
          <cell r="U359">
            <v>34</v>
          </cell>
        </row>
        <row r="360">
          <cell r="U360">
            <v>1521.19</v>
          </cell>
        </row>
        <row r="361">
          <cell r="U361">
            <v>1755</v>
          </cell>
        </row>
        <row r="362">
          <cell r="U362">
            <v>799.45</v>
          </cell>
        </row>
        <row r="363">
          <cell r="U363">
            <v>4000</v>
          </cell>
        </row>
        <row r="364">
          <cell r="U364">
            <v>250</v>
          </cell>
        </row>
        <row r="365">
          <cell r="U365">
            <v>1245</v>
          </cell>
        </row>
        <row r="366">
          <cell r="U366">
            <v>300</v>
          </cell>
        </row>
        <row r="367">
          <cell r="U367">
            <v>300</v>
          </cell>
        </row>
        <row r="368">
          <cell r="U368">
            <v>9150</v>
          </cell>
        </row>
        <row r="369">
          <cell r="U369">
            <v>930</v>
          </cell>
        </row>
        <row r="370">
          <cell r="U370">
            <v>102.06</v>
          </cell>
        </row>
        <row r="371">
          <cell r="U371">
            <v>1980</v>
          </cell>
        </row>
        <row r="372">
          <cell r="U372">
            <v>725.53</v>
          </cell>
        </row>
        <row r="373">
          <cell r="U373">
            <v>781.8</v>
          </cell>
        </row>
        <row r="374">
          <cell r="U374">
            <v>25000</v>
          </cell>
        </row>
        <row r="375">
          <cell r="U375">
            <v>3000</v>
          </cell>
        </row>
        <row r="376">
          <cell r="U376">
            <v>287.5</v>
          </cell>
        </row>
        <row r="377">
          <cell r="U377">
            <v>216.11</v>
          </cell>
        </row>
        <row r="378">
          <cell r="U378">
            <v>849</v>
          </cell>
        </row>
        <row r="379">
          <cell r="U379">
            <v>850</v>
          </cell>
        </row>
        <row r="380">
          <cell r="U380">
            <v>5800</v>
          </cell>
        </row>
        <row r="381">
          <cell r="U381">
            <v>685</v>
          </cell>
        </row>
        <row r="382">
          <cell r="U382">
            <v>355</v>
          </cell>
        </row>
        <row r="383">
          <cell r="U383">
            <v>271</v>
          </cell>
        </row>
        <row r="384">
          <cell r="U384">
            <v>1450</v>
          </cell>
        </row>
        <row r="385">
          <cell r="U385">
            <v>250</v>
          </cell>
        </row>
        <row r="386">
          <cell r="U386">
            <v>1015.86</v>
          </cell>
        </row>
        <row r="387">
          <cell r="U387">
            <v>1885.81</v>
          </cell>
        </row>
        <row r="388">
          <cell r="U388">
            <v>150</v>
          </cell>
        </row>
        <row r="389">
          <cell r="U389">
            <v>134.81</v>
          </cell>
        </row>
        <row r="390">
          <cell r="U390">
            <v>124.99</v>
          </cell>
        </row>
        <row r="391">
          <cell r="U391">
            <v>1090</v>
          </cell>
        </row>
        <row r="392">
          <cell r="U392">
            <v>1702.89</v>
          </cell>
        </row>
        <row r="393">
          <cell r="U393">
            <v>545</v>
          </cell>
        </row>
        <row r="394">
          <cell r="U394">
            <v>99.99</v>
          </cell>
        </row>
        <row r="395">
          <cell r="U395">
            <v>491.8</v>
          </cell>
        </row>
        <row r="396">
          <cell r="U396">
            <v>78.849999999999994</v>
          </cell>
        </row>
        <row r="397">
          <cell r="U397">
            <v>1010.98</v>
          </cell>
        </row>
        <row r="398">
          <cell r="U398">
            <v>1194</v>
          </cell>
        </row>
        <row r="399">
          <cell r="U399">
            <v>641.59</v>
          </cell>
        </row>
        <row r="400">
          <cell r="U400">
            <v>1926.5</v>
          </cell>
        </row>
        <row r="401">
          <cell r="U401">
            <v>4053.16</v>
          </cell>
        </row>
        <row r="402">
          <cell r="U402">
            <v>1163.43</v>
          </cell>
        </row>
        <row r="403">
          <cell r="U403">
            <v>44.2</v>
          </cell>
        </row>
        <row r="404">
          <cell r="U404">
            <v>713.36</v>
          </cell>
        </row>
        <row r="405">
          <cell r="U405">
            <v>871.05</v>
          </cell>
        </row>
        <row r="406">
          <cell r="U406">
            <v>164.97</v>
          </cell>
        </row>
        <row r="407">
          <cell r="U407">
            <v>6194.44</v>
          </cell>
        </row>
        <row r="408">
          <cell r="U408">
            <v>1146.8900000000001</v>
          </cell>
        </row>
        <row r="409">
          <cell r="U409">
            <v>150</v>
          </cell>
        </row>
        <row r="410">
          <cell r="U410">
            <v>565</v>
          </cell>
        </row>
        <row r="411">
          <cell r="U411">
            <v>1300</v>
          </cell>
        </row>
        <row r="412">
          <cell r="U412">
            <v>8500</v>
          </cell>
        </row>
        <row r="413">
          <cell r="U413">
            <v>1836.5</v>
          </cell>
        </row>
        <row r="414">
          <cell r="U414">
            <v>135000</v>
          </cell>
        </row>
        <row r="415">
          <cell r="U415">
            <v>20500</v>
          </cell>
        </row>
        <row r="416">
          <cell r="U416">
            <v>4017.23</v>
          </cell>
        </row>
        <row r="417">
          <cell r="U417">
            <v>227</v>
          </cell>
        </row>
        <row r="418">
          <cell r="U418">
            <v>1708.24</v>
          </cell>
        </row>
        <row r="419">
          <cell r="U419">
            <v>24007</v>
          </cell>
        </row>
        <row r="420">
          <cell r="U420">
            <v>833.47</v>
          </cell>
        </row>
        <row r="421">
          <cell r="U421">
            <v>100</v>
          </cell>
        </row>
        <row r="422">
          <cell r="U422">
            <v>10000</v>
          </cell>
        </row>
        <row r="423">
          <cell r="U423">
            <v>1000</v>
          </cell>
        </row>
        <row r="424">
          <cell r="U424">
            <v>527</v>
          </cell>
        </row>
        <row r="425">
          <cell r="U425">
            <v>1872</v>
          </cell>
        </row>
        <row r="426">
          <cell r="U426">
            <v>1000</v>
          </cell>
        </row>
        <row r="427">
          <cell r="U427">
            <v>225</v>
          </cell>
        </row>
        <row r="428">
          <cell r="U428">
            <v>1717.19</v>
          </cell>
        </row>
        <row r="429">
          <cell r="U429">
            <v>34008.160000000003</v>
          </cell>
        </row>
        <row r="430">
          <cell r="U430">
            <v>-20000</v>
          </cell>
        </row>
        <row r="431">
          <cell r="U431">
            <v>122.6</v>
          </cell>
        </row>
        <row r="432">
          <cell r="U432">
            <v>800</v>
          </cell>
        </row>
        <row r="433">
          <cell r="U433">
            <v>1000</v>
          </cell>
        </row>
        <row r="434">
          <cell r="U434">
            <v>5957.7</v>
          </cell>
        </row>
        <row r="435">
          <cell r="U435">
            <v>110</v>
          </cell>
        </row>
        <row r="436">
          <cell r="U436">
            <v>120</v>
          </cell>
        </row>
        <row r="437">
          <cell r="U437">
            <v>1110.6600000000001</v>
          </cell>
        </row>
        <row r="438">
          <cell r="U438">
            <v>-615</v>
          </cell>
        </row>
        <row r="439">
          <cell r="U439">
            <v>-550</v>
          </cell>
        </row>
        <row r="440">
          <cell r="U440">
            <v>-450</v>
          </cell>
        </row>
        <row r="441">
          <cell r="U441">
            <v>653.34</v>
          </cell>
        </row>
        <row r="442">
          <cell r="U442">
            <v>800</v>
          </cell>
        </row>
        <row r="443">
          <cell r="U443">
            <v>150</v>
          </cell>
        </row>
        <row r="444">
          <cell r="U444">
            <v>426.99</v>
          </cell>
        </row>
        <row r="445">
          <cell r="U445">
            <v>661.8</v>
          </cell>
        </row>
        <row r="446">
          <cell r="U446">
            <v>402</v>
          </cell>
        </row>
        <row r="447">
          <cell r="U447">
            <v>599.24</v>
          </cell>
        </row>
        <row r="448">
          <cell r="U448">
            <v>1050</v>
          </cell>
        </row>
        <row r="449">
          <cell r="U449">
            <v>300</v>
          </cell>
        </row>
        <row r="450">
          <cell r="U450">
            <v>200</v>
          </cell>
        </row>
        <row r="451">
          <cell r="U451">
            <v>613.79</v>
          </cell>
        </row>
        <row r="452">
          <cell r="U452">
            <v>201</v>
          </cell>
        </row>
        <row r="453">
          <cell r="U453">
            <v>150</v>
          </cell>
        </row>
        <row r="454">
          <cell r="U454">
            <v>38.44</v>
          </cell>
        </row>
        <row r="455">
          <cell r="U455">
            <v>494.79</v>
          </cell>
        </row>
        <row r="456">
          <cell r="U456">
            <v>1093.54</v>
          </cell>
        </row>
        <row r="457">
          <cell r="U457">
            <v>5564.77</v>
          </cell>
        </row>
        <row r="458">
          <cell r="U458">
            <v>838</v>
          </cell>
        </row>
        <row r="459">
          <cell r="U459">
            <v>16500</v>
          </cell>
        </row>
        <row r="460">
          <cell r="U460">
            <v>3847.13</v>
          </cell>
        </row>
        <row r="461">
          <cell r="U461">
            <v>3199.1</v>
          </cell>
        </row>
        <row r="462">
          <cell r="U462">
            <v>550000</v>
          </cell>
        </row>
        <row r="463">
          <cell r="U463">
            <v>100</v>
          </cell>
        </row>
        <row r="464">
          <cell r="U464">
            <v>35000</v>
          </cell>
        </row>
        <row r="465">
          <cell r="U465">
            <v>813.52</v>
          </cell>
        </row>
        <row r="466">
          <cell r="U466">
            <v>360</v>
          </cell>
        </row>
        <row r="467">
          <cell r="U467">
            <v>106.15</v>
          </cell>
        </row>
        <row r="468">
          <cell r="U468">
            <v>226</v>
          </cell>
        </row>
        <row r="469">
          <cell r="U469">
            <v>2755.65</v>
          </cell>
        </row>
        <row r="470">
          <cell r="U470">
            <v>370</v>
          </cell>
        </row>
        <row r="471">
          <cell r="U471">
            <v>480</v>
          </cell>
        </row>
        <row r="472">
          <cell r="U472">
            <v>872.74</v>
          </cell>
        </row>
        <row r="473">
          <cell r="U473">
            <v>1171.3699999999999</v>
          </cell>
        </row>
        <row r="474">
          <cell r="U474">
            <v>482.87</v>
          </cell>
        </row>
        <row r="475">
          <cell r="U475">
            <v>396</v>
          </cell>
        </row>
        <row r="476">
          <cell r="U476">
            <v>257.17</v>
          </cell>
        </row>
        <row r="477">
          <cell r="U477">
            <v>1464.47</v>
          </cell>
        </row>
        <row r="478">
          <cell r="U478">
            <v>1819.01</v>
          </cell>
        </row>
        <row r="479">
          <cell r="U479">
            <v>332</v>
          </cell>
        </row>
        <row r="480">
          <cell r="U480">
            <v>175</v>
          </cell>
        </row>
        <row r="481">
          <cell r="U481">
            <v>179.64</v>
          </cell>
        </row>
        <row r="482">
          <cell r="U482">
            <v>1500000</v>
          </cell>
        </row>
        <row r="483">
          <cell r="U483">
            <v>979.62</v>
          </cell>
        </row>
        <row r="484">
          <cell r="U484">
            <v>330</v>
          </cell>
        </row>
        <row r="485">
          <cell r="U485">
            <v>25000</v>
          </cell>
        </row>
        <row r="486">
          <cell r="U486">
            <v>225</v>
          </cell>
        </row>
        <row r="487">
          <cell r="U487">
            <v>200</v>
          </cell>
        </row>
        <row r="488">
          <cell r="U488">
            <v>-3536.94</v>
          </cell>
        </row>
        <row r="489">
          <cell r="U489">
            <v>2500</v>
          </cell>
        </row>
        <row r="490">
          <cell r="U490">
            <v>140</v>
          </cell>
        </row>
        <row r="491">
          <cell r="U491">
            <v>105</v>
          </cell>
        </row>
        <row r="492">
          <cell r="U492">
            <v>100</v>
          </cell>
        </row>
        <row r="493">
          <cell r="U493">
            <v>979.62</v>
          </cell>
        </row>
        <row r="494">
          <cell r="U494">
            <v>1963.23</v>
          </cell>
        </row>
        <row r="495">
          <cell r="U495">
            <v>18714.5</v>
          </cell>
        </row>
        <row r="496">
          <cell r="U496">
            <v>917</v>
          </cell>
        </row>
        <row r="497">
          <cell r="U497">
            <v>350</v>
          </cell>
        </row>
        <row r="498">
          <cell r="U498">
            <v>25000</v>
          </cell>
        </row>
        <row r="499">
          <cell r="U499">
            <v>850</v>
          </cell>
        </row>
        <row r="500">
          <cell r="U500">
            <v>1100</v>
          </cell>
        </row>
        <row r="501">
          <cell r="U501">
            <v>383.68</v>
          </cell>
        </row>
        <row r="502">
          <cell r="U502">
            <v>76</v>
          </cell>
        </row>
        <row r="503">
          <cell r="U503">
            <v>111.93</v>
          </cell>
        </row>
        <row r="504">
          <cell r="U504">
            <v>734.94</v>
          </cell>
        </row>
        <row r="505">
          <cell r="U505">
            <v>1141</v>
          </cell>
        </row>
        <row r="506">
          <cell r="U506">
            <v>530</v>
          </cell>
        </row>
        <row r="507">
          <cell r="U507">
            <v>930.33</v>
          </cell>
        </row>
        <row r="508">
          <cell r="U508">
            <v>80</v>
          </cell>
        </row>
        <row r="509">
          <cell r="U509">
            <v>1999.4</v>
          </cell>
        </row>
        <row r="510">
          <cell r="U510">
            <v>497.48</v>
          </cell>
        </row>
        <row r="511">
          <cell r="U511">
            <v>4500</v>
          </cell>
        </row>
        <row r="512">
          <cell r="U512">
            <v>125</v>
          </cell>
        </row>
        <row r="513">
          <cell r="U513">
            <v>385</v>
          </cell>
        </row>
        <row r="514">
          <cell r="U514">
            <v>320.52999999999997</v>
          </cell>
        </row>
        <row r="515">
          <cell r="U515">
            <v>1593.98</v>
          </cell>
        </row>
        <row r="516">
          <cell r="U516">
            <v>3427.14</v>
          </cell>
        </row>
        <row r="517">
          <cell r="U517">
            <v>98</v>
          </cell>
        </row>
        <row r="518">
          <cell r="U518">
            <v>1147.96</v>
          </cell>
        </row>
        <row r="519">
          <cell r="U519">
            <v>3115.85</v>
          </cell>
        </row>
        <row r="520">
          <cell r="U520">
            <v>575</v>
          </cell>
        </row>
        <row r="521">
          <cell r="U521">
            <v>223.26</v>
          </cell>
        </row>
        <row r="522">
          <cell r="U522">
            <v>2669.76</v>
          </cell>
        </row>
        <row r="523">
          <cell r="U523">
            <v>170</v>
          </cell>
        </row>
        <row r="524">
          <cell r="U524">
            <v>1517</v>
          </cell>
        </row>
        <row r="525">
          <cell r="U525">
            <v>299.99</v>
          </cell>
        </row>
        <row r="526">
          <cell r="U526">
            <v>2869</v>
          </cell>
        </row>
        <row r="527">
          <cell r="U527">
            <v>170.02</v>
          </cell>
        </row>
        <row r="528">
          <cell r="U528">
            <v>847.63</v>
          </cell>
        </row>
        <row r="529">
          <cell r="U529">
            <v>1460.3</v>
          </cell>
        </row>
        <row r="530">
          <cell r="U530">
            <v>260.01</v>
          </cell>
        </row>
        <row r="531">
          <cell r="U531">
            <v>962.19</v>
          </cell>
        </row>
        <row r="532">
          <cell r="U532">
            <v>415.5</v>
          </cell>
        </row>
        <row r="533">
          <cell r="U533">
            <v>800</v>
          </cell>
        </row>
        <row r="534">
          <cell r="U534">
            <v>3263.63</v>
          </cell>
        </row>
        <row r="535">
          <cell r="U535">
            <v>25000</v>
          </cell>
        </row>
        <row r="536">
          <cell r="U536">
            <v>539.75</v>
          </cell>
        </row>
        <row r="537">
          <cell r="U537">
            <v>200</v>
          </cell>
        </row>
        <row r="538">
          <cell r="U538">
            <v>3350</v>
          </cell>
        </row>
        <row r="539">
          <cell r="U539">
            <v>24890.86</v>
          </cell>
        </row>
        <row r="540">
          <cell r="U540">
            <v>423.99</v>
          </cell>
        </row>
        <row r="541">
          <cell r="U541">
            <v>1237</v>
          </cell>
        </row>
        <row r="542">
          <cell r="U542">
            <v>430.2</v>
          </cell>
        </row>
        <row r="543">
          <cell r="U543">
            <v>523.70000000000005</v>
          </cell>
        </row>
        <row r="544">
          <cell r="U544">
            <v>358.36</v>
          </cell>
        </row>
        <row r="545">
          <cell r="U545">
            <v>1715</v>
          </cell>
        </row>
        <row r="546">
          <cell r="U546">
            <v>6200</v>
          </cell>
        </row>
        <row r="547">
          <cell r="U547">
            <v>1305.98</v>
          </cell>
        </row>
        <row r="548">
          <cell r="U548">
            <v>3500</v>
          </cell>
        </row>
        <row r="549">
          <cell r="U549">
            <v>36610.42</v>
          </cell>
        </row>
        <row r="550">
          <cell r="U550">
            <v>192</v>
          </cell>
        </row>
        <row r="551">
          <cell r="U551">
            <v>2085</v>
          </cell>
        </row>
        <row r="552">
          <cell r="U552">
            <v>225</v>
          </cell>
        </row>
        <row r="553">
          <cell r="U553">
            <v>275</v>
          </cell>
        </row>
        <row r="554">
          <cell r="U554">
            <v>80</v>
          </cell>
        </row>
        <row r="555">
          <cell r="U555">
            <v>1200</v>
          </cell>
        </row>
        <row r="556">
          <cell r="U556">
            <v>618.04999999999995</v>
          </cell>
        </row>
        <row r="557">
          <cell r="U557">
            <v>1555</v>
          </cell>
        </row>
        <row r="558">
          <cell r="U558">
            <v>530</v>
          </cell>
        </row>
        <row r="559">
          <cell r="U559">
            <v>70</v>
          </cell>
        </row>
        <row r="560">
          <cell r="U560">
            <v>777.39</v>
          </cell>
        </row>
        <row r="561">
          <cell r="U561">
            <v>5010.5</v>
          </cell>
        </row>
        <row r="562">
          <cell r="U562">
            <v>28337.65</v>
          </cell>
        </row>
        <row r="563">
          <cell r="U563">
            <v>-3064.06</v>
          </cell>
        </row>
        <row r="564">
          <cell r="U564">
            <v>-596</v>
          </cell>
        </row>
        <row r="565">
          <cell r="U565">
            <v>-684414.38</v>
          </cell>
        </row>
        <row r="566">
          <cell r="U566">
            <v>-59008.160000000003</v>
          </cell>
        </row>
        <row r="567">
          <cell r="U567">
            <v>-5138.8100000000004</v>
          </cell>
        </row>
        <row r="568">
          <cell r="U568">
            <v>-345436.9</v>
          </cell>
        </row>
        <row r="569">
          <cell r="U569">
            <v>-3417.83</v>
          </cell>
        </row>
        <row r="570">
          <cell r="U570">
            <v>-224</v>
          </cell>
        </row>
        <row r="571">
          <cell r="U571">
            <v>-1509450</v>
          </cell>
        </row>
        <row r="572">
          <cell r="U572">
            <v>9023.69</v>
          </cell>
        </row>
        <row r="573">
          <cell r="U573">
            <v>486</v>
          </cell>
        </row>
        <row r="574">
          <cell r="U574">
            <v>1000</v>
          </cell>
        </row>
        <row r="575">
          <cell r="U575">
            <v>197.62</v>
          </cell>
        </row>
        <row r="576">
          <cell r="U576">
            <v>376.22</v>
          </cell>
        </row>
        <row r="577">
          <cell r="U577">
            <v>620</v>
          </cell>
        </row>
        <row r="578">
          <cell r="U578">
            <v>404</v>
          </cell>
        </row>
        <row r="579">
          <cell r="U579">
            <v>3602.24</v>
          </cell>
        </row>
        <row r="580">
          <cell r="U580">
            <v>76.11</v>
          </cell>
        </row>
        <row r="581">
          <cell r="U581">
            <v>250</v>
          </cell>
        </row>
        <row r="582">
          <cell r="U582">
            <v>1753.55</v>
          </cell>
        </row>
        <row r="583">
          <cell r="U583">
            <v>6500</v>
          </cell>
        </row>
        <row r="584">
          <cell r="U584">
            <v>150</v>
          </cell>
        </row>
        <row r="585">
          <cell r="U585">
            <v>776</v>
          </cell>
        </row>
        <row r="586">
          <cell r="U586">
            <v>881</v>
          </cell>
        </row>
        <row r="587">
          <cell r="U587">
            <v>243.35</v>
          </cell>
        </row>
        <row r="588">
          <cell r="U588">
            <v>4271.24</v>
          </cell>
        </row>
        <row r="589">
          <cell r="U589">
            <v>200</v>
          </cell>
        </row>
        <row r="590">
          <cell r="U590">
            <v>275</v>
          </cell>
        </row>
        <row r="591">
          <cell r="U591">
            <v>1547</v>
          </cell>
        </row>
        <row r="592">
          <cell r="U592">
            <v>1426.42</v>
          </cell>
        </row>
        <row r="593">
          <cell r="U593">
            <v>24007</v>
          </cell>
        </row>
        <row r="594">
          <cell r="U594">
            <v>2444.98</v>
          </cell>
        </row>
        <row r="595">
          <cell r="U595">
            <v>19243.919999999998</v>
          </cell>
        </row>
        <row r="596">
          <cell r="U596">
            <v>180.08</v>
          </cell>
        </row>
        <row r="597">
          <cell r="U597">
            <v>680</v>
          </cell>
        </row>
        <row r="598">
          <cell r="U598">
            <v>20000</v>
          </cell>
        </row>
        <row r="599">
          <cell r="U599">
            <v>300</v>
          </cell>
        </row>
        <row r="600">
          <cell r="U600">
            <v>180</v>
          </cell>
        </row>
        <row r="601">
          <cell r="U601">
            <v>80</v>
          </cell>
        </row>
        <row r="602">
          <cell r="U602">
            <v>150</v>
          </cell>
        </row>
        <row r="603">
          <cell r="U603">
            <v>920</v>
          </cell>
        </row>
        <row r="604">
          <cell r="U604">
            <v>967.91</v>
          </cell>
        </row>
        <row r="605">
          <cell r="U605">
            <v>371.61</v>
          </cell>
        </row>
        <row r="606">
          <cell r="U606">
            <v>75000</v>
          </cell>
        </row>
        <row r="607">
          <cell r="U607">
            <v>480</v>
          </cell>
        </row>
        <row r="608">
          <cell r="U608">
            <v>2656.83</v>
          </cell>
        </row>
        <row r="609">
          <cell r="U609">
            <v>9753.19</v>
          </cell>
        </row>
        <row r="610">
          <cell r="U610">
            <v>1080</v>
          </cell>
        </row>
        <row r="611">
          <cell r="U611">
            <v>736</v>
          </cell>
        </row>
        <row r="612">
          <cell r="U612">
            <v>661.64</v>
          </cell>
        </row>
        <row r="613">
          <cell r="U613">
            <v>1606.12</v>
          </cell>
        </row>
        <row r="614">
          <cell r="U614">
            <v>1222.5</v>
          </cell>
        </row>
        <row r="615">
          <cell r="U615">
            <v>1770</v>
          </cell>
        </row>
        <row r="616">
          <cell r="U616">
            <v>945</v>
          </cell>
        </row>
        <row r="617">
          <cell r="U617">
            <v>344.43</v>
          </cell>
        </row>
        <row r="618">
          <cell r="U618">
            <v>1733</v>
          </cell>
        </row>
        <row r="619">
          <cell r="U619">
            <v>576</v>
          </cell>
        </row>
        <row r="620">
          <cell r="U620">
            <v>1423.44</v>
          </cell>
        </row>
        <row r="621">
          <cell r="U621">
            <v>738.97</v>
          </cell>
        </row>
        <row r="622">
          <cell r="U622">
            <v>33.9</v>
          </cell>
        </row>
        <row r="623">
          <cell r="U623">
            <v>617.79</v>
          </cell>
        </row>
        <row r="624">
          <cell r="U624">
            <v>5336.96</v>
          </cell>
        </row>
        <row r="625">
          <cell r="U625">
            <v>1089.08</v>
          </cell>
        </row>
        <row r="626">
          <cell r="U626">
            <v>1109.94</v>
          </cell>
        </row>
        <row r="627">
          <cell r="U627">
            <v>1440</v>
          </cell>
        </row>
        <row r="628">
          <cell r="U628">
            <v>556.64</v>
          </cell>
        </row>
        <row r="629">
          <cell r="U629">
            <v>75000</v>
          </cell>
        </row>
        <row r="630">
          <cell r="U630">
            <v>3000</v>
          </cell>
        </row>
        <row r="631">
          <cell r="U631">
            <v>75</v>
          </cell>
        </row>
        <row r="632">
          <cell r="U632">
            <v>237.18</v>
          </cell>
        </row>
        <row r="633">
          <cell r="U633">
            <v>200</v>
          </cell>
        </row>
        <row r="634">
          <cell r="U634">
            <v>1352.26</v>
          </cell>
        </row>
        <row r="635">
          <cell r="U635">
            <v>487.45</v>
          </cell>
        </row>
        <row r="636">
          <cell r="U636">
            <v>-25000</v>
          </cell>
        </row>
        <row r="637">
          <cell r="U637">
            <v>-8832.16</v>
          </cell>
        </row>
        <row r="638">
          <cell r="U638">
            <v>-979.62</v>
          </cell>
        </row>
        <row r="639">
          <cell r="U639">
            <v>-25000</v>
          </cell>
        </row>
        <row r="640">
          <cell r="U640">
            <v>5624.87</v>
          </cell>
        </row>
        <row r="641">
          <cell r="U641">
            <v>3519.13</v>
          </cell>
        </row>
        <row r="642">
          <cell r="U642">
            <v>1063.81</v>
          </cell>
        </row>
        <row r="643">
          <cell r="U643">
            <v>200</v>
          </cell>
        </row>
        <row r="644">
          <cell r="U644">
            <v>209.22</v>
          </cell>
        </row>
        <row r="645">
          <cell r="U645">
            <v>482</v>
          </cell>
        </row>
        <row r="646">
          <cell r="U646">
            <v>5500</v>
          </cell>
        </row>
        <row r="647">
          <cell r="U647">
            <v>5000</v>
          </cell>
        </row>
        <row r="648">
          <cell r="U648">
            <v>727.83</v>
          </cell>
        </row>
        <row r="649">
          <cell r="U649">
            <v>250</v>
          </cell>
        </row>
        <row r="650">
          <cell r="U650">
            <v>10418</v>
          </cell>
        </row>
        <row r="651">
          <cell r="U651">
            <v>2015.76</v>
          </cell>
        </row>
        <row r="652">
          <cell r="U652">
            <v>610</v>
          </cell>
        </row>
        <row r="653">
          <cell r="U653">
            <v>525</v>
          </cell>
        </row>
        <row r="654">
          <cell r="U654">
            <v>1345</v>
          </cell>
        </row>
        <row r="655">
          <cell r="U655">
            <v>139.86000000000001</v>
          </cell>
        </row>
        <row r="656">
          <cell r="U656">
            <v>3511.68</v>
          </cell>
        </row>
        <row r="657">
          <cell r="U657">
            <v>1020.95</v>
          </cell>
        </row>
        <row r="658">
          <cell r="U658">
            <v>75</v>
          </cell>
        </row>
        <row r="659">
          <cell r="U659">
            <v>830.11</v>
          </cell>
        </row>
        <row r="660">
          <cell r="U660">
            <v>905</v>
          </cell>
        </row>
        <row r="661">
          <cell r="U661">
            <v>228</v>
          </cell>
        </row>
        <row r="662">
          <cell r="U662">
            <v>874</v>
          </cell>
        </row>
        <row r="663">
          <cell r="U663">
            <v>282</v>
          </cell>
        </row>
        <row r="664">
          <cell r="U664">
            <v>351.95</v>
          </cell>
        </row>
        <row r="665">
          <cell r="U665">
            <v>7671.25</v>
          </cell>
        </row>
        <row r="666">
          <cell r="U666">
            <v>232.5</v>
          </cell>
        </row>
        <row r="667">
          <cell r="U667">
            <v>1623</v>
          </cell>
        </row>
        <row r="668">
          <cell r="U668">
            <v>5156.3100000000004</v>
          </cell>
        </row>
        <row r="669">
          <cell r="U669">
            <v>465</v>
          </cell>
        </row>
        <row r="670">
          <cell r="U670">
            <v>1318.7</v>
          </cell>
        </row>
        <row r="671">
          <cell r="U671">
            <v>450</v>
          </cell>
        </row>
        <row r="672">
          <cell r="U672">
            <v>9</v>
          </cell>
        </row>
        <row r="673">
          <cell r="U673">
            <v>2621.82</v>
          </cell>
        </row>
        <row r="674">
          <cell r="U674">
            <v>118.91</v>
          </cell>
        </row>
        <row r="675">
          <cell r="U675">
            <v>1284.47</v>
          </cell>
        </row>
        <row r="676">
          <cell r="U676">
            <v>85</v>
          </cell>
        </row>
        <row r="677">
          <cell r="U677">
            <v>855.89</v>
          </cell>
        </row>
        <row r="678">
          <cell r="U678">
            <v>3003.97</v>
          </cell>
        </row>
        <row r="679">
          <cell r="U679">
            <v>875</v>
          </cell>
        </row>
        <row r="680">
          <cell r="U680">
            <v>922.18</v>
          </cell>
        </row>
        <row r="681">
          <cell r="U681">
            <v>4067.13</v>
          </cell>
        </row>
        <row r="682">
          <cell r="U682">
            <v>567.01</v>
          </cell>
        </row>
        <row r="683">
          <cell r="U683">
            <v>3380.34</v>
          </cell>
        </row>
        <row r="684">
          <cell r="U684">
            <v>109.95</v>
          </cell>
        </row>
        <row r="685">
          <cell r="U685">
            <v>1525</v>
          </cell>
        </row>
        <row r="686">
          <cell r="U686">
            <v>119</v>
          </cell>
        </row>
        <row r="687">
          <cell r="U687">
            <v>217.32</v>
          </cell>
        </row>
        <row r="688">
          <cell r="U688">
            <v>2900</v>
          </cell>
        </row>
        <row r="689">
          <cell r="U689">
            <v>1190</v>
          </cell>
        </row>
        <row r="690">
          <cell r="U690">
            <v>140</v>
          </cell>
        </row>
        <row r="691">
          <cell r="U691">
            <v>-24007</v>
          </cell>
        </row>
        <row r="692">
          <cell r="U692">
            <v>200</v>
          </cell>
        </row>
        <row r="693">
          <cell r="U693">
            <v>643.98</v>
          </cell>
        </row>
        <row r="694">
          <cell r="U694">
            <v>35101.29</v>
          </cell>
        </row>
        <row r="695">
          <cell r="U695">
            <v>1402.44</v>
          </cell>
        </row>
        <row r="696">
          <cell r="U696">
            <v>278.95</v>
          </cell>
        </row>
        <row r="697">
          <cell r="U697">
            <v>342.96</v>
          </cell>
        </row>
        <row r="698">
          <cell r="U698">
            <v>124.53</v>
          </cell>
        </row>
        <row r="699">
          <cell r="U699">
            <v>2000</v>
          </cell>
        </row>
        <row r="700">
          <cell r="U700">
            <v>82</v>
          </cell>
        </row>
        <row r="701">
          <cell r="U701">
            <v>519.6</v>
          </cell>
        </row>
        <row r="702">
          <cell r="U702">
            <v>496.12</v>
          </cell>
        </row>
        <row r="703">
          <cell r="U703">
            <v>1085.3</v>
          </cell>
        </row>
        <row r="704">
          <cell r="U704">
            <v>858.69</v>
          </cell>
        </row>
        <row r="705">
          <cell r="U705">
            <v>212.98</v>
          </cell>
        </row>
        <row r="706">
          <cell r="U706">
            <v>1619.26</v>
          </cell>
        </row>
        <row r="707">
          <cell r="U707">
            <v>3260.93</v>
          </cell>
        </row>
        <row r="708">
          <cell r="U708">
            <v>500</v>
          </cell>
        </row>
        <row r="709">
          <cell r="U709">
            <v>524</v>
          </cell>
        </row>
        <row r="710">
          <cell r="U710">
            <v>1729</v>
          </cell>
        </row>
        <row r="711">
          <cell r="U711">
            <v>2262</v>
          </cell>
        </row>
        <row r="712">
          <cell r="U712">
            <v>350</v>
          </cell>
        </row>
        <row r="713">
          <cell r="U713">
            <v>812.11</v>
          </cell>
        </row>
        <row r="714">
          <cell r="U714">
            <v>322</v>
          </cell>
        </row>
        <row r="715">
          <cell r="U715">
            <v>850</v>
          </cell>
        </row>
        <row r="716">
          <cell r="U716">
            <v>449</v>
          </cell>
        </row>
        <row r="717">
          <cell r="U717">
            <v>33503.03</v>
          </cell>
        </row>
        <row r="718">
          <cell r="U718">
            <v>5251.42</v>
          </cell>
        </row>
        <row r="719">
          <cell r="U719">
            <v>311.38</v>
          </cell>
        </row>
        <row r="720">
          <cell r="U720">
            <v>1639.79</v>
          </cell>
        </row>
        <row r="721">
          <cell r="U721">
            <v>1531</v>
          </cell>
        </row>
        <row r="722">
          <cell r="U722">
            <v>400</v>
          </cell>
        </row>
        <row r="723">
          <cell r="U723">
            <v>882.41</v>
          </cell>
        </row>
        <row r="724">
          <cell r="U724">
            <v>5000.21</v>
          </cell>
        </row>
        <row r="725">
          <cell r="U725">
            <v>249.94</v>
          </cell>
        </row>
        <row r="726">
          <cell r="U726">
            <v>690.74</v>
          </cell>
        </row>
        <row r="727">
          <cell r="U727">
            <v>1150.17</v>
          </cell>
        </row>
        <row r="728">
          <cell r="U728">
            <v>269.39</v>
          </cell>
        </row>
        <row r="729">
          <cell r="U729">
            <v>69</v>
          </cell>
        </row>
        <row r="730">
          <cell r="U730">
            <v>1357</v>
          </cell>
        </row>
        <row r="731">
          <cell r="U731">
            <v>5244.5</v>
          </cell>
        </row>
        <row r="732">
          <cell r="U732">
            <v>290</v>
          </cell>
        </row>
        <row r="733">
          <cell r="U733">
            <v>68.92</v>
          </cell>
        </row>
        <row r="734">
          <cell r="U734">
            <v>165</v>
          </cell>
        </row>
        <row r="735">
          <cell r="U735">
            <v>310</v>
          </cell>
        </row>
        <row r="736">
          <cell r="U736">
            <v>1000</v>
          </cell>
        </row>
        <row r="737">
          <cell r="U737">
            <v>839</v>
          </cell>
        </row>
        <row r="738">
          <cell r="U738">
            <v>2683.32</v>
          </cell>
        </row>
        <row r="739">
          <cell r="U739">
            <v>500</v>
          </cell>
        </row>
        <row r="740">
          <cell r="U740">
            <v>1615.81</v>
          </cell>
        </row>
        <row r="741">
          <cell r="U741">
            <v>808.51</v>
          </cell>
        </row>
        <row r="742">
          <cell r="U742">
            <v>4226.1099999999997</v>
          </cell>
        </row>
        <row r="743">
          <cell r="U743">
            <v>141.63999999999999</v>
          </cell>
        </row>
        <row r="744">
          <cell r="U744">
            <v>406.95</v>
          </cell>
        </row>
        <row r="745">
          <cell r="U745">
            <v>4667.58</v>
          </cell>
        </row>
        <row r="746">
          <cell r="U746">
            <v>530.96</v>
          </cell>
        </row>
        <row r="747">
          <cell r="U747">
            <v>885.56</v>
          </cell>
        </row>
        <row r="748">
          <cell r="U748">
            <v>28</v>
          </cell>
        </row>
        <row r="749">
          <cell r="U749">
            <v>350</v>
          </cell>
        </row>
        <row r="750">
          <cell r="U750">
            <v>588.09</v>
          </cell>
        </row>
        <row r="751">
          <cell r="U751">
            <v>30</v>
          </cell>
        </row>
        <row r="752">
          <cell r="U752">
            <v>660</v>
          </cell>
        </row>
        <row r="753">
          <cell r="U753">
            <v>3360</v>
          </cell>
        </row>
        <row r="754">
          <cell r="U754">
            <v>981.94</v>
          </cell>
        </row>
        <row r="755">
          <cell r="U755">
            <v>1603.79</v>
          </cell>
        </row>
        <row r="756">
          <cell r="U756">
            <v>200</v>
          </cell>
        </row>
        <row r="757">
          <cell r="U757">
            <v>1708.17</v>
          </cell>
        </row>
        <row r="758">
          <cell r="U758">
            <v>2551.5500000000002</v>
          </cell>
        </row>
        <row r="759">
          <cell r="U759">
            <v>350</v>
          </cell>
        </row>
        <row r="760">
          <cell r="U760">
            <v>911.59</v>
          </cell>
        </row>
        <row r="761">
          <cell r="U761">
            <v>1000</v>
          </cell>
        </row>
        <row r="762">
          <cell r="U762">
            <v>1104.95</v>
          </cell>
        </row>
        <row r="763">
          <cell r="U763">
            <v>527</v>
          </cell>
        </row>
        <row r="764">
          <cell r="U764">
            <v>296.88</v>
          </cell>
        </row>
        <row r="765">
          <cell r="U765">
            <v>1500</v>
          </cell>
        </row>
        <row r="766">
          <cell r="U766">
            <v>1102.55</v>
          </cell>
        </row>
        <row r="767">
          <cell r="U767">
            <v>140</v>
          </cell>
        </row>
        <row r="768">
          <cell r="U768">
            <v>341.69</v>
          </cell>
        </row>
        <row r="769">
          <cell r="U769">
            <v>7200</v>
          </cell>
        </row>
        <row r="770">
          <cell r="U770">
            <v>430</v>
          </cell>
        </row>
        <row r="771">
          <cell r="U771">
            <v>2232.5</v>
          </cell>
        </row>
        <row r="772">
          <cell r="U772">
            <v>5241.68</v>
          </cell>
        </row>
        <row r="773">
          <cell r="U773">
            <v>698.63</v>
          </cell>
        </row>
        <row r="774">
          <cell r="U774">
            <v>1218.71</v>
          </cell>
        </row>
        <row r="775">
          <cell r="U775">
            <v>575</v>
          </cell>
        </row>
        <row r="776">
          <cell r="U776">
            <v>800</v>
          </cell>
        </row>
        <row r="777">
          <cell r="U777">
            <v>2000</v>
          </cell>
        </row>
        <row r="778">
          <cell r="U778">
            <v>9750</v>
          </cell>
        </row>
        <row r="779">
          <cell r="U779">
            <v>976.92</v>
          </cell>
        </row>
        <row r="780">
          <cell r="U780">
            <v>220</v>
          </cell>
        </row>
        <row r="781">
          <cell r="U781">
            <v>1997.1</v>
          </cell>
        </row>
        <row r="782">
          <cell r="U782">
            <v>4692.9799999999996</v>
          </cell>
        </row>
        <row r="783">
          <cell r="U783">
            <v>859.7</v>
          </cell>
        </row>
        <row r="784">
          <cell r="U784">
            <v>750</v>
          </cell>
        </row>
        <row r="785">
          <cell r="U785">
            <v>96.35</v>
          </cell>
        </row>
        <row r="786">
          <cell r="U786">
            <v>121.92</v>
          </cell>
        </row>
        <row r="787">
          <cell r="U787">
            <v>465</v>
          </cell>
        </row>
        <row r="788">
          <cell r="U788">
            <v>96</v>
          </cell>
        </row>
        <row r="789">
          <cell r="U789">
            <v>850</v>
          </cell>
        </row>
        <row r="790">
          <cell r="U790">
            <v>435</v>
          </cell>
        </row>
        <row r="791">
          <cell r="U791">
            <v>225</v>
          </cell>
        </row>
        <row r="792">
          <cell r="U792">
            <v>180</v>
          </cell>
        </row>
        <row r="793">
          <cell r="U793">
            <v>1213.5899999999999</v>
          </cell>
        </row>
        <row r="794">
          <cell r="U794">
            <v>560</v>
          </cell>
        </row>
        <row r="795">
          <cell r="U795">
            <v>200</v>
          </cell>
        </row>
        <row r="796">
          <cell r="U796">
            <v>1245</v>
          </cell>
        </row>
        <row r="797">
          <cell r="U797">
            <v>250</v>
          </cell>
        </row>
        <row r="798">
          <cell r="U798">
            <v>93.85</v>
          </cell>
        </row>
        <row r="799">
          <cell r="U799">
            <v>294.11</v>
          </cell>
        </row>
        <row r="800">
          <cell r="U800">
            <v>1036</v>
          </cell>
        </row>
        <row r="801">
          <cell r="U801">
            <v>216.82</v>
          </cell>
        </row>
        <row r="802">
          <cell r="U802">
            <v>1500</v>
          </cell>
        </row>
        <row r="803">
          <cell r="U803">
            <v>1513</v>
          </cell>
        </row>
        <row r="804">
          <cell r="U804">
            <v>125</v>
          </cell>
        </row>
        <row r="805">
          <cell r="U805">
            <v>75</v>
          </cell>
        </row>
        <row r="806">
          <cell r="U806">
            <v>59</v>
          </cell>
        </row>
        <row r="807">
          <cell r="U807">
            <v>734.75</v>
          </cell>
        </row>
        <row r="808">
          <cell r="U808">
            <v>350.99</v>
          </cell>
        </row>
        <row r="809">
          <cell r="U809">
            <v>975</v>
          </cell>
        </row>
        <row r="810">
          <cell r="U810">
            <v>327.62</v>
          </cell>
        </row>
        <row r="811">
          <cell r="U811">
            <v>3747.14</v>
          </cell>
        </row>
        <row r="812">
          <cell r="U812">
            <v>534.98</v>
          </cell>
        </row>
        <row r="813">
          <cell r="U813">
            <v>700.85</v>
          </cell>
        </row>
        <row r="814">
          <cell r="U814">
            <v>979.5</v>
          </cell>
        </row>
        <row r="815">
          <cell r="U815">
            <v>-8000</v>
          </cell>
        </row>
        <row r="816">
          <cell r="U816">
            <v>-400</v>
          </cell>
        </row>
        <row r="817">
          <cell r="U817">
            <v>-14715.82</v>
          </cell>
        </row>
        <row r="818">
          <cell r="U818">
            <v>-65787.87</v>
          </cell>
        </row>
        <row r="819">
          <cell r="U819">
            <v>-17172.05</v>
          </cell>
        </row>
        <row r="820">
          <cell r="U820">
            <v>-172581.9</v>
          </cell>
        </row>
        <row r="821">
          <cell r="U821">
            <v>-300249.28999999998</v>
          </cell>
        </row>
        <row r="822">
          <cell r="U822">
            <v>-225</v>
          </cell>
        </row>
        <row r="823">
          <cell r="U823">
            <v>-500</v>
          </cell>
        </row>
        <row r="824">
          <cell r="U824">
            <v>-87055</v>
          </cell>
        </row>
        <row r="825">
          <cell r="U825">
            <v>-1708.17</v>
          </cell>
        </row>
        <row r="826">
          <cell r="U826">
            <v>5275</v>
          </cell>
        </row>
        <row r="827">
          <cell r="U827">
            <v>565.52</v>
          </cell>
        </row>
        <row r="828">
          <cell r="U828">
            <v>2249.92</v>
          </cell>
        </row>
        <row r="829">
          <cell r="U829">
            <v>2254.34</v>
          </cell>
        </row>
        <row r="830">
          <cell r="U830">
            <v>175</v>
          </cell>
        </row>
        <row r="831">
          <cell r="U831">
            <v>3364.98</v>
          </cell>
        </row>
        <row r="832">
          <cell r="U832">
            <v>578.6</v>
          </cell>
        </row>
        <row r="833">
          <cell r="U833">
            <v>335</v>
          </cell>
        </row>
        <row r="834">
          <cell r="U834">
            <v>1371.58</v>
          </cell>
        </row>
        <row r="835">
          <cell r="U835">
            <v>467.45</v>
          </cell>
        </row>
        <row r="836">
          <cell r="U836">
            <v>73</v>
          </cell>
        </row>
        <row r="837">
          <cell r="U837">
            <v>350.3</v>
          </cell>
        </row>
        <row r="838">
          <cell r="U838">
            <v>2500</v>
          </cell>
        </row>
        <row r="839">
          <cell r="U839">
            <v>120</v>
          </cell>
        </row>
        <row r="840">
          <cell r="U840">
            <v>677.97</v>
          </cell>
        </row>
        <row r="841">
          <cell r="U841">
            <v>640</v>
          </cell>
        </row>
        <row r="842">
          <cell r="U842">
            <v>247.45</v>
          </cell>
        </row>
        <row r="843">
          <cell r="U843">
            <v>1400.29</v>
          </cell>
        </row>
        <row r="844">
          <cell r="U844">
            <v>-855.89</v>
          </cell>
        </row>
        <row r="845">
          <cell r="U845">
            <v>125</v>
          </cell>
        </row>
        <row r="846">
          <cell r="U846">
            <v>222.5</v>
          </cell>
        </row>
        <row r="847">
          <cell r="U847">
            <v>1094.21</v>
          </cell>
        </row>
        <row r="848">
          <cell r="U848">
            <v>550</v>
          </cell>
        </row>
        <row r="849">
          <cell r="U849">
            <v>350</v>
          </cell>
        </row>
        <row r="850">
          <cell r="U850">
            <v>1303.1199999999999</v>
          </cell>
        </row>
        <row r="851">
          <cell r="U851">
            <v>115</v>
          </cell>
        </row>
        <row r="852">
          <cell r="U852">
            <v>534</v>
          </cell>
        </row>
        <row r="853">
          <cell r="U853">
            <v>829</v>
          </cell>
        </row>
        <row r="854">
          <cell r="U854">
            <v>3822.18</v>
          </cell>
        </row>
        <row r="855">
          <cell r="U855">
            <v>9770</v>
          </cell>
        </row>
        <row r="856">
          <cell r="U856">
            <v>3636.08</v>
          </cell>
        </row>
        <row r="857">
          <cell r="U857">
            <v>1409</v>
          </cell>
        </row>
        <row r="858">
          <cell r="U858">
            <v>149.94999999999999</v>
          </cell>
        </row>
        <row r="859">
          <cell r="U859">
            <v>387.47</v>
          </cell>
        </row>
        <row r="860">
          <cell r="U860">
            <v>1469.21</v>
          </cell>
        </row>
        <row r="861">
          <cell r="U861">
            <v>514.79</v>
          </cell>
        </row>
        <row r="862">
          <cell r="U862">
            <v>3226.27</v>
          </cell>
        </row>
        <row r="863">
          <cell r="U863">
            <v>519.49</v>
          </cell>
        </row>
        <row r="864">
          <cell r="U864">
            <v>1392.05</v>
          </cell>
        </row>
        <row r="865">
          <cell r="U865">
            <v>5049.08</v>
          </cell>
        </row>
        <row r="866">
          <cell r="U866">
            <v>1682.04</v>
          </cell>
        </row>
        <row r="867">
          <cell r="U867">
            <v>851.65</v>
          </cell>
        </row>
        <row r="868">
          <cell r="U868">
            <v>325</v>
          </cell>
        </row>
        <row r="869">
          <cell r="U869">
            <v>167</v>
          </cell>
        </row>
        <row r="870">
          <cell r="U870">
            <v>3019.94</v>
          </cell>
        </row>
        <row r="871">
          <cell r="U871">
            <v>1175</v>
          </cell>
        </row>
        <row r="872">
          <cell r="U872">
            <v>6082.29</v>
          </cell>
        </row>
        <row r="873">
          <cell r="U873">
            <v>-1500000</v>
          </cell>
        </row>
        <row r="874">
          <cell r="U874">
            <v>6250</v>
          </cell>
        </row>
        <row r="875">
          <cell r="U875">
            <v>450</v>
          </cell>
        </row>
        <row r="876">
          <cell r="U876">
            <v>2400</v>
          </cell>
        </row>
        <row r="877">
          <cell r="U877">
            <v>19.64</v>
          </cell>
        </row>
        <row r="878">
          <cell r="U878">
            <v>6689.72</v>
          </cell>
        </row>
        <row r="879">
          <cell r="U879">
            <v>449.16</v>
          </cell>
        </row>
        <row r="880">
          <cell r="U880">
            <v>2074.2600000000002</v>
          </cell>
        </row>
        <row r="881">
          <cell r="U881">
            <v>1638.61</v>
          </cell>
        </row>
        <row r="882">
          <cell r="U882">
            <v>4969</v>
          </cell>
        </row>
        <row r="883">
          <cell r="U883">
            <v>400</v>
          </cell>
        </row>
        <row r="884">
          <cell r="U884">
            <v>3839</v>
          </cell>
        </row>
        <row r="885">
          <cell r="U885">
            <v>2165.33</v>
          </cell>
        </row>
        <row r="886">
          <cell r="U886">
            <v>6038.43</v>
          </cell>
        </row>
        <row r="887">
          <cell r="U887">
            <v>1300</v>
          </cell>
        </row>
        <row r="888">
          <cell r="U888">
            <v>800</v>
          </cell>
        </row>
        <row r="889">
          <cell r="U889">
            <v>250</v>
          </cell>
        </row>
        <row r="890">
          <cell r="U890">
            <v>1274.99</v>
          </cell>
        </row>
        <row r="891">
          <cell r="U891">
            <v>4500</v>
          </cell>
        </row>
        <row r="892">
          <cell r="U892">
            <v>1367</v>
          </cell>
        </row>
        <row r="893">
          <cell r="U893">
            <v>724</v>
          </cell>
        </row>
        <row r="894">
          <cell r="U894">
            <v>250</v>
          </cell>
        </row>
        <row r="895">
          <cell r="U895">
            <v>300</v>
          </cell>
        </row>
        <row r="896">
          <cell r="U896">
            <v>300</v>
          </cell>
        </row>
        <row r="897">
          <cell r="U897">
            <v>300</v>
          </cell>
        </row>
        <row r="898">
          <cell r="U898">
            <v>130</v>
          </cell>
        </row>
        <row r="899">
          <cell r="U899">
            <v>300</v>
          </cell>
        </row>
        <row r="900">
          <cell r="U900">
            <v>182.49</v>
          </cell>
        </row>
        <row r="901">
          <cell r="U901">
            <v>758</v>
          </cell>
        </row>
        <row r="902">
          <cell r="U902">
            <v>729.71</v>
          </cell>
        </row>
        <row r="903">
          <cell r="U903">
            <v>18000</v>
          </cell>
        </row>
        <row r="904">
          <cell r="U904">
            <v>1378.62</v>
          </cell>
        </row>
        <row r="905">
          <cell r="U905">
            <v>702</v>
          </cell>
        </row>
        <row r="906">
          <cell r="U906">
            <v>833.59</v>
          </cell>
        </row>
        <row r="907">
          <cell r="U907">
            <v>250</v>
          </cell>
        </row>
        <row r="908">
          <cell r="U908">
            <v>250</v>
          </cell>
        </row>
        <row r="909">
          <cell r="U909">
            <v>430.35</v>
          </cell>
        </row>
        <row r="910">
          <cell r="U910">
            <v>150</v>
          </cell>
        </row>
        <row r="911">
          <cell r="U911">
            <v>656</v>
          </cell>
        </row>
        <row r="912">
          <cell r="U912">
            <v>2042.93</v>
          </cell>
        </row>
        <row r="913">
          <cell r="U913">
            <v>350</v>
          </cell>
        </row>
        <row r="914">
          <cell r="U914">
            <v>300</v>
          </cell>
        </row>
        <row r="915">
          <cell r="U915">
            <v>110</v>
          </cell>
        </row>
        <row r="916">
          <cell r="U916">
            <v>8864.65</v>
          </cell>
        </row>
        <row r="917">
          <cell r="U917">
            <v>100</v>
          </cell>
        </row>
        <row r="918">
          <cell r="U918">
            <v>1257.44</v>
          </cell>
        </row>
        <row r="919">
          <cell r="U919">
            <v>1200</v>
          </cell>
        </row>
        <row r="920">
          <cell r="U920">
            <v>458</v>
          </cell>
        </row>
        <row r="921">
          <cell r="U921">
            <v>60</v>
          </cell>
        </row>
        <row r="922">
          <cell r="U922">
            <v>900</v>
          </cell>
        </row>
        <row r="923">
          <cell r="U923">
            <v>1549</v>
          </cell>
        </row>
        <row r="924">
          <cell r="U924">
            <v>789</v>
          </cell>
        </row>
        <row r="925">
          <cell r="U925">
            <v>7496.73</v>
          </cell>
        </row>
        <row r="926">
          <cell r="U926">
            <v>359.6</v>
          </cell>
        </row>
        <row r="927">
          <cell r="U927">
            <v>438</v>
          </cell>
        </row>
        <row r="928">
          <cell r="U928">
            <v>3500</v>
          </cell>
        </row>
        <row r="929">
          <cell r="U929">
            <v>200</v>
          </cell>
        </row>
        <row r="930">
          <cell r="U930">
            <v>274</v>
          </cell>
        </row>
        <row r="931">
          <cell r="U931">
            <v>274</v>
          </cell>
        </row>
        <row r="932">
          <cell r="U932">
            <v>855.89</v>
          </cell>
        </row>
        <row r="933">
          <cell r="U933">
            <v>628.46</v>
          </cell>
        </row>
        <row r="934">
          <cell r="U934">
            <v>2137.42</v>
          </cell>
        </row>
        <row r="935">
          <cell r="U935">
            <v>290</v>
          </cell>
        </row>
        <row r="936">
          <cell r="U936">
            <v>300</v>
          </cell>
        </row>
        <row r="937">
          <cell r="U937">
            <v>200</v>
          </cell>
        </row>
        <row r="938">
          <cell r="U938">
            <v>300</v>
          </cell>
        </row>
        <row r="939">
          <cell r="U939">
            <v>930.15</v>
          </cell>
        </row>
        <row r="940">
          <cell r="U940">
            <v>150</v>
          </cell>
        </row>
        <row r="941">
          <cell r="U941">
            <v>100</v>
          </cell>
        </row>
        <row r="942">
          <cell r="U942">
            <v>8500</v>
          </cell>
        </row>
        <row r="943">
          <cell r="U943">
            <v>133.28</v>
          </cell>
        </row>
        <row r="944">
          <cell r="U944">
            <v>1350</v>
          </cell>
        </row>
        <row r="945">
          <cell r="U945">
            <v>4000</v>
          </cell>
        </row>
        <row r="946">
          <cell r="U946">
            <v>1129.8800000000001</v>
          </cell>
        </row>
        <row r="947">
          <cell r="U947">
            <v>180</v>
          </cell>
        </row>
        <row r="948">
          <cell r="U948">
            <v>114.1</v>
          </cell>
        </row>
        <row r="949">
          <cell r="U949">
            <v>137</v>
          </cell>
        </row>
        <row r="950">
          <cell r="U950">
            <v>50</v>
          </cell>
        </row>
        <row r="951">
          <cell r="U951">
            <v>331</v>
          </cell>
        </row>
        <row r="952">
          <cell r="U952">
            <v>237</v>
          </cell>
        </row>
        <row r="953">
          <cell r="U953">
            <v>92</v>
          </cell>
        </row>
        <row r="954">
          <cell r="U954">
            <v>350</v>
          </cell>
        </row>
        <row r="955">
          <cell r="U955">
            <v>1594.95</v>
          </cell>
        </row>
        <row r="956">
          <cell r="U956">
            <v>319.3</v>
          </cell>
        </row>
        <row r="957">
          <cell r="U957">
            <v>415</v>
          </cell>
        </row>
        <row r="958">
          <cell r="U958">
            <v>3500</v>
          </cell>
        </row>
        <row r="959">
          <cell r="U959">
            <v>2929.7</v>
          </cell>
        </row>
        <row r="960">
          <cell r="U960">
            <v>1468.55</v>
          </cell>
        </row>
        <row r="961">
          <cell r="U961">
            <v>843</v>
          </cell>
        </row>
        <row r="962">
          <cell r="U962">
            <v>750</v>
          </cell>
        </row>
        <row r="963">
          <cell r="U963">
            <v>400</v>
          </cell>
        </row>
        <row r="964">
          <cell r="U964">
            <v>9643.8799999999992</v>
          </cell>
        </row>
        <row r="965">
          <cell r="U965">
            <v>650.78</v>
          </cell>
        </row>
        <row r="966">
          <cell r="U966">
            <v>2933.5</v>
          </cell>
        </row>
        <row r="967">
          <cell r="U967">
            <v>399</v>
          </cell>
        </row>
        <row r="968">
          <cell r="U968">
            <v>1273</v>
          </cell>
        </row>
        <row r="969">
          <cell r="U969">
            <v>580.47</v>
          </cell>
        </row>
        <row r="970">
          <cell r="U970">
            <v>227</v>
          </cell>
        </row>
        <row r="971">
          <cell r="U971">
            <v>65000</v>
          </cell>
        </row>
        <row r="972">
          <cell r="U972">
            <v>569</v>
          </cell>
        </row>
        <row r="973">
          <cell r="U973">
            <v>2574.7199999999998</v>
          </cell>
        </row>
        <row r="974">
          <cell r="U974">
            <v>27.63</v>
          </cell>
        </row>
        <row r="975">
          <cell r="U975">
            <v>247</v>
          </cell>
        </row>
        <row r="976">
          <cell r="U976">
            <v>15</v>
          </cell>
        </row>
        <row r="977">
          <cell r="U977">
            <v>825</v>
          </cell>
        </row>
        <row r="978">
          <cell r="U978">
            <v>1000</v>
          </cell>
        </row>
        <row r="979">
          <cell r="U979">
            <v>1740</v>
          </cell>
        </row>
        <row r="980">
          <cell r="U980">
            <v>1227.6300000000001</v>
          </cell>
        </row>
        <row r="981">
          <cell r="U981">
            <v>708</v>
          </cell>
        </row>
        <row r="982">
          <cell r="U982">
            <v>200</v>
          </cell>
        </row>
        <row r="983">
          <cell r="U983">
            <v>854</v>
          </cell>
        </row>
        <row r="984">
          <cell r="U984">
            <v>966.04</v>
          </cell>
        </row>
        <row r="985">
          <cell r="U985">
            <v>107</v>
          </cell>
        </row>
        <row r="986">
          <cell r="U986">
            <v>1750</v>
          </cell>
        </row>
        <row r="987">
          <cell r="U987">
            <v>1887.23</v>
          </cell>
        </row>
        <row r="988">
          <cell r="U988">
            <v>1615.79</v>
          </cell>
        </row>
        <row r="989">
          <cell r="U989">
            <v>1852.55</v>
          </cell>
        </row>
        <row r="990">
          <cell r="U990">
            <v>200</v>
          </cell>
        </row>
        <row r="991">
          <cell r="U991">
            <v>3600</v>
          </cell>
        </row>
        <row r="992">
          <cell r="U992">
            <v>5020.4399999999996</v>
          </cell>
        </row>
        <row r="993">
          <cell r="U993">
            <v>431.95</v>
          </cell>
        </row>
        <row r="994">
          <cell r="U994">
            <v>150</v>
          </cell>
        </row>
        <row r="995">
          <cell r="U995">
            <v>1150</v>
          </cell>
        </row>
        <row r="996">
          <cell r="U996">
            <v>1200</v>
          </cell>
        </row>
        <row r="997">
          <cell r="U997">
            <v>258.5</v>
          </cell>
        </row>
        <row r="998">
          <cell r="U998">
            <v>400</v>
          </cell>
        </row>
        <row r="999">
          <cell r="U999">
            <v>170</v>
          </cell>
        </row>
        <row r="1000">
          <cell r="U1000">
            <v>405</v>
          </cell>
        </row>
        <row r="1001">
          <cell r="U1001">
            <v>299.27999999999997</v>
          </cell>
        </row>
        <row r="1002">
          <cell r="U1002">
            <v>1868</v>
          </cell>
        </row>
        <row r="1003">
          <cell r="U1003">
            <v>3610.28</v>
          </cell>
        </row>
        <row r="1004">
          <cell r="U1004">
            <v>2750</v>
          </cell>
        </row>
        <row r="1005">
          <cell r="U1005">
            <v>182</v>
          </cell>
        </row>
        <row r="1006">
          <cell r="U1006">
            <v>3352.42</v>
          </cell>
        </row>
        <row r="1007">
          <cell r="U1007">
            <v>150</v>
          </cell>
        </row>
        <row r="1008">
          <cell r="U1008">
            <v>19083.73</v>
          </cell>
        </row>
        <row r="1009">
          <cell r="U1009">
            <v>4413.57</v>
          </cell>
        </row>
        <row r="1010">
          <cell r="U1010">
            <v>3938.91</v>
          </cell>
        </row>
        <row r="1011">
          <cell r="U1011">
            <v>1657.12</v>
          </cell>
        </row>
        <row r="1012">
          <cell r="U1012">
            <v>300</v>
          </cell>
        </row>
        <row r="1013">
          <cell r="U1013">
            <v>240</v>
          </cell>
        </row>
        <row r="1014">
          <cell r="U1014">
            <v>765</v>
          </cell>
        </row>
        <row r="1015">
          <cell r="U1015">
            <v>3450</v>
          </cell>
        </row>
        <row r="1016">
          <cell r="U1016">
            <v>200</v>
          </cell>
        </row>
        <row r="1017">
          <cell r="U1017">
            <v>865.32</v>
          </cell>
        </row>
        <row r="1018">
          <cell r="U1018">
            <v>906</v>
          </cell>
        </row>
        <row r="1019">
          <cell r="U1019">
            <v>18</v>
          </cell>
        </row>
        <row r="1020">
          <cell r="U1020">
            <v>434.06</v>
          </cell>
        </row>
        <row r="1021">
          <cell r="U1021">
            <v>150</v>
          </cell>
        </row>
        <row r="1022">
          <cell r="U1022">
            <v>4300.82</v>
          </cell>
        </row>
        <row r="1023">
          <cell r="U1023">
            <v>237</v>
          </cell>
        </row>
        <row r="1024">
          <cell r="U1024">
            <v>100</v>
          </cell>
        </row>
        <row r="1025">
          <cell r="U1025">
            <v>176</v>
          </cell>
        </row>
        <row r="1026">
          <cell r="U1026">
            <v>1797</v>
          </cell>
        </row>
        <row r="1027">
          <cell r="U1027">
            <v>386.2</v>
          </cell>
        </row>
        <row r="1028">
          <cell r="U1028">
            <v>258</v>
          </cell>
        </row>
        <row r="1029">
          <cell r="U1029">
            <v>126</v>
          </cell>
        </row>
        <row r="1030">
          <cell r="U1030">
            <v>1055</v>
          </cell>
        </row>
        <row r="1031">
          <cell r="U1031">
            <v>104200</v>
          </cell>
        </row>
        <row r="1032">
          <cell r="U1032">
            <v>7395.66</v>
          </cell>
        </row>
        <row r="1033">
          <cell r="U1033">
            <v>1705.77</v>
          </cell>
        </row>
        <row r="1034">
          <cell r="U1034">
            <v>532</v>
          </cell>
        </row>
        <row r="1035">
          <cell r="U1035">
            <v>450.98</v>
          </cell>
        </row>
        <row r="1036">
          <cell r="U1036">
            <v>469</v>
          </cell>
        </row>
        <row r="1037">
          <cell r="U1037">
            <v>2755.25</v>
          </cell>
        </row>
        <row r="1038">
          <cell r="U1038">
            <v>200</v>
          </cell>
        </row>
        <row r="1039">
          <cell r="U1039">
            <v>259.99</v>
          </cell>
        </row>
        <row r="1040">
          <cell r="U1040">
            <v>684</v>
          </cell>
        </row>
        <row r="1041">
          <cell r="U1041">
            <v>175</v>
          </cell>
        </row>
        <row r="1042">
          <cell r="U1042">
            <v>723</v>
          </cell>
        </row>
        <row r="1043">
          <cell r="U1043">
            <v>4500</v>
          </cell>
        </row>
        <row r="1044">
          <cell r="U1044">
            <v>100</v>
          </cell>
        </row>
        <row r="1045">
          <cell r="U1045">
            <v>1360.8</v>
          </cell>
        </row>
        <row r="1046">
          <cell r="U1046">
            <v>3843.66</v>
          </cell>
        </row>
        <row r="1047">
          <cell r="U1047">
            <v>3043.6</v>
          </cell>
        </row>
        <row r="1048">
          <cell r="U1048">
            <v>1350</v>
          </cell>
        </row>
        <row r="1049">
          <cell r="U1049">
            <v>2534</v>
          </cell>
        </row>
        <row r="1050">
          <cell r="U1050">
            <v>430</v>
          </cell>
        </row>
        <row r="1051">
          <cell r="U1051">
            <v>120</v>
          </cell>
        </row>
        <row r="1052">
          <cell r="U1052">
            <v>149</v>
          </cell>
        </row>
        <row r="1053">
          <cell r="U1053">
            <v>175</v>
          </cell>
        </row>
        <row r="1054">
          <cell r="U1054">
            <v>829.56</v>
          </cell>
        </row>
        <row r="1055">
          <cell r="U1055">
            <v>1995.99</v>
          </cell>
        </row>
        <row r="1056">
          <cell r="U1056">
            <v>-8500</v>
          </cell>
        </row>
        <row r="1057">
          <cell r="U1057">
            <v>-124576.88</v>
          </cell>
        </row>
        <row r="1058">
          <cell r="U1058">
            <v>-13770</v>
          </cell>
        </row>
        <row r="1059">
          <cell r="U1059">
            <v>-91304.57</v>
          </cell>
        </row>
        <row r="1060">
          <cell r="U1060">
            <v>-143151.20000000001</v>
          </cell>
        </row>
        <row r="1061">
          <cell r="U1061">
            <v>-11895.66</v>
          </cell>
        </row>
        <row r="1062">
          <cell r="U1062">
            <v>1386800</v>
          </cell>
        </row>
        <row r="1063">
          <cell r="U1063">
            <v>359.51</v>
          </cell>
        </row>
        <row r="1064">
          <cell r="U1064">
            <v>496.98</v>
          </cell>
        </row>
        <row r="1065">
          <cell r="U1065">
            <v>161.62</v>
          </cell>
        </row>
        <row r="1066">
          <cell r="U1066">
            <v>425</v>
          </cell>
        </row>
        <row r="1067">
          <cell r="U1067">
            <v>1110.6400000000001</v>
          </cell>
        </row>
        <row r="1068">
          <cell r="U1068">
            <v>437.98</v>
          </cell>
        </row>
        <row r="1069">
          <cell r="U1069">
            <v>50</v>
          </cell>
        </row>
        <row r="1070">
          <cell r="U1070">
            <v>258</v>
          </cell>
        </row>
        <row r="1071">
          <cell r="U1071">
            <v>418.79</v>
          </cell>
        </row>
        <row r="1072">
          <cell r="U1072">
            <v>2270</v>
          </cell>
        </row>
        <row r="1073">
          <cell r="U1073">
            <v>115</v>
          </cell>
        </row>
        <row r="1074">
          <cell r="U1074">
            <v>354</v>
          </cell>
        </row>
        <row r="1075">
          <cell r="U1075">
            <v>370.11</v>
          </cell>
        </row>
        <row r="1076">
          <cell r="U1076">
            <v>450</v>
          </cell>
        </row>
        <row r="1077">
          <cell r="U1077">
            <v>389.37</v>
          </cell>
        </row>
        <row r="1078">
          <cell r="U1078">
            <v>2143.8000000000002</v>
          </cell>
        </row>
        <row r="1079">
          <cell r="U1079">
            <v>3917</v>
          </cell>
        </row>
        <row r="1080">
          <cell r="U1080">
            <v>258.11</v>
          </cell>
        </row>
        <row r="1081">
          <cell r="U1081">
            <v>2679.45</v>
          </cell>
        </row>
        <row r="1082">
          <cell r="U1082">
            <v>5647.83</v>
          </cell>
        </row>
        <row r="1083">
          <cell r="U1083">
            <v>1788.18</v>
          </cell>
        </row>
        <row r="1084">
          <cell r="U1084">
            <v>658.64</v>
          </cell>
        </row>
        <row r="1085">
          <cell r="U1085">
            <v>1166.54</v>
          </cell>
        </row>
        <row r="1086">
          <cell r="U1086">
            <v>1925</v>
          </cell>
        </row>
        <row r="1087">
          <cell r="U1087">
            <v>698.46</v>
          </cell>
        </row>
        <row r="1088">
          <cell r="U1088">
            <v>783</v>
          </cell>
        </row>
        <row r="1089">
          <cell r="U1089">
            <v>430</v>
          </cell>
        </row>
        <row r="1090">
          <cell r="U1090">
            <v>2000</v>
          </cell>
        </row>
        <row r="1091">
          <cell r="U1091">
            <v>3167.18</v>
          </cell>
        </row>
        <row r="1092">
          <cell r="U1092">
            <v>977</v>
          </cell>
        </row>
        <row r="1093">
          <cell r="U1093">
            <v>100</v>
          </cell>
        </row>
        <row r="1094">
          <cell r="U1094">
            <v>105</v>
          </cell>
        </row>
        <row r="1095">
          <cell r="U1095">
            <v>192</v>
          </cell>
        </row>
        <row r="1096">
          <cell r="U1096">
            <v>100</v>
          </cell>
        </row>
        <row r="1097">
          <cell r="U1097">
            <v>143.76</v>
          </cell>
        </row>
        <row r="1098">
          <cell r="U1098">
            <v>250</v>
          </cell>
        </row>
        <row r="1099">
          <cell r="U1099">
            <v>1225.95</v>
          </cell>
        </row>
        <row r="1100">
          <cell r="U1100">
            <v>1736.92</v>
          </cell>
        </row>
        <row r="1101">
          <cell r="U1101">
            <v>384.16</v>
          </cell>
        </row>
        <row r="1102">
          <cell r="U1102">
            <v>430000</v>
          </cell>
        </row>
        <row r="1103">
          <cell r="U1103">
            <v>1290.45</v>
          </cell>
        </row>
        <row r="1104">
          <cell r="U1104">
            <v>1647</v>
          </cell>
        </row>
        <row r="1105">
          <cell r="U1105">
            <v>1242.77</v>
          </cell>
        </row>
        <row r="1106">
          <cell r="U1106">
            <v>650.66</v>
          </cell>
        </row>
        <row r="1107">
          <cell r="U1107">
            <v>1064.5999999999999</v>
          </cell>
        </row>
        <row r="1108">
          <cell r="U1108">
            <v>1155</v>
          </cell>
        </row>
        <row r="1109">
          <cell r="U1109">
            <v>159</v>
          </cell>
        </row>
        <row r="1110">
          <cell r="U1110">
            <v>1300</v>
          </cell>
        </row>
        <row r="1111">
          <cell r="U1111">
            <v>725</v>
          </cell>
        </row>
        <row r="1112">
          <cell r="U1112">
            <v>967.15</v>
          </cell>
        </row>
        <row r="1113">
          <cell r="U1113">
            <v>665.3</v>
          </cell>
        </row>
        <row r="1114">
          <cell r="U1114">
            <v>1992</v>
          </cell>
        </row>
        <row r="1115">
          <cell r="U1115">
            <v>29010</v>
          </cell>
        </row>
        <row r="1116">
          <cell r="U1116">
            <v>800</v>
          </cell>
        </row>
        <row r="1117">
          <cell r="U1117">
            <v>475</v>
          </cell>
        </row>
        <row r="1118">
          <cell r="U1118">
            <v>500</v>
          </cell>
        </row>
        <row r="1119">
          <cell r="U1119">
            <v>800</v>
          </cell>
        </row>
        <row r="1120">
          <cell r="U1120">
            <v>200</v>
          </cell>
        </row>
        <row r="1121">
          <cell r="U1121">
            <v>200</v>
          </cell>
        </row>
        <row r="1122">
          <cell r="U1122">
            <v>742</v>
          </cell>
        </row>
        <row r="1123">
          <cell r="U1123">
            <v>81</v>
          </cell>
        </row>
        <row r="1124">
          <cell r="U1124">
            <v>168</v>
          </cell>
        </row>
        <row r="1125">
          <cell r="U1125">
            <v>150</v>
          </cell>
        </row>
        <row r="1126">
          <cell r="U1126">
            <v>1370</v>
          </cell>
        </row>
        <row r="1127">
          <cell r="U1127">
            <v>525</v>
          </cell>
        </row>
        <row r="1128">
          <cell r="U1128">
            <v>5531.01</v>
          </cell>
        </row>
        <row r="1129">
          <cell r="U1129">
            <v>3000</v>
          </cell>
        </row>
        <row r="1130">
          <cell r="U1130">
            <v>5995.01</v>
          </cell>
        </row>
        <row r="1131">
          <cell r="U1131">
            <v>26375</v>
          </cell>
        </row>
        <row r="1132">
          <cell r="U1132">
            <v>843.73</v>
          </cell>
        </row>
        <row r="1133">
          <cell r="U1133">
            <v>829</v>
          </cell>
        </row>
        <row r="1134">
          <cell r="U1134">
            <v>392</v>
          </cell>
        </row>
        <row r="1135">
          <cell r="U1135">
            <v>664</v>
          </cell>
        </row>
        <row r="1136">
          <cell r="U1136">
            <v>6783</v>
          </cell>
        </row>
        <row r="1137">
          <cell r="U1137">
            <v>4478.3999999999996</v>
          </cell>
        </row>
        <row r="1138">
          <cell r="U1138">
            <v>2074.9899999999998</v>
          </cell>
        </row>
        <row r="1139">
          <cell r="U1139">
            <v>800</v>
          </cell>
        </row>
        <row r="1140">
          <cell r="U1140">
            <v>8359</v>
          </cell>
        </row>
        <row r="1141">
          <cell r="U1141">
            <v>1600</v>
          </cell>
        </row>
        <row r="1142">
          <cell r="U1142">
            <v>1900</v>
          </cell>
        </row>
        <row r="1143">
          <cell r="U1143">
            <v>160</v>
          </cell>
        </row>
        <row r="1144">
          <cell r="U1144">
            <v>1388</v>
          </cell>
        </row>
        <row r="1145">
          <cell r="U1145">
            <v>1156.79</v>
          </cell>
        </row>
        <row r="1146">
          <cell r="U1146">
            <v>550</v>
          </cell>
        </row>
        <row r="1147">
          <cell r="U1147">
            <v>25000</v>
          </cell>
        </row>
        <row r="1148">
          <cell r="U1148">
            <v>2502</v>
          </cell>
        </row>
        <row r="1149">
          <cell r="U1149">
            <v>8368.52</v>
          </cell>
        </row>
        <row r="1150">
          <cell r="U1150">
            <v>601</v>
          </cell>
        </row>
        <row r="1151">
          <cell r="U1151">
            <v>19601.86</v>
          </cell>
        </row>
        <row r="1152">
          <cell r="U1152">
            <v>120</v>
          </cell>
        </row>
        <row r="1153">
          <cell r="U1153">
            <v>79</v>
          </cell>
        </row>
        <row r="1154">
          <cell r="U1154">
            <v>580</v>
          </cell>
        </row>
        <row r="1155">
          <cell r="U1155">
            <v>158500</v>
          </cell>
        </row>
        <row r="1156">
          <cell r="U1156">
            <v>74800</v>
          </cell>
        </row>
        <row r="1157">
          <cell r="U1157">
            <v>250</v>
          </cell>
        </row>
        <row r="1158">
          <cell r="U1158">
            <v>996.27</v>
          </cell>
        </row>
        <row r="1159">
          <cell r="U1159">
            <v>30</v>
          </cell>
        </row>
        <row r="1160">
          <cell r="U1160">
            <v>978</v>
          </cell>
        </row>
        <row r="1161">
          <cell r="U1161">
            <v>254.61</v>
          </cell>
        </row>
        <row r="1162">
          <cell r="U1162">
            <v>50</v>
          </cell>
        </row>
        <row r="1163">
          <cell r="U1163">
            <v>577.66999999999996</v>
          </cell>
        </row>
        <row r="1164">
          <cell r="U1164">
            <v>599</v>
          </cell>
        </row>
        <row r="1165">
          <cell r="U1165">
            <v>750</v>
          </cell>
        </row>
        <row r="1166">
          <cell r="U1166">
            <v>135</v>
          </cell>
        </row>
        <row r="1167">
          <cell r="U1167">
            <v>110</v>
          </cell>
        </row>
        <row r="1168">
          <cell r="U1168">
            <v>4373.8599999999997</v>
          </cell>
        </row>
        <row r="1169">
          <cell r="U1169">
            <v>3000</v>
          </cell>
        </row>
        <row r="1170">
          <cell r="U1170">
            <v>2486.98</v>
          </cell>
        </row>
        <row r="1171">
          <cell r="U1171">
            <v>3200</v>
          </cell>
        </row>
        <row r="1172">
          <cell r="U1172">
            <v>999.69</v>
          </cell>
        </row>
        <row r="1173">
          <cell r="U1173">
            <v>3191.93</v>
          </cell>
        </row>
        <row r="1174">
          <cell r="U1174">
            <v>549.72</v>
          </cell>
        </row>
        <row r="1175">
          <cell r="U1175">
            <v>3642.83</v>
          </cell>
        </row>
        <row r="1176">
          <cell r="U1176">
            <v>5021.5200000000004</v>
          </cell>
        </row>
        <row r="1177">
          <cell r="U1177">
            <v>2744.04</v>
          </cell>
        </row>
        <row r="1178">
          <cell r="U1178">
            <v>204</v>
          </cell>
        </row>
        <row r="1179">
          <cell r="U1179">
            <v>2191.6</v>
          </cell>
        </row>
        <row r="1180">
          <cell r="U1180">
            <v>5103.71</v>
          </cell>
        </row>
        <row r="1181">
          <cell r="U1181">
            <v>1665.19</v>
          </cell>
        </row>
        <row r="1182">
          <cell r="U1182">
            <v>982.68</v>
          </cell>
        </row>
        <row r="1183">
          <cell r="U1183">
            <v>8164.63</v>
          </cell>
        </row>
        <row r="1184">
          <cell r="U1184">
            <v>269.48</v>
          </cell>
        </row>
        <row r="1185">
          <cell r="U1185">
            <v>1417.26</v>
          </cell>
        </row>
        <row r="1186">
          <cell r="U1186">
            <v>4782.82</v>
          </cell>
        </row>
        <row r="1187">
          <cell r="U1187">
            <v>132</v>
          </cell>
        </row>
        <row r="1188">
          <cell r="U1188">
            <v>2487.8000000000002</v>
          </cell>
        </row>
        <row r="1189">
          <cell r="U1189">
            <v>1885</v>
          </cell>
        </row>
        <row r="1190">
          <cell r="U1190">
            <v>80000</v>
          </cell>
        </row>
        <row r="1191">
          <cell r="U1191">
            <v>4997.16</v>
          </cell>
        </row>
        <row r="1192">
          <cell r="U1192">
            <v>1148</v>
          </cell>
        </row>
        <row r="1193">
          <cell r="U1193">
            <v>664.95</v>
          </cell>
        </row>
        <row r="1194">
          <cell r="U1194">
            <v>22566.17</v>
          </cell>
        </row>
        <row r="1195">
          <cell r="U1195">
            <v>740</v>
          </cell>
        </row>
        <row r="1196">
          <cell r="U1196">
            <v>50000</v>
          </cell>
        </row>
        <row r="1197">
          <cell r="U1197">
            <v>2995.06</v>
          </cell>
        </row>
        <row r="1198">
          <cell r="U1198">
            <v>574.92999999999995</v>
          </cell>
        </row>
        <row r="1199">
          <cell r="U1199">
            <v>125</v>
          </cell>
        </row>
        <row r="1200">
          <cell r="U1200">
            <v>100</v>
          </cell>
        </row>
        <row r="1201">
          <cell r="U1201">
            <v>196.83</v>
          </cell>
        </row>
        <row r="1202">
          <cell r="U1202">
            <v>1450</v>
          </cell>
        </row>
        <row r="1203">
          <cell r="U1203">
            <v>115</v>
          </cell>
        </row>
        <row r="1204">
          <cell r="U1204">
            <v>523.11</v>
          </cell>
        </row>
        <row r="1205">
          <cell r="U1205">
            <v>715.18</v>
          </cell>
        </row>
        <row r="1206">
          <cell r="U1206">
            <v>1021.34</v>
          </cell>
        </row>
        <row r="1207">
          <cell r="U1207">
            <v>1051.1500000000001</v>
          </cell>
        </row>
        <row r="1208">
          <cell r="U1208">
            <v>536</v>
          </cell>
        </row>
        <row r="1209">
          <cell r="U1209">
            <v>1156</v>
          </cell>
        </row>
        <row r="1210">
          <cell r="U1210">
            <v>3750</v>
          </cell>
        </row>
        <row r="1211">
          <cell r="U1211">
            <v>496.36</v>
          </cell>
        </row>
        <row r="1212">
          <cell r="U1212">
            <v>29.08</v>
          </cell>
        </row>
        <row r="1213">
          <cell r="U1213">
            <v>45000</v>
          </cell>
        </row>
        <row r="1214">
          <cell r="U1214">
            <v>200</v>
          </cell>
        </row>
        <row r="1215">
          <cell r="U1215">
            <v>8834.52</v>
          </cell>
        </row>
        <row r="1216">
          <cell r="U1216">
            <v>550</v>
          </cell>
        </row>
        <row r="1217">
          <cell r="U1217">
            <v>957.82</v>
          </cell>
        </row>
        <row r="1218">
          <cell r="U1218">
            <v>1462.86</v>
          </cell>
        </row>
        <row r="1219">
          <cell r="U1219">
            <v>519.98</v>
          </cell>
        </row>
        <row r="1220">
          <cell r="U1220">
            <v>931</v>
          </cell>
        </row>
        <row r="1221">
          <cell r="U1221">
            <v>200</v>
          </cell>
        </row>
        <row r="1222">
          <cell r="U1222">
            <v>425</v>
          </cell>
        </row>
        <row r="1223">
          <cell r="U1223">
            <v>1851.5</v>
          </cell>
        </row>
        <row r="1224">
          <cell r="U1224">
            <v>5630.79</v>
          </cell>
        </row>
        <row r="1225">
          <cell r="U1225">
            <v>7590</v>
          </cell>
        </row>
        <row r="1226">
          <cell r="U1226">
            <v>1752</v>
          </cell>
        </row>
        <row r="1227">
          <cell r="U1227">
            <v>1334.74</v>
          </cell>
        </row>
        <row r="1228">
          <cell r="U1228">
            <v>1834.45</v>
          </cell>
        </row>
        <row r="1229">
          <cell r="U1229">
            <v>871.3</v>
          </cell>
        </row>
        <row r="1230">
          <cell r="U1230">
            <v>3797.05</v>
          </cell>
        </row>
        <row r="1231">
          <cell r="U1231">
            <v>76.47</v>
          </cell>
        </row>
        <row r="1232">
          <cell r="U1232">
            <v>103.67</v>
          </cell>
        </row>
        <row r="1233">
          <cell r="U1233">
            <v>974.53</v>
          </cell>
        </row>
        <row r="1234">
          <cell r="U1234">
            <v>3700</v>
          </cell>
        </row>
        <row r="1235">
          <cell r="U1235">
            <v>284.99</v>
          </cell>
        </row>
        <row r="1236">
          <cell r="U1236">
            <v>1223</v>
          </cell>
        </row>
        <row r="1237">
          <cell r="U1237">
            <v>208.28</v>
          </cell>
        </row>
        <row r="1238">
          <cell r="U1238">
            <v>100</v>
          </cell>
        </row>
        <row r="1239">
          <cell r="U1239">
            <v>2500</v>
          </cell>
        </row>
        <row r="1240">
          <cell r="U1240">
            <v>2955</v>
          </cell>
        </row>
        <row r="1241">
          <cell r="U1241">
            <v>5028.74</v>
          </cell>
        </row>
        <row r="1242">
          <cell r="U1242">
            <v>150</v>
          </cell>
        </row>
        <row r="1243">
          <cell r="U1243">
            <v>700</v>
          </cell>
        </row>
        <row r="1244">
          <cell r="U1244">
            <v>54</v>
          </cell>
        </row>
        <row r="1245">
          <cell r="U1245">
            <v>969</v>
          </cell>
        </row>
        <row r="1246">
          <cell r="U1246">
            <v>3938</v>
          </cell>
        </row>
        <row r="1247">
          <cell r="U1247">
            <v>3772</v>
          </cell>
        </row>
        <row r="1248">
          <cell r="U1248">
            <v>5130</v>
          </cell>
        </row>
        <row r="1249">
          <cell r="U1249">
            <v>1675.55</v>
          </cell>
        </row>
        <row r="1250">
          <cell r="U1250">
            <v>2705</v>
          </cell>
        </row>
        <row r="1251">
          <cell r="U1251">
            <v>375.28</v>
          </cell>
        </row>
        <row r="1252">
          <cell r="U1252">
            <v>10866.34</v>
          </cell>
        </row>
        <row r="1253">
          <cell r="U1253">
            <v>12000</v>
          </cell>
        </row>
        <row r="1254">
          <cell r="U1254">
            <v>357.18</v>
          </cell>
        </row>
        <row r="1255">
          <cell r="U1255">
            <v>2756.4</v>
          </cell>
        </row>
        <row r="1256">
          <cell r="U1256">
            <v>5106.43</v>
          </cell>
        </row>
        <row r="1257">
          <cell r="U1257">
            <v>396.61</v>
          </cell>
        </row>
        <row r="1258">
          <cell r="U1258">
            <v>6125.02</v>
          </cell>
        </row>
        <row r="1259">
          <cell r="U1259">
            <v>1550.56</v>
          </cell>
        </row>
        <row r="1260">
          <cell r="U1260">
            <v>2598.27</v>
          </cell>
        </row>
        <row r="1261">
          <cell r="U1261">
            <v>614.91</v>
          </cell>
        </row>
        <row r="1262">
          <cell r="U1262">
            <v>492</v>
          </cell>
        </row>
        <row r="1263">
          <cell r="U1263">
            <v>36.93</v>
          </cell>
        </row>
        <row r="1264">
          <cell r="U1264">
            <v>62.43</v>
          </cell>
        </row>
        <row r="1265">
          <cell r="U1265">
            <v>325</v>
          </cell>
        </row>
        <row r="1266">
          <cell r="U1266">
            <v>1295</v>
          </cell>
        </row>
        <row r="1267">
          <cell r="U1267">
            <v>417.59</v>
          </cell>
        </row>
        <row r="1268">
          <cell r="U1268">
            <v>29.6</v>
          </cell>
        </row>
        <row r="1269">
          <cell r="U1269">
            <v>14355.52</v>
          </cell>
        </row>
        <row r="1270">
          <cell r="U1270">
            <v>450</v>
          </cell>
        </row>
        <row r="1271">
          <cell r="U1271">
            <v>214.8</v>
          </cell>
        </row>
        <row r="1272">
          <cell r="U1272">
            <v>780</v>
          </cell>
        </row>
        <row r="1273">
          <cell r="U1273">
            <v>949</v>
          </cell>
        </row>
        <row r="1274">
          <cell r="U1274">
            <v>730.32</v>
          </cell>
        </row>
        <row r="1275">
          <cell r="U1275">
            <v>913.23</v>
          </cell>
        </row>
        <row r="1276">
          <cell r="U1276">
            <v>600</v>
          </cell>
        </row>
        <row r="1277">
          <cell r="U1277">
            <v>1187.8499999999999</v>
          </cell>
        </row>
        <row r="1278">
          <cell r="U1278">
            <v>200</v>
          </cell>
        </row>
        <row r="1279">
          <cell r="U1279">
            <v>681.56</v>
          </cell>
        </row>
        <row r="1280">
          <cell r="U1280">
            <v>95.96</v>
          </cell>
        </row>
        <row r="1281">
          <cell r="U1281">
            <v>6500</v>
          </cell>
        </row>
        <row r="1282">
          <cell r="U1282">
            <v>2821.14</v>
          </cell>
        </row>
        <row r="1283">
          <cell r="U1283">
            <v>-425</v>
          </cell>
        </row>
        <row r="1284">
          <cell r="U1284">
            <v>-3500</v>
          </cell>
        </row>
        <row r="1285">
          <cell r="U1285">
            <v>10000</v>
          </cell>
        </row>
        <row r="1286">
          <cell r="U1286">
            <v>-8000</v>
          </cell>
        </row>
        <row r="1287">
          <cell r="U1287">
            <v>-17000</v>
          </cell>
        </row>
        <row r="1288">
          <cell r="U1288">
            <v>475.9</v>
          </cell>
        </row>
        <row r="1289">
          <cell r="U1289">
            <v>100</v>
          </cell>
        </row>
        <row r="1290">
          <cell r="U1290">
            <v>-380957.61</v>
          </cell>
        </row>
        <row r="1291">
          <cell r="U1291">
            <v>-559373.86</v>
          </cell>
        </row>
        <row r="1292">
          <cell r="U1292">
            <v>-2756.4</v>
          </cell>
        </row>
        <row r="1293">
          <cell r="U1293">
            <v>-6500</v>
          </cell>
        </row>
        <row r="1294">
          <cell r="U1294">
            <v>-57182.6</v>
          </cell>
        </row>
        <row r="1295">
          <cell r="U1295">
            <v>-227408.18</v>
          </cell>
        </row>
        <row r="1296">
          <cell r="U1296">
            <v>-6965.38</v>
          </cell>
        </row>
        <row r="1297">
          <cell r="U1297">
            <v>-8914.6299999999992</v>
          </cell>
        </row>
        <row r="1298">
          <cell r="U1298">
            <v>150</v>
          </cell>
        </row>
        <row r="1299">
          <cell r="U1299">
            <v>4635.1000000000004</v>
          </cell>
        </row>
        <row r="1300">
          <cell r="U1300">
            <v>3414.06</v>
          </cell>
        </row>
        <row r="1301">
          <cell r="U1301">
            <v>229.97</v>
          </cell>
        </row>
        <row r="1302">
          <cell r="U1302">
            <v>900</v>
          </cell>
        </row>
        <row r="1303">
          <cell r="U1303">
            <v>500</v>
          </cell>
        </row>
        <row r="1304">
          <cell r="U1304">
            <v>779</v>
          </cell>
        </row>
        <row r="1305">
          <cell r="U1305">
            <v>100</v>
          </cell>
        </row>
        <row r="1306">
          <cell r="U1306">
            <v>875</v>
          </cell>
        </row>
        <row r="1307">
          <cell r="U1307">
            <v>1594.04</v>
          </cell>
        </row>
        <row r="1308">
          <cell r="U1308">
            <v>6699</v>
          </cell>
        </row>
        <row r="1309">
          <cell r="U1309">
            <v>2431.73</v>
          </cell>
        </row>
        <row r="1310">
          <cell r="U1310">
            <v>150</v>
          </cell>
        </row>
        <row r="1311">
          <cell r="U1311">
            <v>750</v>
          </cell>
        </row>
        <row r="1312">
          <cell r="U1312">
            <v>12384.14</v>
          </cell>
        </row>
        <row r="1313">
          <cell r="U1313">
            <v>275</v>
          </cell>
        </row>
        <row r="1314">
          <cell r="U1314">
            <v>1020.25</v>
          </cell>
        </row>
        <row r="1315">
          <cell r="U1315">
            <v>1632</v>
          </cell>
        </row>
        <row r="1316">
          <cell r="U1316">
            <v>200</v>
          </cell>
        </row>
        <row r="1317">
          <cell r="U1317">
            <v>3000</v>
          </cell>
        </row>
        <row r="1318">
          <cell r="U1318">
            <v>5562.18</v>
          </cell>
        </row>
        <row r="1319">
          <cell r="U1319">
            <v>725.15</v>
          </cell>
        </row>
        <row r="1320">
          <cell r="U1320">
            <v>336</v>
          </cell>
        </row>
        <row r="1321">
          <cell r="U1321">
            <v>4790</v>
          </cell>
        </row>
        <row r="1322">
          <cell r="U1322">
            <v>378.05</v>
          </cell>
        </row>
        <row r="1323">
          <cell r="U1323">
            <v>5348</v>
          </cell>
        </row>
        <row r="1324">
          <cell r="U1324">
            <v>2550</v>
          </cell>
        </row>
        <row r="1325">
          <cell r="U1325">
            <v>596.41</v>
          </cell>
        </row>
        <row r="1326">
          <cell r="U1326">
            <v>395.61</v>
          </cell>
        </row>
        <row r="1327">
          <cell r="U1327">
            <v>425</v>
          </cell>
        </row>
        <row r="1328">
          <cell r="U1328">
            <v>239</v>
          </cell>
        </row>
        <row r="1329">
          <cell r="U1329">
            <v>452.21</v>
          </cell>
        </row>
        <row r="1330">
          <cell r="U1330">
            <v>70000</v>
          </cell>
        </row>
        <row r="1331">
          <cell r="U1331">
            <v>1073.0999999999999</v>
          </cell>
        </row>
        <row r="1332">
          <cell r="U1332">
            <v>2543.1999999999998</v>
          </cell>
        </row>
        <row r="1333">
          <cell r="U1333">
            <v>3748</v>
          </cell>
        </row>
        <row r="1334">
          <cell r="U1334">
            <v>1611</v>
          </cell>
        </row>
        <row r="1335">
          <cell r="U1335">
            <v>5044.96</v>
          </cell>
        </row>
        <row r="1336">
          <cell r="U1336">
            <v>62</v>
          </cell>
        </row>
        <row r="1337">
          <cell r="U1337">
            <v>1803</v>
          </cell>
        </row>
        <row r="1338">
          <cell r="U1338">
            <v>45000</v>
          </cell>
        </row>
        <row r="1339">
          <cell r="U1339">
            <v>182.16</v>
          </cell>
        </row>
        <row r="1340">
          <cell r="U1340">
            <v>400</v>
          </cell>
        </row>
        <row r="1341">
          <cell r="U1341">
            <v>846</v>
          </cell>
        </row>
        <row r="1342">
          <cell r="U1342">
            <v>1094.1099999999999</v>
          </cell>
        </row>
        <row r="1343">
          <cell r="U1343">
            <v>490</v>
          </cell>
        </row>
        <row r="1344">
          <cell r="U1344">
            <v>298.27999999999997</v>
          </cell>
        </row>
        <row r="1345">
          <cell r="U1345">
            <v>8673.49</v>
          </cell>
        </row>
        <row r="1346">
          <cell r="U1346">
            <v>420</v>
          </cell>
        </row>
        <row r="1347">
          <cell r="U1347">
            <v>3200</v>
          </cell>
        </row>
        <row r="1348">
          <cell r="U1348">
            <v>3182.66</v>
          </cell>
        </row>
        <row r="1349">
          <cell r="U1349">
            <v>3763</v>
          </cell>
        </row>
        <row r="1350">
          <cell r="U1350">
            <v>647.16999999999996</v>
          </cell>
        </row>
        <row r="1351">
          <cell r="U1351">
            <v>850</v>
          </cell>
        </row>
        <row r="1352">
          <cell r="U1352">
            <v>20191.68</v>
          </cell>
        </row>
        <row r="1353">
          <cell r="U1353">
            <v>896</v>
          </cell>
        </row>
        <row r="1354">
          <cell r="U1354">
            <v>150</v>
          </cell>
        </row>
        <row r="1355">
          <cell r="U1355">
            <v>147</v>
          </cell>
        </row>
        <row r="1356">
          <cell r="U1356">
            <v>371.95</v>
          </cell>
        </row>
        <row r="1357">
          <cell r="U1357">
            <v>810</v>
          </cell>
        </row>
        <row r="1358">
          <cell r="U1358">
            <v>4950</v>
          </cell>
        </row>
        <row r="1359">
          <cell r="U1359">
            <v>153</v>
          </cell>
        </row>
        <row r="1360">
          <cell r="U1360">
            <v>975.13</v>
          </cell>
        </row>
        <row r="1361">
          <cell r="U1361">
            <v>2488.36</v>
          </cell>
        </row>
        <row r="1362">
          <cell r="U1362">
            <v>150</v>
          </cell>
        </row>
        <row r="1363">
          <cell r="U1363">
            <v>425</v>
          </cell>
        </row>
        <row r="1364">
          <cell r="U1364">
            <v>4429.49</v>
          </cell>
        </row>
        <row r="1365">
          <cell r="U1365">
            <v>148.75</v>
          </cell>
        </row>
        <row r="1366">
          <cell r="U1366">
            <v>4130</v>
          </cell>
        </row>
        <row r="1367">
          <cell r="U1367">
            <v>39000</v>
          </cell>
        </row>
        <row r="1368">
          <cell r="U1368">
            <v>189.86</v>
          </cell>
        </row>
        <row r="1369">
          <cell r="U1369">
            <v>150</v>
          </cell>
        </row>
        <row r="1370">
          <cell r="U1370">
            <v>1250</v>
          </cell>
        </row>
        <row r="1371">
          <cell r="U1371">
            <v>825</v>
          </cell>
        </row>
        <row r="1372">
          <cell r="U1372">
            <v>1505</v>
          </cell>
        </row>
        <row r="1373">
          <cell r="U1373">
            <v>607</v>
          </cell>
        </row>
        <row r="1374">
          <cell r="U1374">
            <v>1161.45</v>
          </cell>
        </row>
        <row r="1375">
          <cell r="U1375">
            <v>810</v>
          </cell>
        </row>
        <row r="1376">
          <cell r="U1376">
            <v>2950</v>
          </cell>
        </row>
        <row r="1377">
          <cell r="U1377">
            <v>644.14</v>
          </cell>
        </row>
        <row r="1378">
          <cell r="U1378">
            <v>1062.8399999999999</v>
          </cell>
        </row>
        <row r="1379">
          <cell r="U1379">
            <v>1289.8900000000001</v>
          </cell>
        </row>
        <row r="1380">
          <cell r="U1380">
            <v>75</v>
          </cell>
        </row>
        <row r="1381">
          <cell r="U1381">
            <v>144.24</v>
          </cell>
        </row>
        <row r="1382">
          <cell r="U1382">
            <v>185</v>
          </cell>
        </row>
        <row r="1383">
          <cell r="U1383">
            <v>2060.38</v>
          </cell>
        </row>
        <row r="1384">
          <cell r="U1384">
            <v>440</v>
          </cell>
        </row>
        <row r="1385">
          <cell r="U1385">
            <v>400</v>
          </cell>
        </row>
        <row r="1386">
          <cell r="U1386">
            <v>2105.12</v>
          </cell>
        </row>
        <row r="1387">
          <cell r="U1387">
            <v>263</v>
          </cell>
        </row>
        <row r="1388">
          <cell r="U1388">
            <v>250</v>
          </cell>
        </row>
        <row r="1389">
          <cell r="U1389">
            <v>230</v>
          </cell>
        </row>
        <row r="1390">
          <cell r="U1390">
            <v>75</v>
          </cell>
        </row>
        <row r="1391">
          <cell r="U1391">
            <v>4629.1499999999996</v>
          </cell>
        </row>
        <row r="1392">
          <cell r="U1392">
            <v>281.98</v>
          </cell>
        </row>
        <row r="1393">
          <cell r="U1393">
            <v>120.11</v>
          </cell>
        </row>
        <row r="1394">
          <cell r="U1394">
            <v>120</v>
          </cell>
        </row>
        <row r="1395">
          <cell r="U1395">
            <v>917.07</v>
          </cell>
        </row>
        <row r="1396">
          <cell r="U1396">
            <v>11466.81</v>
          </cell>
        </row>
        <row r="1397">
          <cell r="U1397">
            <v>2900</v>
          </cell>
        </row>
        <row r="1398">
          <cell r="U1398">
            <v>100</v>
          </cell>
        </row>
        <row r="1399">
          <cell r="U1399">
            <v>600</v>
          </cell>
        </row>
        <row r="1400">
          <cell r="U1400">
            <v>1350</v>
          </cell>
        </row>
        <row r="1401">
          <cell r="U1401">
            <v>100</v>
          </cell>
        </row>
        <row r="1402">
          <cell r="U1402">
            <v>390</v>
          </cell>
        </row>
        <row r="1403">
          <cell r="U1403">
            <v>693</v>
          </cell>
        </row>
        <row r="1404">
          <cell r="U1404">
            <v>100</v>
          </cell>
        </row>
        <row r="1405">
          <cell r="U1405">
            <v>5799.74</v>
          </cell>
        </row>
        <row r="1406">
          <cell r="U1406">
            <v>90</v>
          </cell>
        </row>
        <row r="1407">
          <cell r="U1407">
            <v>712.58</v>
          </cell>
        </row>
        <row r="1408">
          <cell r="U1408">
            <v>647.1</v>
          </cell>
        </row>
        <row r="1409">
          <cell r="U1409">
            <v>383.91</v>
          </cell>
        </row>
        <row r="1410">
          <cell r="U1410">
            <v>260</v>
          </cell>
        </row>
        <row r="1411">
          <cell r="U1411">
            <v>152.22999999999999</v>
          </cell>
        </row>
        <row r="1412">
          <cell r="U1412">
            <v>1542</v>
          </cell>
        </row>
        <row r="1413">
          <cell r="U1413">
            <v>1548.28</v>
          </cell>
        </row>
        <row r="1414">
          <cell r="U1414">
            <v>544</v>
          </cell>
        </row>
        <row r="1415">
          <cell r="U1415">
            <v>2539.7199999999998</v>
          </cell>
        </row>
        <row r="1416">
          <cell r="U1416">
            <v>857</v>
          </cell>
        </row>
        <row r="1417">
          <cell r="U1417">
            <v>1817</v>
          </cell>
        </row>
        <row r="1418">
          <cell r="U1418">
            <v>50</v>
          </cell>
        </row>
        <row r="1419">
          <cell r="U1419">
            <v>508</v>
          </cell>
        </row>
        <row r="1420">
          <cell r="U1420">
            <v>3500</v>
          </cell>
        </row>
        <row r="1421">
          <cell r="U1421">
            <v>8893.3799999999992</v>
          </cell>
        </row>
        <row r="1422">
          <cell r="U1422">
            <v>2725.05</v>
          </cell>
        </row>
        <row r="1423">
          <cell r="U1423">
            <v>80.7</v>
          </cell>
        </row>
        <row r="1424">
          <cell r="U1424">
            <v>6290.76</v>
          </cell>
        </row>
        <row r="1425">
          <cell r="U1425">
            <v>150</v>
          </cell>
        </row>
        <row r="1426">
          <cell r="U1426">
            <v>1521.49</v>
          </cell>
        </row>
        <row r="1427">
          <cell r="U1427">
            <v>622.77</v>
          </cell>
        </row>
        <row r="1428">
          <cell r="U1428">
            <v>100</v>
          </cell>
        </row>
        <row r="1429">
          <cell r="U1429">
            <v>5454.25</v>
          </cell>
        </row>
        <row r="1430">
          <cell r="U1430">
            <v>431</v>
          </cell>
        </row>
        <row r="1431">
          <cell r="U1431">
            <v>935</v>
          </cell>
        </row>
        <row r="1432">
          <cell r="U1432">
            <v>613.99</v>
          </cell>
        </row>
        <row r="1433">
          <cell r="U1433">
            <v>614</v>
          </cell>
        </row>
        <row r="1434">
          <cell r="U1434">
            <v>3764.86</v>
          </cell>
        </row>
        <row r="1435">
          <cell r="U1435">
            <v>175</v>
          </cell>
        </row>
        <row r="1436">
          <cell r="U1436">
            <v>89</v>
          </cell>
        </row>
        <row r="1437">
          <cell r="U1437">
            <v>2053.25</v>
          </cell>
        </row>
        <row r="1438">
          <cell r="U1438">
            <v>585.9</v>
          </cell>
        </row>
        <row r="1439">
          <cell r="U1439">
            <v>80</v>
          </cell>
        </row>
        <row r="1440">
          <cell r="U1440">
            <v>87.23</v>
          </cell>
        </row>
        <row r="1441">
          <cell r="U1441">
            <v>1471.04</v>
          </cell>
        </row>
        <row r="1442">
          <cell r="U1442">
            <v>867.18</v>
          </cell>
        </row>
        <row r="1443">
          <cell r="U1443">
            <v>200</v>
          </cell>
        </row>
        <row r="1444">
          <cell r="U1444">
            <v>8824</v>
          </cell>
        </row>
        <row r="1445">
          <cell r="U1445">
            <v>8748.4699999999993</v>
          </cell>
        </row>
        <row r="1446">
          <cell r="U1446">
            <v>50000</v>
          </cell>
        </row>
        <row r="1447">
          <cell r="U1447">
            <v>837.1</v>
          </cell>
        </row>
        <row r="1448">
          <cell r="U1448">
            <v>1200</v>
          </cell>
        </row>
        <row r="1449">
          <cell r="U1449">
            <v>-66463.69</v>
          </cell>
        </row>
        <row r="1450">
          <cell r="U1450">
            <v>-112733.47</v>
          </cell>
        </row>
        <row r="1451">
          <cell r="U1451">
            <v>-28501.63</v>
          </cell>
        </row>
        <row r="1452">
          <cell r="U1452">
            <v>-87565.34</v>
          </cell>
        </row>
        <row r="1453">
          <cell r="U1453">
            <v>-127092.98</v>
          </cell>
        </row>
        <row r="1454">
          <cell r="U1454">
            <v>-4130</v>
          </cell>
        </row>
        <row r="1455">
          <cell r="U1455">
            <v>-39712.58</v>
          </cell>
        </row>
        <row r="1456">
          <cell r="U1456">
            <v>1946.54</v>
          </cell>
        </row>
        <row r="1457">
          <cell r="U1457">
            <v>50</v>
          </cell>
        </row>
        <row r="1458">
          <cell r="U1458">
            <v>268.14999999999998</v>
          </cell>
        </row>
        <row r="1459">
          <cell r="U1459">
            <v>924.92</v>
          </cell>
        </row>
        <row r="1460">
          <cell r="U1460">
            <v>2383.35</v>
          </cell>
        </row>
        <row r="1461">
          <cell r="U1461">
            <v>3500</v>
          </cell>
        </row>
        <row r="1462">
          <cell r="U1462">
            <v>70</v>
          </cell>
        </row>
        <row r="1463">
          <cell r="U1463">
            <v>650</v>
          </cell>
        </row>
        <row r="1464">
          <cell r="U1464">
            <v>37500</v>
          </cell>
        </row>
        <row r="1465">
          <cell r="U1465">
            <v>680</v>
          </cell>
        </row>
        <row r="1466">
          <cell r="U1466">
            <v>225</v>
          </cell>
        </row>
        <row r="1467">
          <cell r="U1467">
            <v>556.5</v>
          </cell>
        </row>
        <row r="1468">
          <cell r="U1468">
            <v>1413.5</v>
          </cell>
        </row>
        <row r="1469">
          <cell r="U1469">
            <v>-698.46</v>
          </cell>
        </row>
        <row r="1470">
          <cell r="U1470">
            <v>637</v>
          </cell>
        </row>
        <row r="1471">
          <cell r="U1471">
            <v>190.91</v>
          </cell>
        </row>
        <row r="1472">
          <cell r="U1472">
            <v>488</v>
          </cell>
        </row>
        <row r="1473">
          <cell r="U1473">
            <v>922</v>
          </cell>
        </row>
        <row r="1474">
          <cell r="U1474">
            <v>-2395</v>
          </cell>
        </row>
        <row r="1475">
          <cell r="U1475">
            <v>300</v>
          </cell>
        </row>
        <row r="1476">
          <cell r="U1476">
            <v>588.4</v>
          </cell>
        </row>
        <row r="1477">
          <cell r="U1477">
            <v>40</v>
          </cell>
        </row>
        <row r="1478">
          <cell r="U1478">
            <v>698.2</v>
          </cell>
        </row>
        <row r="1479">
          <cell r="U1479">
            <v>1994.14</v>
          </cell>
        </row>
        <row r="1480">
          <cell r="U1480">
            <v>10000</v>
          </cell>
        </row>
        <row r="1481">
          <cell r="U1481">
            <v>100</v>
          </cell>
        </row>
        <row r="1482">
          <cell r="U1482">
            <v>2034</v>
          </cell>
        </row>
        <row r="1483">
          <cell r="U1483">
            <v>100</v>
          </cell>
        </row>
        <row r="1484">
          <cell r="U1484">
            <v>3463</v>
          </cell>
        </row>
        <row r="1485">
          <cell r="U1485">
            <v>700</v>
          </cell>
        </row>
        <row r="1486">
          <cell r="U1486">
            <v>100</v>
          </cell>
        </row>
        <row r="1487">
          <cell r="U1487">
            <v>75</v>
          </cell>
        </row>
        <row r="1488">
          <cell r="U1488">
            <v>514.79999999999995</v>
          </cell>
        </row>
        <row r="1489">
          <cell r="U1489">
            <v>3500</v>
          </cell>
        </row>
        <row r="1490">
          <cell r="U1490">
            <v>45</v>
          </cell>
        </row>
        <row r="1491">
          <cell r="U1491">
            <v>150</v>
          </cell>
        </row>
        <row r="1492">
          <cell r="U1492">
            <v>157</v>
          </cell>
        </row>
        <row r="1493">
          <cell r="U1493">
            <v>2045.94</v>
          </cell>
        </row>
        <row r="1494">
          <cell r="U1494">
            <v>1442.49</v>
          </cell>
        </row>
        <row r="1495">
          <cell r="U1495">
            <v>411</v>
          </cell>
        </row>
        <row r="1496">
          <cell r="U1496">
            <v>200</v>
          </cell>
        </row>
        <row r="1497">
          <cell r="U1497">
            <v>35</v>
          </cell>
        </row>
        <row r="1498">
          <cell r="U1498">
            <v>100</v>
          </cell>
        </row>
        <row r="1499">
          <cell r="U1499">
            <v>1102.3699999999999</v>
          </cell>
        </row>
        <row r="1500">
          <cell r="U1500">
            <v>55000</v>
          </cell>
        </row>
        <row r="1501">
          <cell r="U1501">
            <v>2067.87</v>
          </cell>
        </row>
        <row r="1502">
          <cell r="U1502">
            <v>50</v>
          </cell>
        </row>
        <row r="1503">
          <cell r="U1503">
            <v>284</v>
          </cell>
        </row>
        <row r="1504">
          <cell r="U1504">
            <v>314</v>
          </cell>
        </row>
        <row r="1505">
          <cell r="U1505">
            <v>15000</v>
          </cell>
        </row>
        <row r="1506">
          <cell r="U1506">
            <v>222.3</v>
          </cell>
        </row>
        <row r="1507">
          <cell r="U1507">
            <v>471.98</v>
          </cell>
        </row>
        <row r="1508">
          <cell r="U1508">
            <v>1932.3</v>
          </cell>
        </row>
        <row r="1509">
          <cell r="U1509">
            <v>5864</v>
          </cell>
        </row>
        <row r="1510">
          <cell r="U1510">
            <v>150</v>
          </cell>
        </row>
        <row r="1511">
          <cell r="U1511">
            <v>385</v>
          </cell>
        </row>
        <row r="1512">
          <cell r="U1512">
            <v>701.3</v>
          </cell>
        </row>
        <row r="1513">
          <cell r="U1513">
            <v>16305.25</v>
          </cell>
        </row>
        <row r="1514">
          <cell r="U1514">
            <v>1000</v>
          </cell>
        </row>
        <row r="1515">
          <cell r="U1515">
            <v>25</v>
          </cell>
        </row>
        <row r="1516">
          <cell r="U1516">
            <v>3000</v>
          </cell>
        </row>
        <row r="1517">
          <cell r="U1517">
            <v>394.9</v>
          </cell>
        </row>
        <row r="1518">
          <cell r="U1518">
            <v>30</v>
          </cell>
        </row>
        <row r="1519">
          <cell r="U1519">
            <v>602.98</v>
          </cell>
        </row>
        <row r="1520">
          <cell r="U1520">
            <v>150</v>
          </cell>
        </row>
        <row r="1521">
          <cell r="U1521">
            <v>243.12</v>
          </cell>
        </row>
        <row r="1522">
          <cell r="U1522">
            <v>3858</v>
          </cell>
        </row>
        <row r="1523">
          <cell r="U1523">
            <v>530</v>
          </cell>
        </row>
        <row r="1524">
          <cell r="U1524">
            <v>279.14</v>
          </cell>
        </row>
        <row r="1525">
          <cell r="U1525">
            <v>2218.2800000000002</v>
          </cell>
        </row>
        <row r="1526">
          <cell r="U1526">
            <v>200</v>
          </cell>
        </row>
        <row r="1527">
          <cell r="U1527">
            <v>158.01</v>
          </cell>
        </row>
        <row r="1528">
          <cell r="U1528">
            <v>150</v>
          </cell>
        </row>
        <row r="1529">
          <cell r="U1529">
            <v>2698.72</v>
          </cell>
        </row>
        <row r="1530">
          <cell r="U1530">
            <v>340.04</v>
          </cell>
        </row>
        <row r="1531">
          <cell r="U1531">
            <v>1911.93</v>
          </cell>
        </row>
        <row r="1532">
          <cell r="U1532">
            <v>3085.61</v>
          </cell>
        </row>
        <row r="1533">
          <cell r="U1533">
            <v>75</v>
          </cell>
        </row>
        <row r="1534">
          <cell r="U1534">
            <v>4040.48</v>
          </cell>
        </row>
        <row r="1535">
          <cell r="U1535">
            <v>19659.490000000002</v>
          </cell>
        </row>
        <row r="1536">
          <cell r="U1536">
            <v>1915.42</v>
          </cell>
        </row>
        <row r="1537">
          <cell r="U1537">
            <v>6000</v>
          </cell>
        </row>
        <row r="1538">
          <cell r="U1538">
            <v>175</v>
          </cell>
        </row>
        <row r="1539">
          <cell r="U1539">
            <v>1543.62</v>
          </cell>
        </row>
        <row r="1540">
          <cell r="U1540">
            <v>4339.34</v>
          </cell>
        </row>
        <row r="1541">
          <cell r="U1541">
            <v>50</v>
          </cell>
        </row>
        <row r="1542">
          <cell r="U1542">
            <v>173</v>
          </cell>
        </row>
        <row r="1543">
          <cell r="U1543">
            <v>320</v>
          </cell>
        </row>
        <row r="1544">
          <cell r="U1544">
            <v>1050</v>
          </cell>
        </row>
        <row r="1545">
          <cell r="U1545">
            <v>5000</v>
          </cell>
        </row>
        <row r="1546">
          <cell r="U1546">
            <v>125</v>
          </cell>
        </row>
        <row r="1547">
          <cell r="U1547">
            <v>17000</v>
          </cell>
        </row>
        <row r="1548">
          <cell r="U1548">
            <v>2496.71</v>
          </cell>
        </row>
        <row r="1549">
          <cell r="U1549">
            <v>1249.95</v>
          </cell>
        </row>
        <row r="1550">
          <cell r="U1550">
            <v>15199</v>
          </cell>
        </row>
        <row r="1551">
          <cell r="U1551">
            <v>315</v>
          </cell>
        </row>
        <row r="1552">
          <cell r="U1552">
            <v>-35000</v>
          </cell>
        </row>
        <row r="1553">
          <cell r="U1553">
            <v>1222</v>
          </cell>
        </row>
        <row r="1554">
          <cell r="U1554">
            <v>446.64</v>
          </cell>
        </row>
        <row r="1555">
          <cell r="U1555">
            <v>151</v>
          </cell>
        </row>
        <row r="1556">
          <cell r="U1556">
            <v>277.22000000000003</v>
          </cell>
        </row>
        <row r="1557">
          <cell r="U1557">
            <v>945</v>
          </cell>
        </row>
        <row r="1558">
          <cell r="U1558">
            <v>1190</v>
          </cell>
        </row>
        <row r="1559">
          <cell r="U1559">
            <v>510</v>
          </cell>
        </row>
        <row r="1560">
          <cell r="U1560">
            <v>200</v>
          </cell>
        </row>
        <row r="1561">
          <cell r="U1561">
            <v>2438.5</v>
          </cell>
        </row>
        <row r="1562">
          <cell r="U1562">
            <v>800</v>
          </cell>
        </row>
        <row r="1563">
          <cell r="U1563">
            <v>200</v>
          </cell>
        </row>
        <row r="1564">
          <cell r="U1564">
            <v>3146.24</v>
          </cell>
        </row>
        <row r="1565">
          <cell r="U1565">
            <v>755.66</v>
          </cell>
        </row>
        <row r="1566">
          <cell r="U1566">
            <v>250</v>
          </cell>
        </row>
        <row r="1567">
          <cell r="U1567">
            <v>100</v>
          </cell>
        </row>
        <row r="1568">
          <cell r="U1568">
            <v>400</v>
          </cell>
        </row>
        <row r="1569">
          <cell r="U1569">
            <v>16885</v>
          </cell>
        </row>
        <row r="1570">
          <cell r="U1570">
            <v>115000</v>
          </cell>
        </row>
        <row r="1571">
          <cell r="U1571">
            <v>20000</v>
          </cell>
        </row>
        <row r="1572">
          <cell r="U1572">
            <v>6540.04</v>
          </cell>
        </row>
        <row r="1573">
          <cell r="U1573">
            <v>2081.9499999999998</v>
          </cell>
        </row>
        <row r="1574">
          <cell r="U1574">
            <v>1173.5899999999999</v>
          </cell>
        </row>
        <row r="1575">
          <cell r="U1575">
            <v>978.53</v>
          </cell>
        </row>
        <row r="1576">
          <cell r="U1576">
            <v>200</v>
          </cell>
        </row>
        <row r="1577">
          <cell r="U1577">
            <v>148</v>
          </cell>
        </row>
        <row r="1578">
          <cell r="U1578">
            <v>300</v>
          </cell>
        </row>
        <row r="1579">
          <cell r="U1579">
            <v>41.48</v>
          </cell>
        </row>
        <row r="1580">
          <cell r="U1580">
            <v>2100</v>
          </cell>
        </row>
        <row r="1581">
          <cell r="U1581">
            <v>64</v>
          </cell>
        </row>
        <row r="1582">
          <cell r="U1582">
            <v>1246.0999999999999</v>
          </cell>
        </row>
        <row r="1583">
          <cell r="U1583">
            <v>960</v>
          </cell>
        </row>
        <row r="1584">
          <cell r="U1584">
            <v>35.53</v>
          </cell>
        </row>
        <row r="1585">
          <cell r="U1585">
            <v>680.3</v>
          </cell>
        </row>
        <row r="1586">
          <cell r="U1586">
            <v>66.709999999999994</v>
          </cell>
        </row>
        <row r="1587">
          <cell r="U1587">
            <v>945.81</v>
          </cell>
        </row>
        <row r="1588">
          <cell r="U1588">
            <v>500</v>
          </cell>
        </row>
        <row r="1589">
          <cell r="U1589">
            <v>43000</v>
          </cell>
        </row>
        <row r="1590">
          <cell r="U1590">
            <v>1811.87</v>
          </cell>
        </row>
        <row r="1591">
          <cell r="U1591">
            <v>19553.84</v>
          </cell>
        </row>
        <row r="1592">
          <cell r="U1592">
            <v>2973.28</v>
          </cell>
        </row>
        <row r="1593">
          <cell r="U1593">
            <v>225</v>
          </cell>
        </row>
        <row r="1594">
          <cell r="U1594">
            <v>350</v>
          </cell>
        </row>
        <row r="1595">
          <cell r="U1595">
            <v>4697.8900000000003</v>
          </cell>
        </row>
        <row r="1596">
          <cell r="U1596">
            <v>30</v>
          </cell>
        </row>
        <row r="1597">
          <cell r="U1597">
            <v>150</v>
          </cell>
        </row>
        <row r="1598">
          <cell r="U1598">
            <v>325.7</v>
          </cell>
        </row>
        <row r="1599">
          <cell r="U1599">
            <v>1840</v>
          </cell>
        </row>
        <row r="1600">
          <cell r="U1600">
            <v>388</v>
          </cell>
        </row>
        <row r="1601">
          <cell r="U1601">
            <v>56837.74</v>
          </cell>
        </row>
        <row r="1602">
          <cell r="U1602">
            <v>715</v>
          </cell>
        </row>
        <row r="1603">
          <cell r="U1603">
            <v>175</v>
          </cell>
        </row>
        <row r="1604">
          <cell r="U1604">
            <v>263.41000000000003</v>
          </cell>
        </row>
        <row r="1605">
          <cell r="U1605">
            <v>3102</v>
          </cell>
        </row>
        <row r="1606">
          <cell r="U1606">
            <v>2275</v>
          </cell>
        </row>
        <row r="1607">
          <cell r="U1607">
            <v>665</v>
          </cell>
        </row>
        <row r="1608">
          <cell r="U1608">
            <v>3141.86</v>
          </cell>
        </row>
        <row r="1609">
          <cell r="U1609">
            <v>180</v>
          </cell>
        </row>
        <row r="1610">
          <cell r="U1610">
            <v>2973.28</v>
          </cell>
        </row>
        <row r="1611">
          <cell r="U1611">
            <v>-231424.92</v>
          </cell>
        </row>
        <row r="1612">
          <cell r="U1612">
            <v>-2081.9499999999998</v>
          </cell>
        </row>
        <row r="1613">
          <cell r="U1613">
            <v>-120150.39</v>
          </cell>
        </row>
        <row r="1614">
          <cell r="U1614">
            <v>-7198.72</v>
          </cell>
        </row>
        <row r="1615">
          <cell r="U1615">
            <v>-13263.54</v>
          </cell>
        </row>
        <row r="1616">
          <cell r="U1616">
            <v>-140080.32000000001</v>
          </cell>
        </row>
        <row r="1617">
          <cell r="U1617">
            <v>-20467.509999999998</v>
          </cell>
        </row>
        <row r="1618">
          <cell r="U1618">
            <v>-45</v>
          </cell>
        </row>
        <row r="1619">
          <cell r="U1619">
            <v>-30000</v>
          </cell>
        </row>
        <row r="1620">
          <cell r="U1620">
            <v>565.48</v>
          </cell>
        </row>
        <row r="1621">
          <cell r="U1621">
            <v>2022.34</v>
          </cell>
        </row>
        <row r="1622">
          <cell r="U1622">
            <v>200</v>
          </cell>
        </row>
        <row r="1623">
          <cell r="U1623">
            <v>300</v>
          </cell>
        </row>
        <row r="1624">
          <cell r="U1624">
            <v>200</v>
          </cell>
        </row>
        <row r="1625">
          <cell r="U1625">
            <v>174</v>
          </cell>
        </row>
        <row r="1626">
          <cell r="U1626">
            <v>62.38</v>
          </cell>
        </row>
        <row r="1627">
          <cell r="U1627">
            <v>212.5</v>
          </cell>
        </row>
        <row r="1628">
          <cell r="U1628">
            <v>975</v>
          </cell>
        </row>
        <row r="1629">
          <cell r="U1629">
            <v>375</v>
          </cell>
        </row>
        <row r="1630">
          <cell r="U1630">
            <v>175</v>
          </cell>
        </row>
        <row r="1631">
          <cell r="U1631">
            <v>354</v>
          </cell>
        </row>
        <row r="1632">
          <cell r="U1632">
            <v>1005</v>
          </cell>
        </row>
        <row r="1633">
          <cell r="U1633">
            <v>5062.95</v>
          </cell>
        </row>
        <row r="1634">
          <cell r="U1634">
            <v>3461.66</v>
          </cell>
        </row>
        <row r="1635">
          <cell r="U1635">
            <v>105</v>
          </cell>
        </row>
        <row r="1636">
          <cell r="U1636">
            <v>914</v>
          </cell>
        </row>
        <row r="1637">
          <cell r="U1637">
            <v>1230</v>
          </cell>
        </row>
        <row r="1638">
          <cell r="U1638">
            <v>425000</v>
          </cell>
        </row>
        <row r="1639">
          <cell r="U1639">
            <v>727.67</v>
          </cell>
        </row>
        <row r="1640">
          <cell r="U1640">
            <v>1037.3599999999999</v>
          </cell>
        </row>
        <row r="1641">
          <cell r="U1641">
            <v>800</v>
          </cell>
        </row>
        <row r="1642">
          <cell r="U1642">
            <v>150</v>
          </cell>
        </row>
        <row r="1643">
          <cell r="U1643">
            <v>337</v>
          </cell>
        </row>
        <row r="1644">
          <cell r="U1644">
            <v>53</v>
          </cell>
        </row>
        <row r="1645">
          <cell r="U1645">
            <v>150</v>
          </cell>
        </row>
        <row r="1646">
          <cell r="U1646">
            <v>416</v>
          </cell>
        </row>
        <row r="1647">
          <cell r="U1647">
            <v>642.74</v>
          </cell>
        </row>
        <row r="1648">
          <cell r="U1648">
            <v>55</v>
          </cell>
        </row>
        <row r="1649">
          <cell r="U1649">
            <v>72</v>
          </cell>
        </row>
        <row r="1650">
          <cell r="U1650">
            <v>2500</v>
          </cell>
        </row>
        <row r="1651">
          <cell r="U1651">
            <v>100</v>
          </cell>
        </row>
        <row r="1652">
          <cell r="U1652">
            <v>3000</v>
          </cell>
        </row>
        <row r="1653">
          <cell r="U1653">
            <v>476.36</v>
          </cell>
        </row>
        <row r="1654">
          <cell r="U1654">
            <v>14585.11</v>
          </cell>
        </row>
        <row r="1655">
          <cell r="U1655">
            <v>250</v>
          </cell>
        </row>
        <row r="1656">
          <cell r="U1656">
            <v>100</v>
          </cell>
        </row>
        <row r="1657">
          <cell r="U1657">
            <v>2010</v>
          </cell>
        </row>
        <row r="1658">
          <cell r="U1658">
            <v>804</v>
          </cell>
        </row>
        <row r="1659">
          <cell r="U1659">
            <v>233</v>
          </cell>
        </row>
        <row r="1660">
          <cell r="U1660">
            <v>50</v>
          </cell>
        </row>
        <row r="1661">
          <cell r="U1661">
            <v>50</v>
          </cell>
        </row>
        <row r="1662">
          <cell r="U1662">
            <v>98.5</v>
          </cell>
        </row>
        <row r="1663">
          <cell r="U1663">
            <v>913.13</v>
          </cell>
        </row>
        <row r="1664">
          <cell r="U1664">
            <v>2553.4</v>
          </cell>
        </row>
        <row r="1665">
          <cell r="U1665">
            <v>6461.2</v>
          </cell>
        </row>
        <row r="1666">
          <cell r="U1666">
            <v>649.89</v>
          </cell>
        </row>
        <row r="1667">
          <cell r="U1667">
            <v>4790</v>
          </cell>
        </row>
        <row r="1668">
          <cell r="U1668">
            <v>13000</v>
          </cell>
        </row>
        <row r="1669">
          <cell r="U1669">
            <v>2500</v>
          </cell>
        </row>
        <row r="1670">
          <cell r="U1670">
            <v>72</v>
          </cell>
        </row>
        <row r="1671">
          <cell r="U1671">
            <v>321</v>
          </cell>
        </row>
        <row r="1672">
          <cell r="U1672">
            <v>46.69</v>
          </cell>
        </row>
        <row r="1673">
          <cell r="U1673">
            <v>547.01</v>
          </cell>
        </row>
        <row r="1674">
          <cell r="U1674">
            <v>100</v>
          </cell>
        </row>
        <row r="1675">
          <cell r="U1675">
            <v>2005</v>
          </cell>
        </row>
        <row r="1676">
          <cell r="U1676">
            <v>325</v>
          </cell>
        </row>
        <row r="1677">
          <cell r="U1677">
            <v>124</v>
          </cell>
        </row>
        <row r="1678">
          <cell r="U1678">
            <v>39.69</v>
          </cell>
        </row>
        <row r="1679">
          <cell r="U1679">
            <v>415</v>
          </cell>
        </row>
        <row r="1680">
          <cell r="U1680">
            <v>2280.9</v>
          </cell>
        </row>
        <row r="1681">
          <cell r="U1681">
            <v>120</v>
          </cell>
        </row>
        <row r="1682">
          <cell r="U1682">
            <v>214.2</v>
          </cell>
        </row>
        <row r="1683">
          <cell r="U1683">
            <v>375</v>
          </cell>
        </row>
        <row r="1684">
          <cell r="U1684">
            <v>4283.72</v>
          </cell>
        </row>
        <row r="1685">
          <cell r="U1685">
            <v>2300</v>
          </cell>
        </row>
        <row r="1686">
          <cell r="U1686">
            <v>125</v>
          </cell>
        </row>
        <row r="1687">
          <cell r="U1687">
            <v>2048.6799999999998</v>
          </cell>
        </row>
        <row r="1688">
          <cell r="U1688">
            <v>4000</v>
          </cell>
        </row>
        <row r="1689">
          <cell r="U1689">
            <v>180</v>
          </cell>
        </row>
        <row r="1690">
          <cell r="U1690">
            <v>213</v>
          </cell>
        </row>
        <row r="1691">
          <cell r="U1691">
            <v>2045</v>
          </cell>
        </row>
        <row r="1692">
          <cell r="U1692">
            <v>146.99</v>
          </cell>
        </row>
        <row r="1693">
          <cell r="U1693">
            <v>770</v>
          </cell>
        </row>
        <row r="1694">
          <cell r="U1694">
            <v>1145</v>
          </cell>
        </row>
        <row r="1695">
          <cell r="U1695">
            <v>9920</v>
          </cell>
        </row>
        <row r="1696">
          <cell r="U1696">
            <v>1100.58</v>
          </cell>
        </row>
        <row r="1697">
          <cell r="U1697">
            <v>620</v>
          </cell>
        </row>
        <row r="1698">
          <cell r="U1698">
            <v>100</v>
          </cell>
        </row>
        <row r="1699">
          <cell r="U1699">
            <v>1014.1</v>
          </cell>
        </row>
        <row r="1700">
          <cell r="U1700">
            <v>337.51</v>
          </cell>
        </row>
        <row r="1701">
          <cell r="U1701">
            <v>944.13</v>
          </cell>
        </row>
        <row r="1702">
          <cell r="U1702">
            <v>150</v>
          </cell>
        </row>
        <row r="1703">
          <cell r="U1703">
            <v>2925</v>
          </cell>
        </row>
        <row r="1704">
          <cell r="U1704">
            <v>678.2</v>
          </cell>
        </row>
        <row r="1705">
          <cell r="U1705">
            <v>3361.84</v>
          </cell>
        </row>
        <row r="1706">
          <cell r="U1706">
            <v>1281.25</v>
          </cell>
        </row>
        <row r="1707">
          <cell r="U1707">
            <v>40000</v>
          </cell>
        </row>
        <row r="1708">
          <cell r="U1708">
            <v>150</v>
          </cell>
        </row>
        <row r="1709">
          <cell r="U1709">
            <v>1367.45</v>
          </cell>
        </row>
        <row r="1710">
          <cell r="U1710">
            <v>2782.19</v>
          </cell>
        </row>
        <row r="1711">
          <cell r="U1711">
            <v>92.5</v>
          </cell>
        </row>
        <row r="1712">
          <cell r="U1712">
            <v>-2973.28</v>
          </cell>
        </row>
        <row r="1713">
          <cell r="U1713">
            <v>910</v>
          </cell>
        </row>
        <row r="1714">
          <cell r="U1714">
            <v>2345</v>
          </cell>
        </row>
        <row r="1715">
          <cell r="U1715">
            <v>231.91</v>
          </cell>
        </row>
        <row r="1716">
          <cell r="U1716">
            <v>6330.94</v>
          </cell>
        </row>
        <row r="1717">
          <cell r="U1717">
            <v>750.56</v>
          </cell>
        </row>
        <row r="1718">
          <cell r="U1718">
            <v>100</v>
          </cell>
        </row>
        <row r="1719">
          <cell r="U1719">
            <v>75</v>
          </cell>
        </row>
        <row r="1720">
          <cell r="U1720">
            <v>50</v>
          </cell>
        </row>
        <row r="1721">
          <cell r="U1721">
            <v>100</v>
          </cell>
        </row>
        <row r="1722">
          <cell r="U1722">
            <v>44.68</v>
          </cell>
        </row>
        <row r="1723">
          <cell r="U1723">
            <v>2315</v>
          </cell>
        </row>
        <row r="1724">
          <cell r="U1724">
            <v>1579.01</v>
          </cell>
        </row>
        <row r="1725">
          <cell r="U1725">
            <v>362.8</v>
          </cell>
        </row>
        <row r="1726">
          <cell r="U1726">
            <v>175</v>
          </cell>
        </row>
        <row r="1727">
          <cell r="U1727">
            <v>1455</v>
          </cell>
        </row>
        <row r="1728">
          <cell r="U1728">
            <v>225</v>
          </cell>
        </row>
        <row r="1729">
          <cell r="U1729">
            <v>150</v>
          </cell>
        </row>
        <row r="1730">
          <cell r="U1730">
            <v>315.12</v>
          </cell>
        </row>
        <row r="1731">
          <cell r="U1731">
            <v>100</v>
          </cell>
        </row>
        <row r="1732">
          <cell r="U1732">
            <v>250</v>
          </cell>
        </row>
        <row r="1733">
          <cell r="U1733">
            <v>126</v>
          </cell>
        </row>
        <row r="1734">
          <cell r="U1734">
            <v>678.62</v>
          </cell>
        </row>
        <row r="1735">
          <cell r="U1735">
            <v>873</v>
          </cell>
        </row>
        <row r="1736">
          <cell r="U1736">
            <v>22098.49</v>
          </cell>
        </row>
        <row r="1737">
          <cell r="U1737">
            <v>1308.6099999999999</v>
          </cell>
        </row>
        <row r="1738">
          <cell r="U1738">
            <v>355</v>
          </cell>
        </row>
        <row r="1739">
          <cell r="U1739">
            <v>500</v>
          </cell>
        </row>
        <row r="1740">
          <cell r="U1740">
            <v>861.44</v>
          </cell>
        </row>
        <row r="1741">
          <cell r="U1741">
            <v>200</v>
          </cell>
        </row>
        <row r="1742">
          <cell r="U1742">
            <v>150</v>
          </cell>
        </row>
        <row r="1743">
          <cell r="U1743">
            <v>100</v>
          </cell>
        </row>
        <row r="1744">
          <cell r="U1744">
            <v>700</v>
          </cell>
        </row>
        <row r="1745">
          <cell r="U1745">
            <v>150</v>
          </cell>
        </row>
        <row r="1746">
          <cell r="U1746">
            <v>100</v>
          </cell>
        </row>
        <row r="1747">
          <cell r="U1747">
            <v>1359.99</v>
          </cell>
        </row>
        <row r="1748">
          <cell r="U1748">
            <v>704.99</v>
          </cell>
        </row>
        <row r="1749">
          <cell r="U1749">
            <v>2000</v>
          </cell>
        </row>
        <row r="1750">
          <cell r="U1750">
            <v>4000</v>
          </cell>
        </row>
        <row r="1751">
          <cell r="U1751">
            <v>1994.99</v>
          </cell>
        </row>
        <row r="1752">
          <cell r="U1752">
            <v>750</v>
          </cell>
        </row>
        <row r="1753">
          <cell r="U1753">
            <v>400</v>
          </cell>
        </row>
        <row r="1754">
          <cell r="U1754">
            <v>1055.76</v>
          </cell>
        </row>
        <row r="1755">
          <cell r="U1755">
            <v>75</v>
          </cell>
        </row>
        <row r="1756">
          <cell r="U1756">
            <v>1402.84</v>
          </cell>
        </row>
        <row r="1757">
          <cell r="U1757">
            <v>25</v>
          </cell>
        </row>
        <row r="1758">
          <cell r="U1758">
            <v>200</v>
          </cell>
        </row>
        <row r="1759">
          <cell r="U1759">
            <v>350</v>
          </cell>
        </row>
        <row r="1760">
          <cell r="U1760">
            <v>15000</v>
          </cell>
        </row>
        <row r="1761">
          <cell r="U1761">
            <v>1613.76</v>
          </cell>
        </row>
        <row r="1762">
          <cell r="U1762">
            <v>2915.03</v>
          </cell>
        </row>
        <row r="1763">
          <cell r="U1763">
            <v>1112.48</v>
          </cell>
        </row>
        <row r="1764">
          <cell r="U1764">
            <v>150</v>
          </cell>
        </row>
        <row r="1765">
          <cell r="U1765">
            <v>1449</v>
          </cell>
        </row>
        <row r="1766">
          <cell r="U1766">
            <v>95</v>
          </cell>
        </row>
        <row r="1767">
          <cell r="U1767">
            <v>76</v>
          </cell>
        </row>
        <row r="1768">
          <cell r="U1768">
            <v>3300</v>
          </cell>
        </row>
        <row r="1769">
          <cell r="U1769">
            <v>104</v>
          </cell>
        </row>
        <row r="1770">
          <cell r="U1770">
            <v>23</v>
          </cell>
        </row>
        <row r="1771">
          <cell r="U1771">
            <v>250</v>
          </cell>
        </row>
        <row r="1772">
          <cell r="U1772">
            <v>150</v>
          </cell>
        </row>
        <row r="1773">
          <cell r="U1773">
            <v>2074.64</v>
          </cell>
        </row>
        <row r="1774">
          <cell r="U1774">
            <v>594.95000000000005</v>
          </cell>
        </row>
        <row r="1775">
          <cell r="U1775">
            <v>200</v>
          </cell>
        </row>
        <row r="1776">
          <cell r="U1776">
            <v>439.04</v>
          </cell>
        </row>
        <row r="1777">
          <cell r="U1777">
            <v>34.69</v>
          </cell>
        </row>
        <row r="1778">
          <cell r="U1778">
            <v>380</v>
          </cell>
        </row>
        <row r="1779">
          <cell r="U1779">
            <v>200</v>
          </cell>
        </row>
        <row r="1780">
          <cell r="U1780">
            <v>4220.83</v>
          </cell>
        </row>
        <row r="1781">
          <cell r="U1781">
            <v>1279</v>
          </cell>
        </row>
        <row r="1782">
          <cell r="U1782">
            <v>1500</v>
          </cell>
        </row>
        <row r="1783">
          <cell r="U1783">
            <v>400</v>
          </cell>
        </row>
        <row r="1784">
          <cell r="U1784">
            <v>180</v>
          </cell>
        </row>
        <row r="1785">
          <cell r="U1785">
            <v>344.25</v>
          </cell>
        </row>
        <row r="1786">
          <cell r="U1786">
            <v>662</v>
          </cell>
        </row>
        <row r="1787">
          <cell r="U1787">
            <v>11585</v>
          </cell>
        </row>
        <row r="1788">
          <cell r="U1788">
            <v>220.97</v>
          </cell>
        </row>
        <row r="1789">
          <cell r="U1789">
            <v>245</v>
          </cell>
        </row>
        <row r="1790">
          <cell r="U1790">
            <v>250</v>
          </cell>
        </row>
        <row r="1791">
          <cell r="U1791">
            <v>150</v>
          </cell>
        </row>
        <row r="1792">
          <cell r="U1792">
            <v>262.5</v>
          </cell>
        </row>
        <row r="1793">
          <cell r="U1793">
            <v>2582.5300000000002</v>
          </cell>
        </row>
        <row r="1794">
          <cell r="U1794">
            <v>7648.55</v>
          </cell>
        </row>
        <row r="1795">
          <cell r="U1795">
            <v>2375.39</v>
          </cell>
        </row>
        <row r="1796">
          <cell r="U1796">
            <v>200</v>
          </cell>
        </row>
        <row r="1797">
          <cell r="U1797">
            <v>400000</v>
          </cell>
        </row>
        <row r="1798">
          <cell r="U1798">
            <v>4900</v>
          </cell>
        </row>
        <row r="1799">
          <cell r="U1799">
            <v>254.63</v>
          </cell>
        </row>
        <row r="1800">
          <cell r="U1800">
            <v>782.17</v>
          </cell>
        </row>
        <row r="1801">
          <cell r="U1801">
            <v>200</v>
          </cell>
        </row>
        <row r="1802">
          <cell r="U1802">
            <v>444.19</v>
          </cell>
        </row>
        <row r="1803">
          <cell r="U1803">
            <v>110</v>
          </cell>
        </row>
        <row r="1804">
          <cell r="U1804">
            <v>2262.96</v>
          </cell>
        </row>
        <row r="1805">
          <cell r="U1805">
            <v>200</v>
          </cell>
        </row>
        <row r="1806">
          <cell r="U1806">
            <v>18738.87</v>
          </cell>
        </row>
        <row r="1807">
          <cell r="U1807">
            <v>400</v>
          </cell>
        </row>
        <row r="1808">
          <cell r="U1808">
            <v>500</v>
          </cell>
        </row>
        <row r="1809">
          <cell r="U1809">
            <v>151.6</v>
          </cell>
        </row>
        <row r="1810">
          <cell r="U1810">
            <v>250</v>
          </cell>
        </row>
        <row r="1811">
          <cell r="U1811">
            <v>439.75</v>
          </cell>
        </row>
        <row r="1812">
          <cell r="U1812">
            <v>50</v>
          </cell>
        </row>
        <row r="1813">
          <cell r="U1813">
            <v>4274.55</v>
          </cell>
        </row>
        <row r="1814">
          <cell r="U1814">
            <v>1376.85</v>
          </cell>
        </row>
        <row r="1815">
          <cell r="U1815">
            <v>6500</v>
          </cell>
        </row>
        <row r="1816">
          <cell r="U1816">
            <v>965</v>
          </cell>
        </row>
        <row r="1817">
          <cell r="U1817">
            <v>65</v>
          </cell>
        </row>
        <row r="1818">
          <cell r="U1818">
            <v>3815.07</v>
          </cell>
        </row>
        <row r="1819">
          <cell r="U1819">
            <v>111.38</v>
          </cell>
        </row>
        <row r="1820">
          <cell r="U1820">
            <v>6811.29</v>
          </cell>
        </row>
        <row r="1821">
          <cell r="U1821">
            <v>209</v>
          </cell>
        </row>
        <row r="1822">
          <cell r="U1822">
            <v>150</v>
          </cell>
        </row>
        <row r="1823">
          <cell r="U1823">
            <v>850</v>
          </cell>
        </row>
        <row r="1824">
          <cell r="U1824">
            <v>341.3</v>
          </cell>
        </row>
        <row r="1825">
          <cell r="U1825">
            <v>10000</v>
          </cell>
        </row>
        <row r="1826">
          <cell r="U1826">
            <v>617.66999999999996</v>
          </cell>
        </row>
        <row r="1827">
          <cell r="U1827">
            <v>2876</v>
          </cell>
        </row>
        <row r="1828">
          <cell r="U1828">
            <v>-124</v>
          </cell>
        </row>
        <row r="1829">
          <cell r="U1829">
            <v>-150</v>
          </cell>
        </row>
        <row r="1830">
          <cell r="U1830">
            <v>-1042.74</v>
          </cell>
        </row>
        <row r="1831">
          <cell r="U1831">
            <v>-158177.75</v>
          </cell>
        </row>
        <row r="1832">
          <cell r="U1832">
            <v>-30859.42</v>
          </cell>
        </row>
        <row r="1833">
          <cell r="U1833">
            <v>-1923.26</v>
          </cell>
        </row>
        <row r="1834">
          <cell r="U1834">
            <v>-144683.54999999999</v>
          </cell>
        </row>
        <row r="1835">
          <cell r="U1835">
            <v>-15400.07</v>
          </cell>
        </row>
        <row r="1836">
          <cell r="U1836">
            <v>-7779.18</v>
          </cell>
        </row>
        <row r="1837">
          <cell r="U1837">
            <v>-468300</v>
          </cell>
        </row>
        <row r="1838">
          <cell r="U1838">
            <v>511.44</v>
          </cell>
        </row>
        <row r="1839">
          <cell r="U1839">
            <v>160.34</v>
          </cell>
        </row>
        <row r="1840">
          <cell r="U1840">
            <v>7995.57</v>
          </cell>
        </row>
        <row r="1841">
          <cell r="U1841">
            <v>5012</v>
          </cell>
        </row>
        <row r="1842">
          <cell r="U1842">
            <v>355</v>
          </cell>
        </row>
        <row r="1843">
          <cell r="U1843">
            <v>200</v>
          </cell>
        </row>
        <row r="1844">
          <cell r="U1844">
            <v>496</v>
          </cell>
        </row>
        <row r="1845">
          <cell r="U1845">
            <v>150</v>
          </cell>
        </row>
        <row r="1846">
          <cell r="U1846">
            <v>280</v>
          </cell>
        </row>
        <row r="1847">
          <cell r="U1847">
            <v>3750</v>
          </cell>
        </row>
        <row r="1848">
          <cell r="U1848">
            <v>388.91</v>
          </cell>
        </row>
        <row r="1849">
          <cell r="U1849">
            <v>7718</v>
          </cell>
        </row>
        <row r="1850">
          <cell r="U1850">
            <v>2142.02</v>
          </cell>
        </row>
        <row r="1851">
          <cell r="U1851">
            <v>727</v>
          </cell>
        </row>
        <row r="1852">
          <cell r="U1852">
            <v>936.66</v>
          </cell>
        </row>
        <row r="1853">
          <cell r="U1853">
            <v>314.26</v>
          </cell>
        </row>
        <row r="1854">
          <cell r="U1854">
            <v>4013.61</v>
          </cell>
        </row>
        <row r="1855">
          <cell r="U1855">
            <v>672.9</v>
          </cell>
        </row>
        <row r="1856">
          <cell r="U1856">
            <v>147.15</v>
          </cell>
        </row>
        <row r="1857">
          <cell r="U1857">
            <v>30.56</v>
          </cell>
        </row>
        <row r="1858">
          <cell r="U1858">
            <v>1285</v>
          </cell>
        </row>
        <row r="1859">
          <cell r="U1859">
            <v>1093.07</v>
          </cell>
        </row>
        <row r="1860">
          <cell r="U1860">
            <v>1075</v>
          </cell>
        </row>
        <row r="1861">
          <cell r="U1861">
            <v>75</v>
          </cell>
        </row>
        <row r="1862">
          <cell r="U1862">
            <v>5609</v>
          </cell>
        </row>
        <row r="1863">
          <cell r="U1863">
            <v>1229.7</v>
          </cell>
        </row>
        <row r="1864">
          <cell r="U1864">
            <v>3203.97</v>
          </cell>
        </row>
        <row r="1865">
          <cell r="U1865">
            <v>195</v>
          </cell>
        </row>
        <row r="1866">
          <cell r="U1866">
            <v>620</v>
          </cell>
        </row>
        <row r="1867">
          <cell r="U1867">
            <v>1371.27</v>
          </cell>
        </row>
        <row r="1868">
          <cell r="U1868">
            <v>610</v>
          </cell>
        </row>
        <row r="1869">
          <cell r="U1869">
            <v>3209.71</v>
          </cell>
        </row>
        <row r="1870">
          <cell r="U1870">
            <v>2424.7199999999998</v>
          </cell>
        </row>
        <row r="1871">
          <cell r="U1871">
            <v>199.99</v>
          </cell>
        </row>
        <row r="1872">
          <cell r="U1872">
            <v>100</v>
          </cell>
        </row>
        <row r="1873">
          <cell r="U1873">
            <v>924</v>
          </cell>
        </row>
        <row r="1874">
          <cell r="U1874">
            <v>1119</v>
          </cell>
        </row>
        <row r="1875">
          <cell r="U1875">
            <v>1128.1500000000001</v>
          </cell>
        </row>
        <row r="1876">
          <cell r="U1876">
            <v>75</v>
          </cell>
        </row>
        <row r="1877">
          <cell r="U1877">
            <v>4900</v>
          </cell>
        </row>
        <row r="1878">
          <cell r="U1878">
            <v>870</v>
          </cell>
        </row>
        <row r="1879">
          <cell r="U1879">
            <v>115</v>
          </cell>
        </row>
        <row r="1880">
          <cell r="U1880">
            <v>373</v>
          </cell>
        </row>
        <row r="1881">
          <cell r="U1881">
            <v>1118.25</v>
          </cell>
        </row>
        <row r="1882">
          <cell r="U1882">
            <v>100</v>
          </cell>
        </row>
        <row r="1883">
          <cell r="U1883">
            <v>75</v>
          </cell>
        </row>
        <row r="1884">
          <cell r="U1884">
            <v>3830</v>
          </cell>
        </row>
        <row r="1885">
          <cell r="U1885">
            <v>375</v>
          </cell>
        </row>
        <row r="1886">
          <cell r="U1886">
            <v>6175.71</v>
          </cell>
        </row>
        <row r="1887">
          <cell r="U1887">
            <v>256.27</v>
          </cell>
        </row>
        <row r="1888">
          <cell r="U1888">
            <v>16000</v>
          </cell>
        </row>
        <row r="1889">
          <cell r="U1889">
            <v>65</v>
          </cell>
        </row>
        <row r="1890">
          <cell r="U1890">
            <v>231.4</v>
          </cell>
        </row>
        <row r="1891">
          <cell r="U1891">
            <v>125</v>
          </cell>
        </row>
        <row r="1892">
          <cell r="U1892">
            <v>3210.73</v>
          </cell>
        </row>
        <row r="1893">
          <cell r="U1893">
            <v>166</v>
          </cell>
        </row>
        <row r="1894">
          <cell r="U1894">
            <v>556.51</v>
          </cell>
        </row>
        <row r="1895">
          <cell r="U1895">
            <v>250</v>
          </cell>
        </row>
        <row r="1896">
          <cell r="U1896">
            <v>106.37</v>
          </cell>
        </row>
        <row r="1897">
          <cell r="U1897">
            <v>1358.33</v>
          </cell>
        </row>
        <row r="1898">
          <cell r="U1898">
            <v>100</v>
          </cell>
        </row>
        <row r="1899">
          <cell r="U1899">
            <v>1022</v>
          </cell>
        </row>
        <row r="1900">
          <cell r="U1900">
            <v>3180.78</v>
          </cell>
        </row>
        <row r="1901">
          <cell r="U1901">
            <v>20000</v>
          </cell>
        </row>
        <row r="1902">
          <cell r="U1902">
            <v>110</v>
          </cell>
        </row>
        <row r="1903">
          <cell r="U1903">
            <v>49.68</v>
          </cell>
        </row>
        <row r="1904">
          <cell r="U1904">
            <v>1267</v>
          </cell>
        </row>
        <row r="1905">
          <cell r="U1905">
            <v>2854</v>
          </cell>
        </row>
        <row r="1906">
          <cell r="U1906">
            <v>2645.8</v>
          </cell>
        </row>
        <row r="1907">
          <cell r="U1907">
            <v>-40616.58</v>
          </cell>
        </row>
        <row r="1908">
          <cell r="U1908">
            <v>272</v>
          </cell>
        </row>
        <row r="1909">
          <cell r="U1909">
            <v>294</v>
          </cell>
        </row>
        <row r="1910">
          <cell r="U1910">
            <v>360.66</v>
          </cell>
        </row>
        <row r="1911">
          <cell r="U1911">
            <v>6300</v>
          </cell>
        </row>
        <row r="1912">
          <cell r="U1912">
            <v>1792.88</v>
          </cell>
        </row>
        <row r="1913">
          <cell r="U1913">
            <v>944.12</v>
          </cell>
        </row>
        <row r="1914">
          <cell r="U1914">
            <v>5882</v>
          </cell>
        </row>
        <row r="1915">
          <cell r="U1915">
            <v>9879</v>
          </cell>
        </row>
        <row r="1916">
          <cell r="U1916">
            <v>1073.31</v>
          </cell>
        </row>
        <row r="1917">
          <cell r="U1917">
            <v>149.56</v>
          </cell>
        </row>
        <row r="1918">
          <cell r="U1918">
            <v>40</v>
          </cell>
        </row>
        <row r="1919">
          <cell r="U1919">
            <v>340</v>
          </cell>
        </row>
        <row r="1920">
          <cell r="U1920">
            <v>414.06</v>
          </cell>
        </row>
        <row r="1921">
          <cell r="U1921">
            <v>232.79</v>
          </cell>
        </row>
        <row r="1922">
          <cell r="U1922">
            <v>6336</v>
          </cell>
        </row>
        <row r="1923">
          <cell r="U1923">
            <v>141.97</v>
          </cell>
        </row>
        <row r="1924">
          <cell r="U1924">
            <v>200</v>
          </cell>
        </row>
        <row r="1925">
          <cell r="U1925">
            <v>3470</v>
          </cell>
        </row>
        <row r="1926">
          <cell r="U1926">
            <v>98</v>
          </cell>
        </row>
        <row r="1927">
          <cell r="U1927">
            <v>1775</v>
          </cell>
        </row>
        <row r="1928">
          <cell r="U1928">
            <v>300</v>
          </cell>
        </row>
        <row r="1929">
          <cell r="U1929">
            <v>100</v>
          </cell>
        </row>
        <row r="1930">
          <cell r="U1930">
            <v>-128418.43</v>
          </cell>
        </row>
        <row r="1931">
          <cell r="U1931">
            <v>-18585.53</v>
          </cell>
        </row>
        <row r="1932">
          <cell r="U1932">
            <v>-413175.45</v>
          </cell>
        </row>
        <row r="1933">
          <cell r="U1933">
            <v>-13739.99</v>
          </cell>
        </row>
        <row r="1934">
          <cell r="U1934">
            <v>4531</v>
          </cell>
        </row>
        <row r="1935">
          <cell r="U1935">
            <v>3175.45</v>
          </cell>
        </row>
        <row r="1936">
          <cell r="U1936">
            <v>150</v>
          </cell>
        </row>
        <row r="1937">
          <cell r="U1937">
            <v>638.84</v>
          </cell>
        </row>
        <row r="1938">
          <cell r="U1938">
            <v>917.8</v>
          </cell>
        </row>
        <row r="1939">
          <cell r="U1939">
            <v>915</v>
          </cell>
        </row>
        <row r="1940">
          <cell r="U1940">
            <v>-727</v>
          </cell>
        </row>
        <row r="1941">
          <cell r="U1941">
            <v>592.21</v>
          </cell>
        </row>
        <row r="1942">
          <cell r="U1942">
            <v>897.04</v>
          </cell>
        </row>
        <row r="1943">
          <cell r="U1943">
            <v>75</v>
          </cell>
        </row>
        <row r="1944">
          <cell r="U1944">
            <v>1814.54</v>
          </cell>
        </row>
        <row r="1945">
          <cell r="U1945">
            <v>609.66</v>
          </cell>
        </row>
        <row r="1946">
          <cell r="U1946">
            <v>1429.97</v>
          </cell>
        </row>
        <row r="1947">
          <cell r="U1947">
            <v>52.97</v>
          </cell>
        </row>
        <row r="1948">
          <cell r="U1948">
            <v>396</v>
          </cell>
        </row>
        <row r="1949">
          <cell r="U1949">
            <v>150</v>
          </cell>
        </row>
        <row r="1950">
          <cell r="U1950">
            <v>25</v>
          </cell>
        </row>
        <row r="1951">
          <cell r="U1951">
            <v>-396</v>
          </cell>
        </row>
        <row r="1952">
          <cell r="U1952">
            <v>-2396.86</v>
          </cell>
        </row>
        <row r="1953">
          <cell r="U1953">
            <v>2000000</v>
          </cell>
        </row>
        <row r="1954">
          <cell r="U1954">
            <v>60</v>
          </cell>
        </row>
        <row r="1955">
          <cell r="U1955">
            <v>1870</v>
          </cell>
        </row>
        <row r="1956">
          <cell r="U1956">
            <v>1728.54</v>
          </cell>
        </row>
        <row r="1957">
          <cell r="U1957">
            <v>892</v>
          </cell>
        </row>
        <row r="1958">
          <cell r="U1958">
            <v>1091</v>
          </cell>
        </row>
        <row r="1959">
          <cell r="U1959">
            <v>883.7</v>
          </cell>
        </row>
        <row r="1960">
          <cell r="U1960">
            <v>12900</v>
          </cell>
        </row>
        <row r="1961">
          <cell r="U1961">
            <v>95</v>
          </cell>
        </row>
        <row r="1962">
          <cell r="U1962">
            <v>180</v>
          </cell>
        </row>
        <row r="1963">
          <cell r="U1963">
            <v>1022.4</v>
          </cell>
        </row>
        <row r="1964">
          <cell r="U1964">
            <v>50</v>
          </cell>
        </row>
        <row r="1965">
          <cell r="U1965">
            <v>327.94</v>
          </cell>
        </row>
        <row r="1966">
          <cell r="U1966">
            <v>50</v>
          </cell>
        </row>
        <row r="1967">
          <cell r="U1967">
            <v>1187.92</v>
          </cell>
        </row>
        <row r="1968">
          <cell r="U1968">
            <v>193</v>
          </cell>
        </row>
        <row r="1969">
          <cell r="U1969">
            <v>1040.1300000000001</v>
          </cell>
        </row>
        <row r="1970">
          <cell r="U1970">
            <v>21400</v>
          </cell>
        </row>
        <row r="1971">
          <cell r="U1971">
            <v>65</v>
          </cell>
        </row>
        <row r="1972">
          <cell r="U1972">
            <v>3600</v>
          </cell>
        </row>
        <row r="1973">
          <cell r="U1973">
            <v>35</v>
          </cell>
        </row>
        <row r="1974">
          <cell r="U1974">
            <v>30</v>
          </cell>
        </row>
        <row r="1975">
          <cell r="U1975">
            <v>677.75</v>
          </cell>
        </row>
        <row r="1976">
          <cell r="U1976">
            <v>145</v>
          </cell>
        </row>
        <row r="1977">
          <cell r="U1977">
            <v>300</v>
          </cell>
        </row>
        <row r="1978">
          <cell r="U1978">
            <v>341.79</v>
          </cell>
        </row>
        <row r="1979">
          <cell r="U1979">
            <v>976.87</v>
          </cell>
        </row>
        <row r="1980">
          <cell r="U1980">
            <v>1123.8</v>
          </cell>
        </row>
        <row r="1981">
          <cell r="U1981">
            <v>3818.49</v>
          </cell>
        </row>
        <row r="1982">
          <cell r="U1982">
            <v>75</v>
          </cell>
        </row>
        <row r="1983">
          <cell r="U1983">
            <v>13.16</v>
          </cell>
        </row>
        <row r="1984">
          <cell r="U1984">
            <v>1864.46</v>
          </cell>
        </row>
        <row r="1985">
          <cell r="U1985">
            <v>23000</v>
          </cell>
        </row>
        <row r="1986">
          <cell r="U1986">
            <v>55</v>
          </cell>
        </row>
        <row r="1987">
          <cell r="U1987">
            <v>500</v>
          </cell>
        </row>
        <row r="1988">
          <cell r="U1988">
            <v>98</v>
          </cell>
        </row>
        <row r="1989">
          <cell r="U1989">
            <v>150</v>
          </cell>
        </row>
        <row r="1990">
          <cell r="U1990">
            <v>100</v>
          </cell>
        </row>
        <row r="1991">
          <cell r="U1991">
            <v>2379.12</v>
          </cell>
        </row>
        <row r="1992">
          <cell r="U1992">
            <v>28.7</v>
          </cell>
        </row>
        <row r="1993">
          <cell r="U1993">
            <v>160</v>
          </cell>
        </row>
        <row r="1994">
          <cell r="U1994">
            <v>120</v>
          </cell>
        </row>
        <row r="1995">
          <cell r="U1995">
            <v>1698.59</v>
          </cell>
        </row>
        <row r="1996">
          <cell r="U1996">
            <v>10</v>
          </cell>
        </row>
        <row r="1997">
          <cell r="U1997">
            <v>-1698.59</v>
          </cell>
        </row>
        <row r="1998">
          <cell r="U1998">
            <v>-72631.44</v>
          </cell>
        </row>
        <row r="1999">
          <cell r="U1999">
            <v>-2001728.54</v>
          </cell>
        </row>
        <row r="2000">
          <cell r="U2000">
            <v>-609.66</v>
          </cell>
        </row>
        <row r="2001">
          <cell r="U2001">
            <v>-14428.52</v>
          </cell>
        </row>
        <row r="2002">
          <cell r="U2002">
            <v>-10</v>
          </cell>
        </row>
        <row r="2003">
          <cell r="U2003">
            <v>2700</v>
          </cell>
        </row>
        <row r="2004">
          <cell r="U2004">
            <v>797.97</v>
          </cell>
        </row>
        <row r="2005">
          <cell r="U2005">
            <v>1467</v>
          </cell>
        </row>
        <row r="2006">
          <cell r="U2006">
            <v>1274</v>
          </cell>
        </row>
        <row r="2007">
          <cell r="U2007">
            <v>6500</v>
          </cell>
        </row>
        <row r="2008">
          <cell r="U2008">
            <v>300</v>
          </cell>
        </row>
        <row r="2009">
          <cell r="U2009">
            <v>890</v>
          </cell>
        </row>
        <row r="2010">
          <cell r="U2010">
            <v>2440.59</v>
          </cell>
        </row>
        <row r="2011">
          <cell r="U2011">
            <v>410.01</v>
          </cell>
        </row>
        <row r="2012">
          <cell r="U2012">
            <v>1518.25</v>
          </cell>
        </row>
        <row r="2013">
          <cell r="U2013">
            <v>6484.6</v>
          </cell>
        </row>
        <row r="2014">
          <cell r="U2014">
            <v>555.58000000000004</v>
          </cell>
        </row>
        <row r="2015">
          <cell r="U2015">
            <v>229.5</v>
          </cell>
        </row>
        <row r="2016">
          <cell r="U2016">
            <v>65</v>
          </cell>
        </row>
        <row r="2017">
          <cell r="U2017">
            <v>101.74</v>
          </cell>
        </row>
        <row r="2018">
          <cell r="U2018">
            <v>185</v>
          </cell>
        </row>
        <row r="2019">
          <cell r="U2019">
            <v>979.2</v>
          </cell>
        </row>
        <row r="2020">
          <cell r="U2020">
            <v>675</v>
          </cell>
        </row>
        <row r="2021">
          <cell r="U2021">
            <v>525</v>
          </cell>
        </row>
        <row r="2022">
          <cell r="U2022">
            <v>750</v>
          </cell>
        </row>
        <row r="2023">
          <cell r="U2023">
            <v>283.12</v>
          </cell>
        </row>
        <row r="2024">
          <cell r="U2024">
            <v>215</v>
          </cell>
        </row>
        <row r="2025">
          <cell r="U2025">
            <v>3323.48</v>
          </cell>
        </row>
        <row r="2026">
          <cell r="U2026">
            <v>1264.46</v>
          </cell>
        </row>
        <row r="2027">
          <cell r="U2027">
            <v>2481.7199999999998</v>
          </cell>
        </row>
        <row r="2028">
          <cell r="U2028">
            <v>5255.01</v>
          </cell>
        </row>
        <row r="2029">
          <cell r="U2029">
            <v>300</v>
          </cell>
        </row>
        <row r="2030">
          <cell r="U2030">
            <v>72.81</v>
          </cell>
        </row>
        <row r="2031">
          <cell r="U2031">
            <v>83</v>
          </cell>
        </row>
        <row r="2032">
          <cell r="U2032">
            <v>92.34</v>
          </cell>
        </row>
        <row r="2033">
          <cell r="U2033">
            <v>616.87</v>
          </cell>
        </row>
        <row r="2034">
          <cell r="U2034">
            <v>3000</v>
          </cell>
        </row>
        <row r="2035">
          <cell r="U2035">
            <v>405.44</v>
          </cell>
        </row>
        <row r="2036">
          <cell r="U2036">
            <v>6747.38</v>
          </cell>
        </row>
        <row r="2037">
          <cell r="U2037">
            <v>960</v>
          </cell>
        </row>
        <row r="2038">
          <cell r="U2038">
            <v>1497.54</v>
          </cell>
        </row>
        <row r="2039">
          <cell r="U2039">
            <v>162.49</v>
          </cell>
        </row>
        <row r="2040">
          <cell r="U2040">
            <v>52.78</v>
          </cell>
        </row>
        <row r="2041">
          <cell r="U2041">
            <v>100</v>
          </cell>
        </row>
        <row r="2042">
          <cell r="U2042">
            <v>3362.6</v>
          </cell>
        </row>
        <row r="2043">
          <cell r="U2043">
            <v>590</v>
          </cell>
        </row>
        <row r="2044">
          <cell r="U2044">
            <v>289.05</v>
          </cell>
        </row>
        <row r="2045">
          <cell r="U2045">
            <v>1442.19</v>
          </cell>
        </row>
        <row r="2046">
          <cell r="U2046">
            <v>2915.15</v>
          </cell>
        </row>
        <row r="2047">
          <cell r="U2047">
            <v>300</v>
          </cell>
        </row>
        <row r="2048">
          <cell r="U2048">
            <v>5234.38</v>
          </cell>
        </row>
        <row r="2049">
          <cell r="U2049">
            <v>700</v>
          </cell>
        </row>
        <row r="2050">
          <cell r="U2050">
            <v>495</v>
          </cell>
        </row>
        <row r="2051">
          <cell r="U2051">
            <v>172.88</v>
          </cell>
        </row>
        <row r="2052">
          <cell r="U2052">
            <v>50</v>
          </cell>
        </row>
        <row r="2053">
          <cell r="U2053">
            <v>1257</v>
          </cell>
        </row>
        <row r="2054">
          <cell r="U2054">
            <v>904</v>
          </cell>
        </row>
        <row r="2055">
          <cell r="U2055">
            <v>149</v>
          </cell>
        </row>
        <row r="2056">
          <cell r="U2056">
            <v>311.92</v>
          </cell>
        </row>
        <row r="2057">
          <cell r="U2057">
            <v>7500</v>
          </cell>
        </row>
        <row r="2058">
          <cell r="U2058">
            <v>82</v>
          </cell>
        </row>
        <row r="2059">
          <cell r="U2059">
            <v>262.99</v>
          </cell>
        </row>
        <row r="2060">
          <cell r="U2060">
            <v>100</v>
          </cell>
        </row>
        <row r="2061">
          <cell r="U2061">
            <v>3040</v>
          </cell>
        </row>
        <row r="2062">
          <cell r="U2062">
            <v>4259.17</v>
          </cell>
        </row>
        <row r="2063">
          <cell r="U2063">
            <v>8232</v>
          </cell>
        </row>
        <row r="2064">
          <cell r="U2064">
            <v>204.79</v>
          </cell>
        </row>
        <row r="2065">
          <cell r="U2065">
            <v>901.56</v>
          </cell>
        </row>
        <row r="2066">
          <cell r="U2066">
            <v>722</v>
          </cell>
        </row>
        <row r="2067">
          <cell r="U2067">
            <v>50</v>
          </cell>
        </row>
        <row r="2068">
          <cell r="U2068">
            <v>150</v>
          </cell>
        </row>
        <row r="2069">
          <cell r="U2069">
            <v>3288.68</v>
          </cell>
        </row>
        <row r="2070">
          <cell r="U2070">
            <v>5250</v>
          </cell>
        </row>
        <row r="2071">
          <cell r="U2071">
            <v>200</v>
          </cell>
        </row>
        <row r="2072">
          <cell r="U2072">
            <v>100</v>
          </cell>
        </row>
        <row r="2073">
          <cell r="U2073">
            <v>1023.11</v>
          </cell>
        </row>
        <row r="2074">
          <cell r="U2074">
            <v>713.02</v>
          </cell>
        </row>
        <row r="2075">
          <cell r="U2075">
            <v>100</v>
          </cell>
        </row>
        <row r="2076">
          <cell r="U2076">
            <v>376.18</v>
          </cell>
        </row>
        <row r="2077">
          <cell r="U2077">
            <v>2393</v>
          </cell>
        </row>
        <row r="2078">
          <cell r="U2078">
            <v>150</v>
          </cell>
        </row>
        <row r="2079">
          <cell r="U2079">
            <v>646.99</v>
          </cell>
        </row>
        <row r="2080">
          <cell r="U2080">
            <v>4000</v>
          </cell>
        </row>
        <row r="2081">
          <cell r="U2081">
            <v>699.99</v>
          </cell>
        </row>
        <row r="2082">
          <cell r="U2082">
            <v>429.36</v>
          </cell>
        </row>
        <row r="2083">
          <cell r="U2083">
            <v>4898.17</v>
          </cell>
        </row>
        <row r="2084">
          <cell r="U2084">
            <v>342.74</v>
          </cell>
        </row>
        <row r="2085">
          <cell r="U2085">
            <v>809.59</v>
          </cell>
        </row>
        <row r="2086">
          <cell r="U2086">
            <v>200</v>
          </cell>
        </row>
        <row r="2087">
          <cell r="U2087">
            <v>280</v>
          </cell>
        </row>
        <row r="2088">
          <cell r="U2088">
            <v>795</v>
          </cell>
        </row>
        <row r="2089">
          <cell r="U2089">
            <v>3558.94</v>
          </cell>
        </row>
        <row r="2090">
          <cell r="U2090">
            <v>1107.8699999999999</v>
          </cell>
        </row>
        <row r="2091">
          <cell r="U2091">
            <v>3792.02</v>
          </cell>
        </row>
        <row r="2092">
          <cell r="U2092">
            <v>250</v>
          </cell>
        </row>
        <row r="2093">
          <cell r="U2093">
            <v>6975.52</v>
          </cell>
        </row>
        <row r="2094">
          <cell r="U2094">
            <v>200</v>
          </cell>
        </row>
        <row r="2095">
          <cell r="U2095">
            <v>782</v>
          </cell>
        </row>
        <row r="2096">
          <cell r="U2096">
            <v>5000</v>
          </cell>
        </row>
        <row r="2097">
          <cell r="U2097">
            <v>682</v>
          </cell>
        </row>
        <row r="2098">
          <cell r="U2098">
            <v>4228.53</v>
          </cell>
        </row>
        <row r="2099">
          <cell r="U2099">
            <v>1736.93</v>
          </cell>
        </row>
        <row r="2100">
          <cell r="U2100">
            <v>3275.65</v>
          </cell>
        </row>
        <row r="2101">
          <cell r="U2101">
            <v>470</v>
          </cell>
        </row>
        <row r="2102">
          <cell r="U2102">
            <v>350</v>
          </cell>
        </row>
        <row r="2103">
          <cell r="U2103">
            <v>850.46</v>
          </cell>
        </row>
        <row r="2104">
          <cell r="U2104">
            <v>770</v>
          </cell>
        </row>
        <row r="2105">
          <cell r="U2105">
            <v>359</v>
          </cell>
        </row>
        <row r="2106">
          <cell r="U2106">
            <v>361</v>
          </cell>
        </row>
        <row r="2107">
          <cell r="U2107">
            <v>100000</v>
          </cell>
        </row>
        <row r="2108">
          <cell r="U2108">
            <v>10116.73</v>
          </cell>
        </row>
        <row r="2109">
          <cell r="U2109">
            <v>586.32000000000005</v>
          </cell>
        </row>
        <row r="2110">
          <cell r="U2110">
            <v>160</v>
          </cell>
        </row>
        <row r="2111">
          <cell r="U2111">
            <v>310</v>
          </cell>
        </row>
        <row r="2112">
          <cell r="U2112">
            <v>11980</v>
          </cell>
        </row>
        <row r="2113">
          <cell r="U2113">
            <v>628.36</v>
          </cell>
        </row>
        <row r="2114">
          <cell r="U2114">
            <v>608</v>
          </cell>
        </row>
        <row r="2115">
          <cell r="U2115">
            <v>1265.52</v>
          </cell>
        </row>
        <row r="2116">
          <cell r="U2116">
            <v>100</v>
          </cell>
        </row>
        <row r="2117">
          <cell r="U2117">
            <v>1416.56</v>
          </cell>
        </row>
        <row r="2118">
          <cell r="U2118">
            <v>771.25</v>
          </cell>
        </row>
        <row r="2119">
          <cell r="U2119">
            <v>345</v>
          </cell>
        </row>
        <row r="2120">
          <cell r="U2120">
            <v>400</v>
          </cell>
        </row>
        <row r="2121">
          <cell r="U2121">
            <v>4576.75</v>
          </cell>
        </row>
        <row r="2122">
          <cell r="U2122">
            <v>7801.52</v>
          </cell>
        </row>
        <row r="2123">
          <cell r="U2123">
            <v>649.23</v>
          </cell>
        </row>
        <row r="2124">
          <cell r="U2124">
            <v>100</v>
          </cell>
        </row>
        <row r="2125">
          <cell r="U2125">
            <v>150</v>
          </cell>
        </row>
        <row r="2126">
          <cell r="U2126">
            <v>320</v>
          </cell>
        </row>
        <row r="2127">
          <cell r="U2127">
            <v>25</v>
          </cell>
        </row>
        <row r="2128">
          <cell r="U2128">
            <v>1352.62</v>
          </cell>
        </row>
        <row r="2129">
          <cell r="U2129">
            <v>135</v>
          </cell>
        </row>
        <row r="2130">
          <cell r="U2130">
            <v>287.75</v>
          </cell>
        </row>
        <row r="2131">
          <cell r="U2131">
            <v>1194</v>
          </cell>
        </row>
        <row r="2132">
          <cell r="U2132">
            <v>150</v>
          </cell>
        </row>
        <row r="2133">
          <cell r="U2133">
            <v>200</v>
          </cell>
        </row>
        <row r="2134">
          <cell r="U2134">
            <v>350</v>
          </cell>
        </row>
        <row r="2135">
          <cell r="U2135">
            <v>150</v>
          </cell>
        </row>
        <row r="2136">
          <cell r="U2136">
            <v>200</v>
          </cell>
        </row>
        <row r="2137">
          <cell r="U2137">
            <v>739.5</v>
          </cell>
        </row>
        <row r="2138">
          <cell r="U2138">
            <v>150</v>
          </cell>
        </row>
        <row r="2139">
          <cell r="U2139">
            <v>175</v>
          </cell>
        </row>
        <row r="2140">
          <cell r="U2140">
            <v>1260.28</v>
          </cell>
        </row>
        <row r="2141">
          <cell r="U2141">
            <v>350</v>
          </cell>
        </row>
        <row r="2142">
          <cell r="U2142">
            <v>325</v>
          </cell>
        </row>
        <row r="2143">
          <cell r="U2143">
            <v>664.89</v>
          </cell>
        </row>
        <row r="2144">
          <cell r="U2144">
            <v>1638.75</v>
          </cell>
        </row>
        <row r="2145">
          <cell r="U2145">
            <v>391.21</v>
          </cell>
        </row>
        <row r="2146">
          <cell r="U2146">
            <v>300</v>
          </cell>
        </row>
        <row r="2147">
          <cell r="U2147">
            <v>264.79000000000002</v>
          </cell>
        </row>
        <row r="2148">
          <cell r="U2148">
            <v>1075.5</v>
          </cell>
        </row>
        <row r="2149">
          <cell r="U2149">
            <v>13310</v>
          </cell>
        </row>
        <row r="2150">
          <cell r="U2150">
            <v>67500</v>
          </cell>
        </row>
        <row r="2151">
          <cell r="U2151">
            <v>635</v>
          </cell>
        </row>
        <row r="2152">
          <cell r="U2152">
            <v>1638.05</v>
          </cell>
        </row>
        <row r="2153">
          <cell r="U2153">
            <v>2956.1</v>
          </cell>
        </row>
        <row r="2154">
          <cell r="U2154">
            <v>1971.55</v>
          </cell>
        </row>
        <row r="2155">
          <cell r="U2155">
            <v>5000</v>
          </cell>
        </row>
        <row r="2156">
          <cell r="U2156">
            <v>100</v>
          </cell>
        </row>
        <row r="2157">
          <cell r="U2157">
            <v>993.99</v>
          </cell>
        </row>
        <row r="2158">
          <cell r="U2158">
            <v>175</v>
          </cell>
        </row>
        <row r="2159">
          <cell r="U2159">
            <v>5469.19</v>
          </cell>
        </row>
        <row r="2160">
          <cell r="U2160">
            <v>164.72</v>
          </cell>
        </row>
        <row r="2161">
          <cell r="U2161">
            <v>582.42999999999995</v>
          </cell>
        </row>
        <row r="2162">
          <cell r="U2162">
            <v>218.5</v>
          </cell>
        </row>
        <row r="2163">
          <cell r="U2163">
            <v>175</v>
          </cell>
        </row>
        <row r="2164">
          <cell r="U2164">
            <v>80</v>
          </cell>
        </row>
        <row r="2165">
          <cell r="U2165">
            <v>20.02</v>
          </cell>
        </row>
        <row r="2166">
          <cell r="U2166">
            <v>32.5</v>
          </cell>
        </row>
        <row r="2167">
          <cell r="U2167">
            <v>493.62</v>
          </cell>
        </row>
        <row r="2168">
          <cell r="U2168">
            <v>530</v>
          </cell>
        </row>
        <row r="2169">
          <cell r="U2169">
            <v>526.54999999999995</v>
          </cell>
        </row>
        <row r="2170">
          <cell r="U2170">
            <v>445</v>
          </cell>
        </row>
        <row r="2171">
          <cell r="U2171">
            <v>825</v>
          </cell>
        </row>
        <row r="2172">
          <cell r="U2172">
            <v>45</v>
          </cell>
        </row>
        <row r="2173">
          <cell r="U2173">
            <v>64</v>
          </cell>
        </row>
        <row r="2174">
          <cell r="U2174">
            <v>10106.709999999999</v>
          </cell>
        </row>
        <row r="2175">
          <cell r="U2175">
            <v>235</v>
          </cell>
        </row>
        <row r="2176">
          <cell r="U2176">
            <v>497.45</v>
          </cell>
        </row>
        <row r="2177">
          <cell r="U2177">
            <v>1305.52</v>
          </cell>
        </row>
        <row r="2178">
          <cell r="U2178">
            <v>168.4</v>
          </cell>
        </row>
        <row r="2179">
          <cell r="U2179">
            <v>6127.57</v>
          </cell>
        </row>
        <row r="2180">
          <cell r="U2180">
            <v>470</v>
          </cell>
        </row>
        <row r="2181">
          <cell r="U2181">
            <v>1700</v>
          </cell>
        </row>
        <row r="2182">
          <cell r="U2182">
            <v>702</v>
          </cell>
        </row>
        <row r="2183">
          <cell r="U2183">
            <v>2021.48</v>
          </cell>
        </row>
        <row r="2184">
          <cell r="U2184">
            <v>1600</v>
          </cell>
        </row>
        <row r="2185">
          <cell r="U2185">
            <v>100</v>
          </cell>
        </row>
        <row r="2186">
          <cell r="U2186">
            <v>2088.62</v>
          </cell>
        </row>
        <row r="2187">
          <cell r="U2187">
            <v>1759</v>
          </cell>
        </row>
        <row r="2188">
          <cell r="U2188">
            <v>1456</v>
          </cell>
        </row>
        <row r="2189">
          <cell r="U2189">
            <v>249.99</v>
          </cell>
        </row>
        <row r="2190">
          <cell r="U2190">
            <v>225</v>
          </cell>
        </row>
        <row r="2191">
          <cell r="U2191">
            <v>364</v>
          </cell>
        </row>
        <row r="2192">
          <cell r="U2192">
            <v>100</v>
          </cell>
        </row>
        <row r="2193">
          <cell r="U2193">
            <v>100</v>
          </cell>
        </row>
        <row r="2194">
          <cell r="U2194">
            <v>875</v>
          </cell>
        </row>
        <row r="2195">
          <cell r="U2195">
            <v>3822</v>
          </cell>
        </row>
        <row r="2196">
          <cell r="U2196">
            <v>200</v>
          </cell>
        </row>
        <row r="2197">
          <cell r="U2197">
            <v>59.8</v>
          </cell>
        </row>
        <row r="2198">
          <cell r="U2198">
            <v>100</v>
          </cell>
        </row>
        <row r="2199">
          <cell r="U2199">
            <v>910.93</v>
          </cell>
        </row>
        <row r="2200">
          <cell r="U2200">
            <v>250</v>
          </cell>
        </row>
        <row r="2201">
          <cell r="U2201">
            <v>100</v>
          </cell>
        </row>
        <row r="2202">
          <cell r="U2202">
            <v>909</v>
          </cell>
        </row>
        <row r="2203">
          <cell r="U2203">
            <v>9573.8700000000008</v>
          </cell>
        </row>
        <row r="2204">
          <cell r="U2204">
            <v>346</v>
          </cell>
        </row>
        <row r="2205">
          <cell r="U2205">
            <v>534</v>
          </cell>
        </row>
        <row r="2206">
          <cell r="U2206">
            <v>100</v>
          </cell>
        </row>
        <row r="2207">
          <cell r="U2207">
            <v>40</v>
          </cell>
        </row>
        <row r="2208">
          <cell r="U2208">
            <v>2452</v>
          </cell>
        </row>
        <row r="2209">
          <cell r="U2209">
            <v>911.56</v>
          </cell>
        </row>
        <row r="2210">
          <cell r="U2210">
            <v>285</v>
          </cell>
        </row>
        <row r="2211">
          <cell r="U2211">
            <v>1508</v>
          </cell>
        </row>
        <row r="2212">
          <cell r="U2212">
            <v>200</v>
          </cell>
        </row>
        <row r="2213">
          <cell r="U2213">
            <v>200</v>
          </cell>
        </row>
        <row r="2214">
          <cell r="U2214">
            <v>250</v>
          </cell>
        </row>
        <row r="2215">
          <cell r="U2215">
            <v>13654</v>
          </cell>
        </row>
        <row r="2216">
          <cell r="U2216">
            <v>1515</v>
          </cell>
        </row>
        <row r="2217">
          <cell r="U2217">
            <v>295.39</v>
          </cell>
        </row>
        <row r="2218">
          <cell r="U2218">
            <v>4065.33</v>
          </cell>
        </row>
        <row r="2219">
          <cell r="U2219">
            <v>300</v>
          </cell>
        </row>
        <row r="2220">
          <cell r="U2220">
            <v>3967.4</v>
          </cell>
        </row>
        <row r="2221">
          <cell r="U2221">
            <v>114.32</v>
          </cell>
        </row>
        <row r="2222">
          <cell r="U2222">
            <v>100</v>
          </cell>
        </row>
        <row r="2223">
          <cell r="U2223">
            <v>59</v>
          </cell>
        </row>
        <row r="2224">
          <cell r="U2224">
            <v>1044.96</v>
          </cell>
        </row>
        <row r="2225">
          <cell r="U2225">
            <v>120</v>
          </cell>
        </row>
        <row r="2226">
          <cell r="U2226">
            <v>337</v>
          </cell>
        </row>
        <row r="2227">
          <cell r="U2227">
            <v>556.48</v>
          </cell>
        </row>
        <row r="2228">
          <cell r="U2228">
            <v>1456.01</v>
          </cell>
        </row>
        <row r="2229">
          <cell r="U2229">
            <v>-26905.439999999999</v>
          </cell>
        </row>
        <row r="2230">
          <cell r="U2230">
            <v>1000</v>
          </cell>
        </row>
        <row r="2231">
          <cell r="U2231">
            <v>503</v>
          </cell>
        </row>
        <row r="2232">
          <cell r="U2232">
            <v>1295</v>
          </cell>
        </row>
        <row r="2233">
          <cell r="U2233">
            <v>7098.97</v>
          </cell>
        </row>
        <row r="2234">
          <cell r="U2234">
            <v>125.35</v>
          </cell>
        </row>
        <row r="2235">
          <cell r="U2235">
            <v>100</v>
          </cell>
        </row>
        <row r="2236">
          <cell r="U2236">
            <v>1218</v>
          </cell>
        </row>
        <row r="2237">
          <cell r="U2237">
            <v>600</v>
          </cell>
        </row>
        <row r="2238">
          <cell r="U2238">
            <v>-5255.01</v>
          </cell>
        </row>
        <row r="2239">
          <cell r="U2239">
            <v>-4065.33</v>
          </cell>
        </row>
        <row r="2240">
          <cell r="U2240">
            <v>-225</v>
          </cell>
        </row>
        <row r="2241">
          <cell r="U2241">
            <v>-126001.05</v>
          </cell>
        </row>
        <row r="2242">
          <cell r="U2242">
            <v>-26017.45</v>
          </cell>
        </row>
        <row r="2243">
          <cell r="U2243">
            <v>-43138.05</v>
          </cell>
        </row>
        <row r="2244">
          <cell r="U2244">
            <v>-163933.43</v>
          </cell>
        </row>
        <row r="2245">
          <cell r="U2245">
            <v>-3296.39</v>
          </cell>
        </row>
        <row r="2246">
          <cell r="U2246">
            <v>-7500</v>
          </cell>
        </row>
        <row r="2247">
          <cell r="U2247">
            <v>-104875.02</v>
          </cell>
        </row>
        <row r="2248">
          <cell r="U2248">
            <v>30</v>
          </cell>
        </row>
        <row r="2249">
          <cell r="U2249">
            <v>418</v>
          </cell>
        </row>
        <row r="2250">
          <cell r="U2250">
            <v>560</v>
          </cell>
        </row>
        <row r="2251">
          <cell r="U2251">
            <v>500</v>
          </cell>
        </row>
        <row r="2252">
          <cell r="U2252">
            <v>1809.43</v>
          </cell>
        </row>
        <row r="2253">
          <cell r="U2253">
            <v>3570.72</v>
          </cell>
        </row>
        <row r="2254">
          <cell r="U2254">
            <v>359.97</v>
          </cell>
        </row>
        <row r="2255">
          <cell r="U2255">
            <v>150</v>
          </cell>
        </row>
        <row r="2256">
          <cell r="U2256">
            <v>250</v>
          </cell>
        </row>
        <row r="2257">
          <cell r="U2257">
            <v>90</v>
          </cell>
        </row>
        <row r="2258">
          <cell r="U2258">
            <v>752.5</v>
          </cell>
        </row>
        <row r="2259">
          <cell r="U2259">
            <v>497.3</v>
          </cell>
        </row>
        <row r="2260">
          <cell r="U2260">
            <v>200</v>
          </cell>
        </row>
        <row r="2261">
          <cell r="U2261">
            <v>5000</v>
          </cell>
        </row>
        <row r="2262">
          <cell r="U2262">
            <v>345</v>
          </cell>
        </row>
        <row r="2263">
          <cell r="U2263">
            <v>8500</v>
          </cell>
        </row>
        <row r="2264">
          <cell r="U2264">
            <v>2439.5</v>
          </cell>
        </row>
        <row r="2265">
          <cell r="U2265">
            <v>200</v>
          </cell>
        </row>
        <row r="2266">
          <cell r="U2266">
            <v>668.99</v>
          </cell>
        </row>
        <row r="2267">
          <cell r="U2267">
            <v>2841.23</v>
          </cell>
        </row>
        <row r="2268">
          <cell r="U2268">
            <v>312.85000000000002</v>
          </cell>
        </row>
        <row r="2269">
          <cell r="U2269">
            <v>1222</v>
          </cell>
        </row>
        <row r="2270">
          <cell r="U2270">
            <v>131.19999999999999</v>
          </cell>
        </row>
        <row r="2271">
          <cell r="U2271">
            <v>973.72</v>
          </cell>
        </row>
        <row r="2272">
          <cell r="U2272">
            <v>702.5</v>
          </cell>
        </row>
        <row r="2273">
          <cell r="U2273">
            <v>520</v>
          </cell>
        </row>
        <row r="2274">
          <cell r="U2274">
            <v>350</v>
          </cell>
        </row>
        <row r="2275">
          <cell r="U2275">
            <v>143</v>
          </cell>
        </row>
        <row r="2276">
          <cell r="U2276">
            <v>700</v>
          </cell>
        </row>
        <row r="2277">
          <cell r="U2277">
            <v>125</v>
          </cell>
        </row>
        <row r="2278">
          <cell r="U2278">
            <v>90</v>
          </cell>
        </row>
        <row r="2279">
          <cell r="U2279">
            <v>855</v>
          </cell>
        </row>
        <row r="2280">
          <cell r="U2280">
            <v>1584.38</v>
          </cell>
        </row>
        <row r="2281">
          <cell r="U2281">
            <v>1500</v>
          </cell>
        </row>
        <row r="2282">
          <cell r="U2282">
            <v>35</v>
          </cell>
        </row>
        <row r="2283">
          <cell r="U2283">
            <v>250</v>
          </cell>
        </row>
        <row r="2284">
          <cell r="U2284">
            <v>15000</v>
          </cell>
        </row>
        <row r="2285">
          <cell r="U2285">
            <v>460</v>
          </cell>
        </row>
        <row r="2286">
          <cell r="U2286">
            <v>1737.34</v>
          </cell>
        </row>
        <row r="2287">
          <cell r="U2287">
            <v>1169.5899999999999</v>
          </cell>
        </row>
        <row r="2288">
          <cell r="U2288">
            <v>750</v>
          </cell>
        </row>
        <row r="2289">
          <cell r="U2289">
            <v>724.75</v>
          </cell>
        </row>
        <row r="2290">
          <cell r="U2290">
            <v>153</v>
          </cell>
        </row>
        <row r="2291">
          <cell r="U2291">
            <v>159</v>
          </cell>
        </row>
        <row r="2292">
          <cell r="U2292">
            <v>175</v>
          </cell>
        </row>
        <row r="2293">
          <cell r="U2293">
            <v>100</v>
          </cell>
        </row>
        <row r="2294">
          <cell r="U2294">
            <v>244.36</v>
          </cell>
        </row>
        <row r="2295">
          <cell r="U2295">
            <v>27301.32</v>
          </cell>
        </row>
        <row r="2296">
          <cell r="U2296">
            <v>3200</v>
          </cell>
        </row>
        <row r="2297">
          <cell r="U2297">
            <v>50</v>
          </cell>
        </row>
        <row r="2298">
          <cell r="U2298">
            <v>858.46</v>
          </cell>
        </row>
        <row r="2299">
          <cell r="U2299">
            <v>125</v>
          </cell>
        </row>
        <row r="2300">
          <cell r="U2300">
            <v>1000</v>
          </cell>
        </row>
        <row r="2301">
          <cell r="U2301">
            <v>180</v>
          </cell>
        </row>
        <row r="2302">
          <cell r="U2302">
            <v>84</v>
          </cell>
        </row>
        <row r="2303">
          <cell r="U2303">
            <v>125</v>
          </cell>
        </row>
        <row r="2304">
          <cell r="U2304">
            <v>1391.31</v>
          </cell>
        </row>
        <row r="2305">
          <cell r="U2305">
            <v>36.35</v>
          </cell>
        </row>
        <row r="2306">
          <cell r="U2306">
            <v>38583.26</v>
          </cell>
        </row>
        <row r="2307">
          <cell r="U2307">
            <v>3342.99</v>
          </cell>
        </row>
        <row r="2308">
          <cell r="U2308">
            <v>428.99</v>
          </cell>
        </row>
        <row r="2309">
          <cell r="U2309">
            <v>2031.32</v>
          </cell>
        </row>
        <row r="2310">
          <cell r="U2310">
            <v>331.05</v>
          </cell>
        </row>
        <row r="2311">
          <cell r="U2311">
            <v>4155.96</v>
          </cell>
        </row>
        <row r="2312">
          <cell r="U2312">
            <v>1144.48</v>
          </cell>
        </row>
        <row r="2313">
          <cell r="U2313">
            <v>741.37</v>
          </cell>
        </row>
        <row r="2314">
          <cell r="U2314">
            <v>314.77999999999997</v>
          </cell>
        </row>
        <row r="2315">
          <cell r="U2315">
            <v>437.5</v>
          </cell>
        </row>
        <row r="2316">
          <cell r="U2316">
            <v>1539.76</v>
          </cell>
        </row>
        <row r="2317">
          <cell r="U2317">
            <v>1290</v>
          </cell>
        </row>
        <row r="2318">
          <cell r="U2318">
            <v>500</v>
          </cell>
        </row>
        <row r="2319">
          <cell r="U2319">
            <v>914</v>
          </cell>
        </row>
        <row r="2320">
          <cell r="U2320">
            <v>120</v>
          </cell>
        </row>
        <row r="2321">
          <cell r="U2321">
            <v>349.87</v>
          </cell>
        </row>
        <row r="2322">
          <cell r="U2322">
            <v>405</v>
          </cell>
        </row>
        <row r="2323">
          <cell r="U2323">
            <v>634</v>
          </cell>
        </row>
        <row r="2324">
          <cell r="U2324">
            <v>165</v>
          </cell>
        </row>
        <row r="2325">
          <cell r="U2325">
            <v>3705.71</v>
          </cell>
        </row>
        <row r="2326">
          <cell r="U2326">
            <v>1200</v>
          </cell>
        </row>
        <row r="2327">
          <cell r="U2327">
            <v>7000</v>
          </cell>
        </row>
        <row r="2328">
          <cell r="U2328">
            <v>7500</v>
          </cell>
        </row>
        <row r="2329">
          <cell r="U2329">
            <v>65</v>
          </cell>
        </row>
        <row r="2330">
          <cell r="U2330">
            <v>202</v>
          </cell>
        </row>
        <row r="2331">
          <cell r="U2331">
            <v>275</v>
          </cell>
        </row>
        <row r="2332">
          <cell r="U2332">
            <v>65</v>
          </cell>
        </row>
        <row r="2333">
          <cell r="U2333">
            <v>100</v>
          </cell>
        </row>
        <row r="2334">
          <cell r="U2334">
            <v>307</v>
          </cell>
        </row>
        <row r="2335">
          <cell r="U2335">
            <v>133</v>
          </cell>
        </row>
        <row r="2336">
          <cell r="U2336">
            <v>300</v>
          </cell>
        </row>
        <row r="2337">
          <cell r="U2337">
            <v>2744.86</v>
          </cell>
        </row>
        <row r="2338">
          <cell r="U2338">
            <v>1386.3</v>
          </cell>
        </row>
        <row r="2339">
          <cell r="U2339">
            <v>1689.88</v>
          </cell>
        </row>
        <row r="2340">
          <cell r="U2340">
            <v>100</v>
          </cell>
        </row>
        <row r="2341">
          <cell r="U2341">
            <v>342.64</v>
          </cell>
        </row>
        <row r="2342">
          <cell r="U2342">
            <v>567</v>
          </cell>
        </row>
        <row r="2343">
          <cell r="U2343">
            <v>1993.55</v>
          </cell>
        </row>
        <row r="2344">
          <cell r="U2344">
            <v>100</v>
          </cell>
        </row>
        <row r="2345">
          <cell r="U2345">
            <v>9585.2000000000007</v>
          </cell>
        </row>
        <row r="2346">
          <cell r="U2346">
            <v>3000</v>
          </cell>
        </row>
        <row r="2347">
          <cell r="U2347">
            <v>100</v>
          </cell>
        </row>
        <row r="2348">
          <cell r="U2348">
            <v>745</v>
          </cell>
        </row>
        <row r="2349">
          <cell r="U2349">
            <v>810.73</v>
          </cell>
        </row>
        <row r="2350">
          <cell r="U2350">
            <v>56.14</v>
          </cell>
        </row>
        <row r="2351">
          <cell r="U2351">
            <v>1020</v>
          </cell>
        </row>
        <row r="2352">
          <cell r="U2352">
            <v>105.14</v>
          </cell>
        </row>
        <row r="2353">
          <cell r="U2353">
            <v>337</v>
          </cell>
        </row>
        <row r="2354">
          <cell r="U2354">
            <v>450</v>
          </cell>
        </row>
        <row r="2355">
          <cell r="U2355">
            <v>2320</v>
          </cell>
        </row>
        <row r="2356">
          <cell r="U2356">
            <v>114.39</v>
          </cell>
        </row>
        <row r="2357">
          <cell r="U2357">
            <v>393.95</v>
          </cell>
        </row>
        <row r="2358">
          <cell r="U2358">
            <v>350</v>
          </cell>
        </row>
        <row r="2359">
          <cell r="U2359">
            <v>6500</v>
          </cell>
        </row>
        <row r="2360">
          <cell r="U2360">
            <v>120</v>
          </cell>
        </row>
        <row r="2361">
          <cell r="U2361">
            <v>399.77</v>
          </cell>
        </row>
        <row r="2362">
          <cell r="U2362">
            <v>75</v>
          </cell>
        </row>
        <row r="2363">
          <cell r="U2363">
            <v>100</v>
          </cell>
        </row>
        <row r="2364">
          <cell r="U2364">
            <v>799.64</v>
          </cell>
        </row>
        <row r="2365">
          <cell r="U2365">
            <v>766.35</v>
          </cell>
        </row>
        <row r="2366">
          <cell r="U2366">
            <v>200</v>
          </cell>
        </row>
        <row r="2367">
          <cell r="U2367">
            <v>3500</v>
          </cell>
        </row>
        <row r="2368">
          <cell r="U2368">
            <v>45</v>
          </cell>
        </row>
        <row r="2369">
          <cell r="U2369">
            <v>35000</v>
          </cell>
        </row>
        <row r="2370">
          <cell r="U2370">
            <v>400.84</v>
          </cell>
        </row>
        <row r="2371">
          <cell r="U2371">
            <v>1121.71</v>
          </cell>
        </row>
        <row r="2372">
          <cell r="U2372">
            <v>406.72</v>
          </cell>
        </row>
        <row r="2373">
          <cell r="U2373">
            <v>400</v>
          </cell>
        </row>
        <row r="2374">
          <cell r="U2374">
            <v>-400</v>
          </cell>
        </row>
        <row r="2375">
          <cell r="U2375">
            <v>1187.5</v>
          </cell>
        </row>
        <row r="2376">
          <cell r="U2376">
            <v>450</v>
          </cell>
        </row>
        <row r="2377">
          <cell r="U2377">
            <v>1081.26</v>
          </cell>
        </row>
        <row r="2378">
          <cell r="U2378">
            <v>1088</v>
          </cell>
        </row>
        <row r="2379">
          <cell r="U2379">
            <v>330</v>
          </cell>
        </row>
        <row r="2380">
          <cell r="U2380">
            <v>765</v>
          </cell>
        </row>
        <row r="2381">
          <cell r="U2381">
            <v>325</v>
          </cell>
        </row>
        <row r="2382">
          <cell r="U2382">
            <v>-2500</v>
          </cell>
        </row>
        <row r="2383">
          <cell r="U2383">
            <v>150</v>
          </cell>
        </row>
        <row r="2384">
          <cell r="U2384">
            <v>945.5</v>
          </cell>
        </row>
        <row r="2385">
          <cell r="U2385">
            <v>985.44</v>
          </cell>
        </row>
        <row r="2386">
          <cell r="U2386">
            <v>1177.26</v>
          </cell>
        </row>
        <row r="2387">
          <cell r="U2387">
            <v>2500</v>
          </cell>
        </row>
        <row r="2388">
          <cell r="U2388">
            <v>2323.12</v>
          </cell>
        </row>
        <row r="2389">
          <cell r="U2389">
            <v>8326.61</v>
          </cell>
        </row>
        <row r="2390">
          <cell r="U2390">
            <v>575</v>
          </cell>
        </row>
        <row r="2391">
          <cell r="U2391">
            <v>77500</v>
          </cell>
        </row>
        <row r="2392">
          <cell r="U2392">
            <v>250</v>
          </cell>
        </row>
        <row r="2393">
          <cell r="U2393">
            <v>450</v>
          </cell>
        </row>
        <row r="2394">
          <cell r="U2394">
            <v>4701.93</v>
          </cell>
        </row>
        <row r="2395">
          <cell r="U2395">
            <v>6536.77</v>
          </cell>
        </row>
        <row r="2396">
          <cell r="U2396">
            <v>670</v>
          </cell>
        </row>
        <row r="2397">
          <cell r="U2397">
            <v>202.07</v>
          </cell>
        </row>
        <row r="2398">
          <cell r="U2398">
            <v>1466.36</v>
          </cell>
        </row>
        <row r="2399">
          <cell r="U2399">
            <v>346.18</v>
          </cell>
        </row>
        <row r="2400">
          <cell r="U2400">
            <v>932.93</v>
          </cell>
        </row>
        <row r="2401">
          <cell r="U2401">
            <v>777.36</v>
          </cell>
        </row>
        <row r="2402">
          <cell r="U2402">
            <v>100</v>
          </cell>
        </row>
        <row r="2403">
          <cell r="U2403">
            <v>940</v>
          </cell>
        </row>
        <row r="2404">
          <cell r="U2404">
            <v>110</v>
          </cell>
        </row>
        <row r="2405">
          <cell r="U2405">
            <v>99</v>
          </cell>
        </row>
        <row r="2406">
          <cell r="U2406">
            <v>-641229.57999999996</v>
          </cell>
        </row>
        <row r="2407">
          <cell r="U2407">
            <v>31000</v>
          </cell>
        </row>
        <row r="2408">
          <cell r="U2408">
            <v>19000</v>
          </cell>
        </row>
        <row r="2409">
          <cell r="U2409">
            <v>1404.26</v>
          </cell>
        </row>
        <row r="2410">
          <cell r="U2410">
            <v>710</v>
          </cell>
        </row>
        <row r="2411">
          <cell r="U2411">
            <v>856.41</v>
          </cell>
        </row>
        <row r="2412">
          <cell r="U2412">
            <v>100</v>
          </cell>
        </row>
        <row r="2413">
          <cell r="U2413">
            <v>604</v>
          </cell>
        </row>
        <row r="2414">
          <cell r="U2414">
            <v>600</v>
          </cell>
        </row>
        <row r="2415">
          <cell r="U2415">
            <v>677.78</v>
          </cell>
        </row>
        <row r="2416">
          <cell r="U2416">
            <v>1171.3699999999999</v>
          </cell>
        </row>
        <row r="2417">
          <cell r="U2417">
            <v>600</v>
          </cell>
        </row>
        <row r="2418">
          <cell r="U2418">
            <v>396</v>
          </cell>
        </row>
        <row r="2419">
          <cell r="U2419">
            <v>350</v>
          </cell>
        </row>
        <row r="2420">
          <cell r="U2420">
            <v>2403</v>
          </cell>
        </row>
        <row r="2421">
          <cell r="U2421">
            <v>295</v>
          </cell>
        </row>
        <row r="2422">
          <cell r="U2422">
            <v>1504.89</v>
          </cell>
        </row>
        <row r="2423">
          <cell r="U2423">
            <v>175</v>
          </cell>
        </row>
        <row r="2424">
          <cell r="U2424">
            <v>200</v>
          </cell>
        </row>
        <row r="2425">
          <cell r="U2425">
            <v>5456.37</v>
          </cell>
        </row>
        <row r="2426">
          <cell r="U2426">
            <v>450</v>
          </cell>
        </row>
        <row r="2427">
          <cell r="U2427">
            <v>70</v>
          </cell>
        </row>
        <row r="2428">
          <cell r="U2428">
            <v>-24800</v>
          </cell>
        </row>
        <row r="2429">
          <cell r="U2429">
            <v>-52700</v>
          </cell>
        </row>
        <row r="2430">
          <cell r="U2430">
            <v>-52500</v>
          </cell>
        </row>
        <row r="2431">
          <cell r="U2431">
            <v>-30301.32</v>
          </cell>
        </row>
        <row r="2432">
          <cell r="U2432">
            <v>-114531.7</v>
          </cell>
        </row>
        <row r="2433">
          <cell r="U2433">
            <v>-17061.03</v>
          </cell>
        </row>
        <row r="2434">
          <cell r="U2434">
            <v>633399.81999999995</v>
          </cell>
        </row>
        <row r="2435">
          <cell r="U2435">
            <v>-108446.94</v>
          </cell>
        </row>
        <row r="2436">
          <cell r="U2436">
            <v>-1200</v>
          </cell>
        </row>
        <row r="2437">
          <cell r="U2437">
            <v>-3644.83</v>
          </cell>
        </row>
        <row r="2438">
          <cell r="U2438">
            <v>-7000</v>
          </cell>
        </row>
        <row r="2439">
          <cell r="U2439">
            <v>4866.2</v>
          </cell>
        </row>
        <row r="2440">
          <cell r="U2440">
            <v>150</v>
          </cell>
        </row>
        <row r="2441">
          <cell r="U2441">
            <v>69</v>
          </cell>
        </row>
        <row r="2442">
          <cell r="U2442">
            <v>464</v>
          </cell>
        </row>
        <row r="2443">
          <cell r="U2443">
            <v>511.23</v>
          </cell>
        </row>
        <row r="2444">
          <cell r="U2444">
            <v>1671</v>
          </cell>
        </row>
        <row r="2445">
          <cell r="U2445">
            <v>1253</v>
          </cell>
        </row>
        <row r="2446">
          <cell r="U2446">
            <v>250</v>
          </cell>
        </row>
        <row r="2447">
          <cell r="U2447">
            <v>200</v>
          </cell>
        </row>
        <row r="2448">
          <cell r="U2448">
            <v>17350</v>
          </cell>
        </row>
        <row r="2449">
          <cell r="U2449">
            <v>650</v>
          </cell>
        </row>
        <row r="2450">
          <cell r="U2450">
            <v>2360</v>
          </cell>
        </row>
        <row r="2451">
          <cell r="U2451">
            <v>1000</v>
          </cell>
        </row>
        <row r="2452">
          <cell r="U2452">
            <v>350</v>
          </cell>
        </row>
        <row r="2453">
          <cell r="U2453">
            <v>471.3</v>
          </cell>
        </row>
        <row r="2454">
          <cell r="U2454">
            <v>939.48</v>
          </cell>
        </row>
        <row r="2455">
          <cell r="U2455">
            <v>200</v>
          </cell>
        </row>
        <row r="2456">
          <cell r="U2456">
            <v>375</v>
          </cell>
        </row>
        <row r="2457">
          <cell r="U2457">
            <v>204</v>
          </cell>
        </row>
        <row r="2458">
          <cell r="U2458">
            <v>1166.95</v>
          </cell>
        </row>
        <row r="2459">
          <cell r="U2459">
            <v>34528.699999999997</v>
          </cell>
        </row>
        <row r="2460">
          <cell r="U2460">
            <v>3000</v>
          </cell>
        </row>
        <row r="2461">
          <cell r="U2461">
            <v>7000</v>
          </cell>
        </row>
        <row r="2462">
          <cell r="U2462">
            <v>3644.83</v>
          </cell>
        </row>
        <row r="2463">
          <cell r="U2463">
            <v>1200</v>
          </cell>
        </row>
        <row r="2464">
          <cell r="U2464">
            <v>108446.94</v>
          </cell>
        </row>
        <row r="2465">
          <cell r="U2465">
            <v>-633399.81999999995</v>
          </cell>
        </row>
        <row r="2466">
          <cell r="U2466">
            <v>17061.03</v>
          </cell>
        </row>
        <row r="2467">
          <cell r="U2467">
            <v>114531.7</v>
          </cell>
        </row>
        <row r="2468">
          <cell r="U2468">
            <v>30301.32</v>
          </cell>
        </row>
        <row r="2469">
          <cell r="U2469">
            <v>52500</v>
          </cell>
        </row>
        <row r="2470">
          <cell r="U2470">
            <v>24800</v>
          </cell>
        </row>
        <row r="2471">
          <cell r="U2471">
            <v>52700</v>
          </cell>
        </row>
        <row r="2472">
          <cell r="U2472">
            <v>-24800</v>
          </cell>
        </row>
        <row r="2473">
          <cell r="U2473">
            <v>-52700</v>
          </cell>
        </row>
        <row r="2474">
          <cell r="U2474">
            <v>-7000</v>
          </cell>
        </row>
        <row r="2475">
          <cell r="U2475">
            <v>-3644.83</v>
          </cell>
        </row>
        <row r="2476">
          <cell r="U2476">
            <v>-1200</v>
          </cell>
        </row>
        <row r="2477">
          <cell r="U2477">
            <v>-108446.94</v>
          </cell>
        </row>
        <row r="2478">
          <cell r="U2478">
            <v>633399.81999999995</v>
          </cell>
        </row>
        <row r="2479">
          <cell r="U2479">
            <v>-17061.03</v>
          </cell>
        </row>
        <row r="2480">
          <cell r="U2480">
            <v>-114531.7</v>
          </cell>
        </row>
        <row r="2481">
          <cell r="U2481">
            <v>-30301.32</v>
          </cell>
        </row>
        <row r="2482">
          <cell r="U2482">
            <v>-52500</v>
          </cell>
        </row>
        <row r="2483">
          <cell r="U2483">
            <v>1350</v>
          </cell>
        </row>
        <row r="2484">
          <cell r="U2484">
            <v>4018.95</v>
          </cell>
        </row>
        <row r="2485">
          <cell r="U2485">
            <v>4708.62</v>
          </cell>
        </row>
        <row r="2486">
          <cell r="U2486">
            <v>164</v>
          </cell>
        </row>
        <row r="2487">
          <cell r="U2487">
            <v>95394.45</v>
          </cell>
        </row>
        <row r="2488">
          <cell r="U2488">
            <v>1815.82</v>
          </cell>
        </row>
        <row r="2489">
          <cell r="U2489">
            <v>1513.3</v>
          </cell>
        </row>
        <row r="2490">
          <cell r="U2490">
            <v>231.53</v>
          </cell>
        </row>
        <row r="2491">
          <cell r="U2491">
            <v>153</v>
          </cell>
        </row>
        <row r="2492">
          <cell r="U2492">
            <v>797</v>
          </cell>
        </row>
        <row r="2493">
          <cell r="U2493">
            <v>183.97</v>
          </cell>
        </row>
        <row r="2494">
          <cell r="U2494">
            <v>1959.36</v>
          </cell>
        </row>
        <row r="2495">
          <cell r="U2495">
            <v>196</v>
          </cell>
        </row>
        <row r="2496">
          <cell r="U2496">
            <v>350</v>
          </cell>
        </row>
        <row r="2497">
          <cell r="U2497">
            <v>32.72</v>
          </cell>
        </row>
        <row r="2498">
          <cell r="U2498">
            <v>1001</v>
          </cell>
        </row>
        <row r="2499">
          <cell r="U2499">
            <v>515</v>
          </cell>
        </row>
        <row r="2500">
          <cell r="U2500">
            <v>2648.32</v>
          </cell>
        </row>
        <row r="2501">
          <cell r="U2501">
            <v>587</v>
          </cell>
        </row>
        <row r="2502">
          <cell r="U2502">
            <v>2730</v>
          </cell>
        </row>
        <row r="2503">
          <cell r="U2503">
            <v>250.84</v>
          </cell>
        </row>
        <row r="2504">
          <cell r="U2504">
            <v>142.28</v>
          </cell>
        </row>
        <row r="2505">
          <cell r="U2505">
            <v>1228.6199999999999</v>
          </cell>
        </row>
        <row r="2506">
          <cell r="U2506">
            <v>1706.64</v>
          </cell>
        </row>
        <row r="2507">
          <cell r="U2507">
            <v>562</v>
          </cell>
        </row>
        <row r="2508">
          <cell r="U2508">
            <v>9561.89</v>
          </cell>
        </row>
        <row r="2509">
          <cell r="U2509">
            <v>150</v>
          </cell>
        </row>
        <row r="2510">
          <cell r="U2510">
            <v>600</v>
          </cell>
        </row>
        <row r="2511">
          <cell r="U2511">
            <v>560</v>
          </cell>
        </row>
        <row r="2512">
          <cell r="U2512">
            <v>870</v>
          </cell>
        </row>
        <row r="2513">
          <cell r="U2513">
            <v>640</v>
          </cell>
        </row>
        <row r="2514">
          <cell r="U2514">
            <v>420</v>
          </cell>
        </row>
        <row r="2515">
          <cell r="U2515">
            <v>7700</v>
          </cell>
        </row>
        <row r="2516">
          <cell r="U2516">
            <v>307</v>
          </cell>
        </row>
        <row r="2517">
          <cell r="U2517">
            <v>2891.95</v>
          </cell>
        </row>
        <row r="2518">
          <cell r="U2518">
            <v>1675</v>
          </cell>
        </row>
        <row r="2519">
          <cell r="U2519">
            <v>960</v>
          </cell>
        </row>
        <row r="2520">
          <cell r="U2520">
            <v>516</v>
          </cell>
        </row>
        <row r="2521">
          <cell r="U2521">
            <v>2384.08</v>
          </cell>
        </row>
        <row r="2522">
          <cell r="U2522">
            <v>200</v>
          </cell>
        </row>
        <row r="2523">
          <cell r="U2523">
            <v>60</v>
          </cell>
        </row>
        <row r="2524">
          <cell r="U2524">
            <v>251.01</v>
          </cell>
        </row>
        <row r="2525">
          <cell r="U2525">
            <v>7500</v>
          </cell>
        </row>
        <row r="2526">
          <cell r="U2526">
            <v>462.03</v>
          </cell>
        </row>
        <row r="2527">
          <cell r="U2527">
            <v>500</v>
          </cell>
        </row>
        <row r="2528">
          <cell r="U2528">
            <v>5335.71</v>
          </cell>
        </row>
        <row r="2529">
          <cell r="U2529">
            <v>1400</v>
          </cell>
        </row>
        <row r="2530">
          <cell r="U2530">
            <v>150</v>
          </cell>
        </row>
        <row r="2531">
          <cell r="U2531">
            <v>1000</v>
          </cell>
        </row>
        <row r="2532">
          <cell r="U2532">
            <v>500</v>
          </cell>
        </row>
        <row r="2533">
          <cell r="U2533">
            <v>200</v>
          </cell>
        </row>
        <row r="2534">
          <cell r="U2534">
            <v>2563.98</v>
          </cell>
        </row>
        <row r="2535">
          <cell r="U2535">
            <v>866</v>
          </cell>
        </row>
        <row r="2536">
          <cell r="U2536">
            <v>200</v>
          </cell>
        </row>
        <row r="2537">
          <cell r="U2537">
            <v>27.47</v>
          </cell>
        </row>
        <row r="2538">
          <cell r="U2538">
            <v>2884.26</v>
          </cell>
        </row>
        <row r="2539">
          <cell r="U2539">
            <v>11500</v>
          </cell>
        </row>
        <row r="2540">
          <cell r="U2540">
            <v>4260.55</v>
          </cell>
        </row>
        <row r="2541">
          <cell r="U2541">
            <v>1883.17</v>
          </cell>
        </row>
        <row r="2542">
          <cell r="U2542">
            <v>111.07</v>
          </cell>
        </row>
        <row r="2543">
          <cell r="U2543">
            <v>255</v>
          </cell>
        </row>
        <row r="2544">
          <cell r="U2544">
            <v>3850</v>
          </cell>
        </row>
        <row r="2545">
          <cell r="U2545">
            <v>177.23</v>
          </cell>
        </row>
        <row r="2546">
          <cell r="U2546">
            <v>200</v>
          </cell>
        </row>
        <row r="2547">
          <cell r="U2547">
            <v>890</v>
          </cell>
        </row>
        <row r="2548">
          <cell r="U2548">
            <v>16752.63</v>
          </cell>
        </row>
        <row r="2549">
          <cell r="U2549">
            <v>300</v>
          </cell>
        </row>
        <row r="2550">
          <cell r="U2550">
            <v>6214.22</v>
          </cell>
        </row>
        <row r="2551">
          <cell r="U2551">
            <v>1290</v>
          </cell>
        </row>
        <row r="2552">
          <cell r="U2552">
            <v>997</v>
          </cell>
        </row>
        <row r="2553">
          <cell r="U2553">
            <v>53400.82</v>
          </cell>
        </row>
        <row r="2554">
          <cell r="U2554">
            <v>1653.33</v>
          </cell>
        </row>
        <row r="2555">
          <cell r="U2555">
            <v>173</v>
          </cell>
        </row>
        <row r="2556">
          <cell r="U2556">
            <v>595</v>
          </cell>
        </row>
        <row r="2557">
          <cell r="U2557">
            <v>4060.7</v>
          </cell>
        </row>
        <row r="2558">
          <cell r="U2558">
            <v>1834.74</v>
          </cell>
        </row>
        <row r="2559">
          <cell r="U2559">
            <v>1432</v>
          </cell>
        </row>
        <row r="2560">
          <cell r="U2560">
            <v>3860</v>
          </cell>
        </row>
        <row r="2561">
          <cell r="U2561">
            <v>246.94</v>
          </cell>
        </row>
        <row r="2562">
          <cell r="U2562">
            <v>702.63</v>
          </cell>
        </row>
        <row r="2563">
          <cell r="U2563">
            <v>344.94</v>
          </cell>
        </row>
        <row r="2564">
          <cell r="U2564">
            <v>173</v>
          </cell>
        </row>
        <row r="2565">
          <cell r="U2565">
            <v>415.73</v>
          </cell>
        </row>
        <row r="2566">
          <cell r="U2566">
            <v>150</v>
          </cell>
        </row>
        <row r="2567">
          <cell r="U2567">
            <v>20</v>
          </cell>
        </row>
        <row r="2568">
          <cell r="U2568">
            <v>461.22</v>
          </cell>
        </row>
        <row r="2569">
          <cell r="U2569">
            <v>3993.49</v>
          </cell>
        </row>
        <row r="2570">
          <cell r="U2570">
            <v>204.91</v>
          </cell>
        </row>
        <row r="2571">
          <cell r="U2571">
            <v>72.48</v>
          </cell>
        </row>
        <row r="2572">
          <cell r="U2572">
            <v>-346</v>
          </cell>
        </row>
        <row r="2573">
          <cell r="U2573">
            <v>-1000</v>
          </cell>
        </row>
        <row r="2574">
          <cell r="U2574">
            <v>2080.91</v>
          </cell>
        </row>
        <row r="2575">
          <cell r="U2575">
            <v>100</v>
          </cell>
        </row>
        <row r="2576">
          <cell r="U2576">
            <v>50</v>
          </cell>
        </row>
        <row r="2577">
          <cell r="U2577">
            <v>268.5</v>
          </cell>
        </row>
        <row r="2578">
          <cell r="U2578">
            <v>40</v>
          </cell>
        </row>
        <row r="2579">
          <cell r="U2579">
            <v>500</v>
          </cell>
        </row>
        <row r="2580">
          <cell r="U2580">
            <v>150</v>
          </cell>
        </row>
        <row r="2581">
          <cell r="U2581">
            <v>5188</v>
          </cell>
        </row>
        <row r="2582">
          <cell r="U2582">
            <v>278.10000000000002</v>
          </cell>
        </row>
        <row r="2583">
          <cell r="U2583">
            <v>555</v>
          </cell>
        </row>
        <row r="2584">
          <cell r="U2584">
            <v>13939.99</v>
          </cell>
        </row>
        <row r="2585">
          <cell r="U2585">
            <v>633.09</v>
          </cell>
        </row>
        <row r="2586">
          <cell r="U2586">
            <v>200</v>
          </cell>
        </row>
        <row r="2587">
          <cell r="U2587">
            <v>1224.06</v>
          </cell>
        </row>
        <row r="2588">
          <cell r="U2588">
            <v>341.05</v>
          </cell>
        </row>
        <row r="2589">
          <cell r="U2589">
            <v>2200</v>
          </cell>
        </row>
        <row r="2590">
          <cell r="U2590">
            <v>966</v>
          </cell>
        </row>
        <row r="2591">
          <cell r="U2591">
            <v>1616.44</v>
          </cell>
        </row>
        <row r="2592">
          <cell r="U2592">
            <v>95</v>
          </cell>
        </row>
        <row r="2593">
          <cell r="U2593">
            <v>730</v>
          </cell>
        </row>
        <row r="2594">
          <cell r="U2594">
            <v>1623.77</v>
          </cell>
        </row>
        <row r="2595">
          <cell r="U2595">
            <v>1131.73</v>
          </cell>
        </row>
        <row r="2596">
          <cell r="U2596">
            <v>3771.73</v>
          </cell>
        </row>
        <row r="2597">
          <cell r="U2597">
            <v>45</v>
          </cell>
        </row>
        <row r="2598">
          <cell r="U2598">
            <v>50</v>
          </cell>
        </row>
        <row r="2599">
          <cell r="U2599">
            <v>150</v>
          </cell>
        </row>
        <row r="2600">
          <cell r="U2600">
            <v>1413.38</v>
          </cell>
        </row>
        <row r="2601">
          <cell r="U2601">
            <v>795</v>
          </cell>
        </row>
        <row r="2602">
          <cell r="U2602">
            <v>2000</v>
          </cell>
        </row>
        <row r="2603">
          <cell r="U2603">
            <v>680</v>
          </cell>
        </row>
        <row r="2604">
          <cell r="U2604">
            <v>218</v>
          </cell>
        </row>
        <row r="2605">
          <cell r="U2605">
            <v>249</v>
          </cell>
        </row>
        <row r="2606">
          <cell r="U2606">
            <v>30</v>
          </cell>
        </row>
        <row r="2607">
          <cell r="U2607">
            <v>134</v>
          </cell>
        </row>
        <row r="2608">
          <cell r="U2608">
            <v>1061</v>
          </cell>
        </row>
        <row r="2609">
          <cell r="U2609">
            <v>270</v>
          </cell>
        </row>
        <row r="2610">
          <cell r="U2610">
            <v>-36623.769999999997</v>
          </cell>
        </row>
        <row r="2611">
          <cell r="U2611">
            <v>-16752.63</v>
          </cell>
        </row>
        <row r="2612">
          <cell r="U2612">
            <v>-249</v>
          </cell>
        </row>
        <row r="2613">
          <cell r="U2613">
            <v>-207372.09</v>
          </cell>
        </row>
        <row r="2614">
          <cell r="U2614">
            <v>-4342.3500000000004</v>
          </cell>
        </row>
        <row r="2615">
          <cell r="U2615">
            <v>-158393.07</v>
          </cell>
        </row>
        <row r="2616">
          <cell r="U2616">
            <v>-5335.71</v>
          </cell>
        </row>
        <row r="2617">
          <cell r="U2617">
            <v>-346</v>
          </cell>
        </row>
        <row r="2618">
          <cell r="U2618">
            <v>-450</v>
          </cell>
        </row>
      </sheetData>
      <sheetData sheetId="1" refreshError="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68"/>
  <sheetViews>
    <sheetView showGridLines="0" tabSelected="1" zoomScaleNormal="100" workbookViewId="0"/>
  </sheetViews>
  <sheetFormatPr defaultColWidth="9.1796875" defaultRowHeight="13" x14ac:dyDescent="0.25"/>
  <cols>
    <col min="1" max="1" width="5.26953125" style="10" customWidth="1"/>
    <col min="2" max="2" width="111.26953125" style="11" customWidth="1"/>
    <col min="3" max="3" width="5.453125" style="10" customWidth="1"/>
    <col min="4" max="4" width="22.90625" style="12" customWidth="1"/>
    <col min="5" max="5" width="25.7265625" style="13" customWidth="1"/>
    <col min="6" max="6" width="14.90625" style="13" customWidth="1"/>
    <col min="7" max="7" width="10.453125" style="10" bestFit="1" customWidth="1"/>
    <col min="8" max="16384" width="9.1796875" style="10"/>
  </cols>
  <sheetData>
    <row r="1" spans="1:7" ht="18" customHeight="1" x14ac:dyDescent="0.25">
      <c r="A1" s="16"/>
      <c r="B1" s="25"/>
      <c r="C1" s="16"/>
      <c r="D1" s="17"/>
    </row>
    <row r="2" spans="1:7" ht="18" customHeight="1" x14ac:dyDescent="0.25">
      <c r="A2" s="306" t="s">
        <v>142</v>
      </c>
      <c r="B2" s="307"/>
      <c r="C2" s="16"/>
      <c r="D2" s="17"/>
    </row>
    <row r="3" spans="1:7" ht="52" customHeight="1" x14ac:dyDescent="0.25">
      <c r="A3" s="307" t="s">
        <v>29</v>
      </c>
      <c r="B3" s="307"/>
      <c r="C3" s="16"/>
      <c r="D3" s="17"/>
      <c r="E3" s="146" t="s">
        <v>352</v>
      </c>
      <c r="F3" s="146" t="s">
        <v>351</v>
      </c>
    </row>
    <row r="4" spans="1:7" ht="15.75" customHeight="1" x14ac:dyDescent="0.25">
      <c r="A4" s="26"/>
      <c r="B4" s="115"/>
      <c r="C4" s="16"/>
      <c r="D4" s="17"/>
      <c r="E4" s="147" t="s">
        <v>138</v>
      </c>
      <c r="F4" s="147" t="s">
        <v>140</v>
      </c>
    </row>
    <row r="5" spans="1:7" s="244" customFormat="1" ht="20.25" customHeight="1" x14ac:dyDescent="0.25">
      <c r="A5" s="308" t="s">
        <v>348</v>
      </c>
      <c r="B5" s="309"/>
      <c r="C5" s="241"/>
      <c r="D5" s="242"/>
      <c r="E5" s="243"/>
      <c r="F5" s="243"/>
    </row>
    <row r="6" spans="1:7" s="244" customFormat="1" ht="104" customHeight="1" x14ac:dyDescent="0.25">
      <c r="A6" s="245" t="s">
        <v>28</v>
      </c>
      <c r="B6" s="297" t="s">
        <v>450</v>
      </c>
      <c r="C6" s="241"/>
      <c r="D6" s="242" t="s">
        <v>139</v>
      </c>
      <c r="E6" s="247">
        <f>'WP-Total Adj with Int'!D72</f>
        <v>-5052.1868730783463</v>
      </c>
      <c r="F6" s="247">
        <f>'WP-Total Adj with Int'!G72</f>
        <v>-6124.378621450508</v>
      </c>
      <c r="G6" s="241"/>
    </row>
    <row r="7" spans="1:7" s="244" customFormat="1" ht="15.5" x14ac:dyDescent="0.25">
      <c r="A7" s="245"/>
      <c r="B7" s="246"/>
      <c r="C7" s="241"/>
      <c r="D7" s="242"/>
      <c r="E7" s="247"/>
      <c r="F7" s="247"/>
      <c r="G7" s="241"/>
    </row>
    <row r="8" spans="1:7" s="244" customFormat="1" ht="15.5" x14ac:dyDescent="0.25">
      <c r="A8" s="308" t="s">
        <v>350</v>
      </c>
      <c r="B8" s="309"/>
      <c r="C8" s="248"/>
      <c r="D8" s="249" t="s">
        <v>139</v>
      </c>
      <c r="E8" s="250">
        <f>SUM(E1:E7)</f>
        <v>-5052.1868730783463</v>
      </c>
      <c r="F8" s="250">
        <f>F6</f>
        <v>-6124.378621450508</v>
      </c>
      <c r="G8" s="241"/>
    </row>
    <row r="9" spans="1:7" s="244" customFormat="1" ht="15.5" x14ac:dyDescent="0.25">
      <c r="A9" s="251"/>
      <c r="B9" s="246"/>
      <c r="C9" s="248"/>
      <c r="D9" s="249"/>
      <c r="E9" s="250"/>
      <c r="F9" s="250"/>
      <c r="G9" s="241"/>
    </row>
    <row r="10" spans="1:7" s="244" customFormat="1" ht="20.25" customHeight="1" x14ac:dyDescent="0.25">
      <c r="A10" s="308" t="s">
        <v>349</v>
      </c>
      <c r="B10" s="308"/>
      <c r="C10" s="241"/>
      <c r="D10" s="242"/>
      <c r="E10" s="243"/>
      <c r="F10" s="243"/>
    </row>
    <row r="11" spans="1:7" s="244" customFormat="1" ht="102.5" customHeight="1" x14ac:dyDescent="0.25">
      <c r="A11" s="245" t="s">
        <v>155</v>
      </c>
      <c r="B11" s="297" t="s">
        <v>451</v>
      </c>
      <c r="C11" s="241"/>
      <c r="D11" s="242" t="s">
        <v>143</v>
      </c>
      <c r="E11" s="247">
        <f>'WP-Total Adj with Int'!H72</f>
        <v>-19693.196900606155</v>
      </c>
      <c r="F11" s="247">
        <f>'WP-Total Adj with Int'!K72</f>
        <v>-22892.937847012519</v>
      </c>
      <c r="G11" s="241"/>
    </row>
    <row r="12" spans="1:7" s="244" customFormat="1" ht="18.5" customHeight="1" x14ac:dyDescent="0.25">
      <c r="A12" s="245"/>
      <c r="B12" s="233"/>
      <c r="C12" s="241"/>
      <c r="D12" s="242"/>
      <c r="E12" s="247"/>
      <c r="F12" s="247"/>
      <c r="G12" s="241"/>
    </row>
    <row r="13" spans="1:7" s="244" customFormat="1" ht="15.5" x14ac:dyDescent="0.25">
      <c r="A13" s="308" t="s">
        <v>353</v>
      </c>
      <c r="B13" s="309"/>
      <c r="C13" s="248"/>
      <c r="D13" s="249" t="s">
        <v>143</v>
      </c>
      <c r="E13" s="250">
        <f>SUM(E11)</f>
        <v>-19693.196900606155</v>
      </c>
      <c r="F13" s="250">
        <f>F11</f>
        <v>-22892.937847012519</v>
      </c>
      <c r="G13" s="241"/>
    </row>
    <row r="14" spans="1:7" s="244" customFormat="1" ht="15.5" x14ac:dyDescent="0.25">
      <c r="A14" s="251"/>
      <c r="B14" s="246"/>
      <c r="C14" s="248"/>
      <c r="D14" s="249"/>
      <c r="E14" s="250"/>
      <c r="F14" s="250"/>
      <c r="G14" s="241"/>
    </row>
    <row r="15" spans="1:7" ht="20.25" customHeight="1" x14ac:dyDescent="0.25">
      <c r="A15" s="304" t="s">
        <v>157</v>
      </c>
      <c r="B15" s="305"/>
      <c r="C15" s="16"/>
      <c r="D15" s="17"/>
    </row>
    <row r="16" spans="1:7" ht="15.5" x14ac:dyDescent="0.25">
      <c r="A16" s="18"/>
      <c r="B16" s="202"/>
      <c r="C16" s="16"/>
      <c r="D16" s="17"/>
      <c r="E16" s="14"/>
      <c r="F16" s="14"/>
    </row>
    <row r="17" spans="1:9" ht="103.5" customHeight="1" x14ac:dyDescent="0.25">
      <c r="A17" s="18" t="s">
        <v>296</v>
      </c>
      <c r="B17" s="297" t="s">
        <v>500</v>
      </c>
      <c r="C17" s="16"/>
      <c r="D17" s="17" t="s">
        <v>307</v>
      </c>
      <c r="E17" s="14">
        <f>'WP-Total Adj with Int'!L72</f>
        <v>-26614.125776827332</v>
      </c>
      <c r="F17" s="14">
        <f>'WP-Total Adj with Int'!O72</f>
        <v>-29429.573194734021</v>
      </c>
      <c r="G17" s="16"/>
    </row>
    <row r="18" spans="1:9" ht="15.5" x14ac:dyDescent="0.25">
      <c r="A18" s="18"/>
      <c r="B18" s="202"/>
      <c r="C18" s="16"/>
      <c r="D18" s="17"/>
      <c r="E18" s="14"/>
      <c r="F18" s="14"/>
      <c r="G18" s="16"/>
    </row>
    <row r="19" spans="1:9" ht="15.5" x14ac:dyDescent="0.25">
      <c r="A19" s="304" t="s">
        <v>354</v>
      </c>
      <c r="B19" s="305"/>
      <c r="C19" s="19"/>
      <c r="D19" s="20" t="s">
        <v>307</v>
      </c>
      <c r="E19" s="21">
        <f>SUM(E16:E18)</f>
        <v>-26614.125776827332</v>
      </c>
      <c r="F19" s="21">
        <f>F17</f>
        <v>-29429.573194734021</v>
      </c>
      <c r="G19" s="16"/>
    </row>
    <row r="20" spans="1:9" ht="15.5" x14ac:dyDescent="0.25">
      <c r="A20" s="201"/>
      <c r="B20" s="202"/>
      <c r="C20" s="19"/>
      <c r="D20" s="20"/>
      <c r="E20" s="21"/>
      <c r="F20" s="21"/>
      <c r="G20" s="16"/>
    </row>
    <row r="21" spans="1:9" ht="15.75" customHeight="1" x14ac:dyDescent="0.25">
      <c r="A21" s="201"/>
      <c r="B21" s="202"/>
      <c r="C21" s="19"/>
      <c r="D21" s="27"/>
      <c r="E21" s="14"/>
      <c r="F21" s="14"/>
    </row>
    <row r="22" spans="1:9" ht="20.25" customHeight="1" x14ac:dyDescent="0.25">
      <c r="A22" s="304" t="s">
        <v>299</v>
      </c>
      <c r="B22" s="305"/>
      <c r="C22" s="16"/>
      <c r="D22" s="17"/>
    </row>
    <row r="23" spans="1:9" ht="97.5" customHeight="1" x14ac:dyDescent="0.25">
      <c r="A23" s="18" t="s">
        <v>297</v>
      </c>
      <c r="B23" s="297" t="s">
        <v>452</v>
      </c>
      <c r="C23" s="16"/>
      <c r="D23" s="17" t="s">
        <v>298</v>
      </c>
      <c r="E23" s="14">
        <f>'WP-2020 TO2022 Sch4-TUTRR'!M75</f>
        <v>-31452.708923339844</v>
      </c>
      <c r="F23" s="14">
        <f>E23/E27*F27</f>
        <v>-33097.130727746742</v>
      </c>
    </row>
    <row r="24" spans="1:9" ht="15.5" x14ac:dyDescent="0.25">
      <c r="A24" s="18"/>
      <c r="B24" s="202"/>
      <c r="C24" s="16"/>
      <c r="D24" s="17"/>
      <c r="E24" s="14"/>
      <c r="F24" s="14"/>
    </row>
    <row r="25" spans="1:9" ht="48.5" customHeight="1" x14ac:dyDescent="0.25">
      <c r="A25" s="18" t="s">
        <v>431</v>
      </c>
      <c r="B25" s="211" t="s">
        <v>501</v>
      </c>
      <c r="C25" s="16"/>
      <c r="D25" s="17" t="s">
        <v>156</v>
      </c>
      <c r="E25" s="14">
        <f>'WP-2020 TO2022 Sch4-TUTRR'!M76</f>
        <v>350.57262921333313</v>
      </c>
      <c r="F25" s="14">
        <f>(E25/E$27)*F$27</f>
        <v>368.90139310173925</v>
      </c>
    </row>
    <row r="26" spans="1:9" ht="15.5" customHeight="1" x14ac:dyDescent="0.25">
      <c r="A26" s="26"/>
      <c r="B26" s="202"/>
      <c r="C26" s="16"/>
      <c r="D26" s="17"/>
      <c r="E26" s="14"/>
      <c r="F26" s="14"/>
    </row>
    <row r="27" spans="1:9" ht="33.5" customHeight="1" x14ac:dyDescent="0.25">
      <c r="A27" s="304" t="s">
        <v>355</v>
      </c>
      <c r="B27" s="305"/>
      <c r="C27" s="19"/>
      <c r="D27" s="22" t="s">
        <v>432</v>
      </c>
      <c r="E27" s="21">
        <f>SUM(E23:E26)</f>
        <v>-31102.136294126511</v>
      </c>
      <c r="F27" s="21">
        <f>'WP-Total Adj with Int'!S72</f>
        <v>-32728.229334645002</v>
      </c>
      <c r="G27" s="16"/>
      <c r="H27" s="16"/>
      <c r="I27" s="16"/>
    </row>
    <row r="28" spans="1:9" ht="11.5" customHeight="1" x14ac:dyDescent="0.25">
      <c r="A28" s="268"/>
      <c r="B28" s="269"/>
      <c r="C28" s="19"/>
      <c r="D28" s="22"/>
      <c r="E28" s="21"/>
      <c r="F28" s="21"/>
      <c r="G28" s="16"/>
      <c r="H28" s="16"/>
      <c r="I28" s="16"/>
    </row>
    <row r="29" spans="1:9" ht="20.25" customHeight="1" x14ac:dyDescent="0.25">
      <c r="A29" s="304" t="s">
        <v>433</v>
      </c>
      <c r="B29" s="305"/>
      <c r="C29" s="16"/>
      <c r="D29" s="17"/>
    </row>
    <row r="30" spans="1:9" ht="97.5" customHeight="1" x14ac:dyDescent="0.25">
      <c r="A30" s="18" t="s">
        <v>297</v>
      </c>
      <c r="B30" s="297" t="s">
        <v>453</v>
      </c>
      <c r="C30" s="16"/>
      <c r="D30" s="17" t="s">
        <v>434</v>
      </c>
      <c r="E30" s="14">
        <f>'WP-2021 TO2023 Sch4-TUTRR'!M76</f>
        <v>-21892.477520227432</v>
      </c>
      <c r="F30" s="14">
        <f>E30/E34*F34</f>
        <v>-22250.522301277033</v>
      </c>
    </row>
    <row r="31" spans="1:9" ht="15.5" x14ac:dyDescent="0.25">
      <c r="A31" s="18"/>
      <c r="B31" s="269"/>
      <c r="C31" s="16"/>
      <c r="D31" s="17"/>
      <c r="E31" s="14"/>
      <c r="F31" s="14"/>
    </row>
    <row r="32" spans="1:9" ht="48.5" customHeight="1" x14ac:dyDescent="0.25">
      <c r="A32" s="18" t="s">
        <v>431</v>
      </c>
      <c r="B32" s="297" t="s">
        <v>502</v>
      </c>
      <c r="C32" s="16"/>
      <c r="D32" s="17" t="s">
        <v>435</v>
      </c>
      <c r="E32" s="14">
        <f>'WP-2021 TO2023 Sch4-TUTRR'!M77</f>
        <v>212.03383922576904</v>
      </c>
      <c r="F32" s="14">
        <f>(E32/E$27)*F$27</f>
        <v>223.11946842689088</v>
      </c>
    </row>
    <row r="33" spans="1:9" ht="15.5" customHeight="1" x14ac:dyDescent="0.25">
      <c r="A33" s="26"/>
      <c r="B33" s="269"/>
      <c r="C33" s="16"/>
      <c r="D33" s="17"/>
      <c r="E33" s="14"/>
      <c r="F33" s="14"/>
    </row>
    <row r="34" spans="1:9" ht="33.5" customHeight="1" x14ac:dyDescent="0.25">
      <c r="A34" s="304" t="s">
        <v>503</v>
      </c>
      <c r="B34" s="305"/>
      <c r="C34" s="19"/>
      <c r="D34" s="22" t="s">
        <v>436</v>
      </c>
      <c r="E34" s="21">
        <f>SUM(E30:E33)</f>
        <v>-21680.443681001663</v>
      </c>
      <c r="F34" s="21">
        <f>'WP-Total Adj with Int'!W72</f>
        <v>-22035.020713393282</v>
      </c>
      <c r="G34" s="16"/>
      <c r="H34" s="16"/>
      <c r="I34" s="16"/>
    </row>
    <row r="35" spans="1:9" ht="15.75" customHeight="1" x14ac:dyDescent="0.25">
      <c r="A35" s="201"/>
      <c r="B35" s="202"/>
      <c r="C35" s="19"/>
      <c r="D35" s="22"/>
      <c r="E35" s="21"/>
      <c r="F35" s="21"/>
      <c r="G35" s="16"/>
      <c r="H35" s="16"/>
      <c r="I35" s="16"/>
    </row>
    <row r="36" spans="1:9" ht="12.75" customHeight="1" thickBot="1" x14ac:dyDescent="0.3">
      <c r="A36" s="26"/>
      <c r="B36" s="202"/>
      <c r="C36" s="16"/>
      <c r="D36" s="17"/>
      <c r="E36" s="14"/>
      <c r="F36" s="14"/>
    </row>
    <row r="37" spans="1:9" ht="54" customHeight="1" thickBot="1" x14ac:dyDescent="0.3">
      <c r="A37" s="302" t="s">
        <v>356</v>
      </c>
      <c r="B37" s="303"/>
      <c r="C37" s="23"/>
      <c r="D37" s="24" t="s">
        <v>437</v>
      </c>
      <c r="E37" s="148">
        <f>SUM(E8,E13,E19,E27,E34)</f>
        <v>-104142.08952564001</v>
      </c>
      <c r="F37" s="149">
        <f>SUM(F8,F13,F19,F27,F34)</f>
        <v>-113210.13971123533</v>
      </c>
      <c r="G37" s="16"/>
    </row>
    <row r="38" spans="1:9" ht="15.5" x14ac:dyDescent="0.25">
      <c r="A38" s="201"/>
      <c r="B38" s="202"/>
      <c r="C38" s="16"/>
      <c r="D38" s="17"/>
      <c r="E38" s="14"/>
      <c r="F38" s="14"/>
      <c r="G38" s="16"/>
    </row>
    <row r="39" spans="1:9" ht="15.5" x14ac:dyDescent="0.25">
      <c r="A39" s="26"/>
      <c r="B39" s="202"/>
      <c r="C39" s="16"/>
      <c r="D39" s="17"/>
      <c r="E39" s="14"/>
      <c r="F39" s="14"/>
    </row>
    <row r="40" spans="1:9" ht="21" x14ac:dyDescent="0.25">
      <c r="A40" s="26" t="s">
        <v>357</v>
      </c>
      <c r="B40" s="150"/>
      <c r="C40" s="151"/>
      <c r="D40" s="152"/>
      <c r="E40" s="14"/>
      <c r="F40" s="14"/>
      <c r="G40" s="28"/>
    </row>
    <row r="41" spans="1:9" ht="57.5" customHeight="1" x14ac:dyDescent="0.25">
      <c r="A41" s="305" t="s">
        <v>504</v>
      </c>
      <c r="B41" s="305"/>
      <c r="C41" s="305"/>
      <c r="D41" s="305"/>
      <c r="E41" s="14"/>
      <c r="F41" s="14"/>
    </row>
    <row r="42" spans="1:9" ht="29.25" customHeight="1" x14ac:dyDescent="0.25">
      <c r="A42" s="16"/>
      <c r="B42" s="25"/>
      <c r="C42" s="16"/>
      <c r="D42" s="17"/>
      <c r="E42" s="14"/>
      <c r="F42" s="14"/>
    </row>
    <row r="43" spans="1:9" x14ac:dyDescent="0.25">
      <c r="A43" s="16"/>
      <c r="B43" s="153"/>
      <c r="C43" s="153"/>
      <c r="D43" s="17"/>
    </row>
    <row r="44" spans="1:9" ht="14.5" x14ac:dyDescent="0.35">
      <c r="A44" s="16"/>
      <c r="B44" s="300"/>
      <c r="C44" s="301"/>
      <c r="D44" s="301"/>
      <c r="E44" s="301"/>
      <c r="F44" s="301"/>
      <c r="G44" s="301"/>
      <c r="H44" s="301"/>
    </row>
    <row r="45" spans="1:9" ht="14.5" x14ac:dyDescent="0.35">
      <c r="B45" s="300"/>
      <c r="C45" s="301"/>
      <c r="D45" s="301"/>
      <c r="E45" s="301"/>
      <c r="F45" s="301"/>
      <c r="G45" s="301"/>
      <c r="H45" s="301"/>
    </row>
    <row r="46" spans="1:9" x14ac:dyDescent="0.25">
      <c r="B46" s="33"/>
      <c r="C46" s="33"/>
    </row>
    <row r="68" spans="6:6" x14ac:dyDescent="0.25">
      <c r="F68" s="13">
        <v>8</v>
      </c>
    </row>
  </sheetData>
  <mergeCells count="16">
    <mergeCell ref="B45:H45"/>
    <mergeCell ref="A37:B37"/>
    <mergeCell ref="A27:B27"/>
    <mergeCell ref="A22:B22"/>
    <mergeCell ref="A2:B2"/>
    <mergeCell ref="A3:B3"/>
    <mergeCell ref="A19:B19"/>
    <mergeCell ref="A15:B15"/>
    <mergeCell ref="B44:H44"/>
    <mergeCell ref="A5:B5"/>
    <mergeCell ref="A8:B8"/>
    <mergeCell ref="A10:B10"/>
    <mergeCell ref="A13:B13"/>
    <mergeCell ref="A29:B29"/>
    <mergeCell ref="A34:B34"/>
    <mergeCell ref="A41:D41"/>
  </mergeCells>
  <printOptions horizontalCentered="1"/>
  <pageMargins left="0.7" right="0.7" top="0.75" bottom="0.75" header="0.3" footer="0.3"/>
  <pageSetup scale="67" fitToHeight="0" orientation="landscape" r:id="rId1"/>
  <headerFooter>
    <oddHeader>&amp;R&amp;8TO2024 Draft Annual Update
Attachment 4
WP-Schedule 3-One Time Adj Prior Period
Page &amp;P of &amp;N</oddHeader>
    <oddFooter>&amp;R&amp;A</oddFooter>
  </headerFooter>
  <rowBreaks count="1" manualBreakCount="1">
    <brk id="21"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B640A-1A75-48B6-81EE-B5C73AD0D0F3}">
  <sheetPr>
    <tabColor rgb="FF99CCFF"/>
  </sheetPr>
  <dimension ref="A1:O172"/>
  <sheetViews>
    <sheetView zoomScaleNormal="100" zoomScalePageLayoutView="80" workbookViewId="0">
      <selection activeCell="M76" sqref="M76"/>
    </sheetView>
  </sheetViews>
  <sheetFormatPr defaultRowHeight="12.5" x14ac:dyDescent="0.25"/>
  <cols>
    <col min="1" max="2" width="4.54296875" style="267" customWidth="1"/>
    <col min="3" max="3" width="18.54296875" style="267" customWidth="1"/>
    <col min="4" max="4" width="10.453125" style="267" bestFit="1" customWidth="1"/>
    <col min="5" max="7" width="15.54296875" style="267" customWidth="1"/>
    <col min="8" max="8" width="24.54296875" style="267" customWidth="1"/>
    <col min="9" max="9" width="4.54296875" style="267" customWidth="1"/>
    <col min="10" max="10" width="15.54296875" style="267" customWidth="1"/>
    <col min="11" max="11" width="4.1796875" style="267" customWidth="1"/>
    <col min="12" max="12" width="18" style="267" customWidth="1"/>
    <col min="13" max="13" width="6.08984375" style="267" customWidth="1"/>
    <col min="14" max="14" width="15.453125" style="267" customWidth="1"/>
    <col min="15" max="16384" width="8.7265625" style="267"/>
  </cols>
  <sheetData>
    <row r="1" spans="1:14" ht="13" x14ac:dyDescent="0.3">
      <c r="A1" s="166" t="s">
        <v>35</v>
      </c>
    </row>
    <row r="3" spans="1:14" ht="13" x14ac:dyDescent="0.3">
      <c r="B3" s="212" t="s">
        <v>36</v>
      </c>
      <c r="L3" s="171"/>
    </row>
    <row r="4" spans="1:14" ht="13" x14ac:dyDescent="0.3">
      <c r="B4" s="213"/>
      <c r="F4" s="171" t="s">
        <v>37</v>
      </c>
      <c r="G4" s="171"/>
      <c r="H4" s="171" t="s">
        <v>38</v>
      </c>
      <c r="L4" s="171"/>
      <c r="N4" s="171"/>
    </row>
    <row r="5" spans="1:14" ht="13" x14ac:dyDescent="0.3">
      <c r="A5" s="172" t="s">
        <v>39</v>
      </c>
      <c r="B5" s="187"/>
      <c r="C5" s="195" t="s">
        <v>40</v>
      </c>
      <c r="F5" s="173" t="s">
        <v>41</v>
      </c>
      <c r="G5" s="173" t="s">
        <v>42</v>
      </c>
      <c r="H5" s="173" t="s">
        <v>43</v>
      </c>
      <c r="J5" s="173" t="s">
        <v>32</v>
      </c>
      <c r="L5" s="173"/>
      <c r="N5" s="173"/>
    </row>
    <row r="6" spans="1:14" ht="13" x14ac:dyDescent="0.3">
      <c r="A6" s="171">
        <v>1</v>
      </c>
      <c r="C6" s="208" t="s">
        <v>44</v>
      </c>
      <c r="F6" s="267" t="s">
        <v>45</v>
      </c>
      <c r="H6" s="208" t="s">
        <v>454</v>
      </c>
      <c r="J6" s="177">
        <v>8939630709.3337479</v>
      </c>
      <c r="L6" s="173"/>
      <c r="N6" s="177"/>
    </row>
    <row r="7" spans="1:14" ht="13" x14ac:dyDescent="0.3">
      <c r="A7" s="171">
        <f>A6+1</f>
        <v>2</v>
      </c>
      <c r="C7" s="208" t="s">
        <v>46</v>
      </c>
      <c r="F7" s="267" t="s">
        <v>47</v>
      </c>
      <c r="H7" s="208" t="s">
        <v>455</v>
      </c>
      <c r="J7" s="177">
        <v>289044062.07088608</v>
      </c>
      <c r="L7" s="173"/>
      <c r="N7" s="177"/>
    </row>
    <row r="8" spans="1:14" ht="13" x14ac:dyDescent="0.3">
      <c r="A8" s="171">
        <f>A7+1</f>
        <v>3</v>
      </c>
      <c r="C8" s="208" t="s">
        <v>48</v>
      </c>
      <c r="F8" s="267" t="s">
        <v>47</v>
      </c>
      <c r="H8" s="267" t="s">
        <v>456</v>
      </c>
      <c r="J8" s="177">
        <v>9942155</v>
      </c>
      <c r="L8" s="173"/>
      <c r="N8" s="177"/>
    </row>
    <row r="9" spans="1:14" ht="13" x14ac:dyDescent="0.3">
      <c r="A9" s="171">
        <f>A8+1</f>
        <v>4</v>
      </c>
      <c r="C9" s="208" t="s">
        <v>49</v>
      </c>
      <c r="F9" s="267" t="s">
        <v>47</v>
      </c>
      <c r="H9" s="176" t="s">
        <v>457</v>
      </c>
      <c r="J9" s="177">
        <v>0</v>
      </c>
      <c r="L9" s="173"/>
      <c r="N9" s="177"/>
    </row>
    <row r="10" spans="1:14" ht="13" x14ac:dyDescent="0.3">
      <c r="A10" s="171"/>
      <c r="C10" s="208"/>
      <c r="J10" s="177"/>
      <c r="L10" s="173"/>
      <c r="N10" s="177"/>
    </row>
    <row r="11" spans="1:14" ht="13" x14ac:dyDescent="0.3">
      <c r="A11" s="171"/>
      <c r="C11" s="214" t="s">
        <v>50</v>
      </c>
      <c r="J11" s="177"/>
      <c r="L11" s="173"/>
      <c r="N11" s="177"/>
    </row>
    <row r="12" spans="1:14" ht="13" x14ac:dyDescent="0.3">
      <c r="A12" s="171">
        <f>A9+1</f>
        <v>5</v>
      </c>
      <c r="C12" s="183" t="s">
        <v>51</v>
      </c>
      <c r="F12" s="267" t="s">
        <v>45</v>
      </c>
      <c r="H12" s="208" t="s">
        <v>458</v>
      </c>
      <c r="J12" s="177">
        <v>21481204.872946855</v>
      </c>
      <c r="L12" s="173"/>
      <c r="N12" s="177"/>
    </row>
    <row r="13" spans="1:14" ht="13" x14ac:dyDescent="0.3">
      <c r="A13" s="171">
        <f>A12+1</f>
        <v>6</v>
      </c>
      <c r="C13" s="187" t="s">
        <v>52</v>
      </c>
      <c r="F13" s="267" t="s">
        <v>45</v>
      </c>
      <c r="H13" s="208" t="s">
        <v>459</v>
      </c>
      <c r="J13" s="177">
        <v>21290573.843281552</v>
      </c>
      <c r="L13" s="173"/>
      <c r="N13" s="177"/>
    </row>
    <row r="14" spans="1:14" ht="13" x14ac:dyDescent="0.3">
      <c r="A14" s="171">
        <f>A13+1</f>
        <v>7</v>
      </c>
      <c r="C14" s="183" t="s">
        <v>53</v>
      </c>
      <c r="F14" s="176" t="s">
        <v>144</v>
      </c>
      <c r="H14" s="267" t="s">
        <v>460</v>
      </c>
      <c r="J14" s="179">
        <v>25202207.611357838</v>
      </c>
      <c r="L14" s="173"/>
      <c r="N14" s="177"/>
    </row>
    <row r="15" spans="1:14" ht="13" x14ac:dyDescent="0.3">
      <c r="A15" s="171">
        <f>A14+1</f>
        <v>8</v>
      </c>
      <c r="C15" s="183" t="s">
        <v>54</v>
      </c>
      <c r="H15" s="267" t="str">
        <f>"Line "&amp;A12&amp;" + Line "&amp;A13&amp;" + Line "&amp;A14&amp;""</f>
        <v>Line 5 + Line 6 + Line 7</v>
      </c>
      <c r="J15" s="175">
        <f>SUM(J12:J14)</f>
        <v>67973986.327586249</v>
      </c>
      <c r="L15" s="173"/>
      <c r="N15" s="177"/>
    </row>
    <row r="16" spans="1:14" ht="13" x14ac:dyDescent="0.3">
      <c r="A16" s="171"/>
      <c r="C16" s="183"/>
      <c r="J16" s="177"/>
      <c r="L16" s="173"/>
      <c r="N16" s="177"/>
    </row>
    <row r="17" spans="1:14" ht="13" x14ac:dyDescent="0.3">
      <c r="A17" s="171"/>
      <c r="C17" s="215" t="s">
        <v>55</v>
      </c>
      <c r="J17" s="177"/>
      <c r="L17" s="173"/>
      <c r="N17" s="177"/>
    </row>
    <row r="18" spans="1:14" ht="13" x14ac:dyDescent="0.3">
      <c r="A18" s="171">
        <f>A15+1</f>
        <v>9</v>
      </c>
      <c r="C18" s="183" t="s">
        <v>56</v>
      </c>
      <c r="F18" s="267" t="s">
        <v>45</v>
      </c>
      <c r="G18" s="267" t="s">
        <v>57</v>
      </c>
      <c r="H18" s="208" t="s">
        <v>476</v>
      </c>
      <c r="J18" s="177">
        <v>-1839774172.2805853</v>
      </c>
      <c r="L18" s="173"/>
      <c r="N18" s="177"/>
    </row>
    <row r="19" spans="1:14" ht="13" x14ac:dyDescent="0.3">
      <c r="A19" s="171">
        <f>A18+1</f>
        <v>10</v>
      </c>
      <c r="C19" s="183" t="s">
        <v>58</v>
      </c>
      <c r="F19" s="267" t="s">
        <v>47</v>
      </c>
      <c r="G19" s="267" t="s">
        <v>57</v>
      </c>
      <c r="H19" s="208" t="s">
        <v>477</v>
      </c>
      <c r="J19" s="177">
        <v>0</v>
      </c>
      <c r="L19" s="173"/>
      <c r="N19" s="177"/>
    </row>
    <row r="20" spans="1:14" ht="13" x14ac:dyDescent="0.3">
      <c r="A20" s="171">
        <f>A19+1</f>
        <v>11</v>
      </c>
      <c r="C20" s="183" t="s">
        <v>59</v>
      </c>
      <c r="D20" s="47"/>
      <c r="F20" s="267" t="s">
        <v>47</v>
      </c>
      <c r="G20" s="267" t="s">
        <v>57</v>
      </c>
      <c r="H20" s="208" t="s">
        <v>478</v>
      </c>
      <c r="J20" s="184">
        <v>-105831142.34877566</v>
      </c>
      <c r="L20" s="173"/>
      <c r="N20" s="177"/>
    </row>
    <row r="21" spans="1:14" ht="13" x14ac:dyDescent="0.3">
      <c r="A21" s="171">
        <f>A20+1</f>
        <v>12</v>
      </c>
      <c r="C21" s="49" t="s">
        <v>60</v>
      </c>
      <c r="D21" s="47"/>
      <c r="H21" s="267" t="str">
        <f>"Line "&amp;A18&amp;" + Line "&amp;A19&amp;" + Line "&amp;A20&amp;""</f>
        <v>Line 9 + Line 10 + Line 11</v>
      </c>
      <c r="J21" s="177">
        <f>SUM(J18:J20)</f>
        <v>-1945605314.6293609</v>
      </c>
      <c r="L21" s="173"/>
      <c r="N21" s="177"/>
    </row>
    <row r="22" spans="1:14" ht="13" x14ac:dyDescent="0.3">
      <c r="A22" s="171"/>
      <c r="C22" s="176"/>
      <c r="J22" s="177"/>
      <c r="L22" s="173"/>
      <c r="N22" s="177"/>
    </row>
    <row r="23" spans="1:14" ht="13" x14ac:dyDescent="0.3">
      <c r="A23" s="171">
        <f>A21+1</f>
        <v>13</v>
      </c>
      <c r="C23" s="216" t="s">
        <v>61</v>
      </c>
      <c r="F23" s="267" t="s">
        <v>47</v>
      </c>
      <c r="H23" s="208" t="s">
        <v>479</v>
      </c>
      <c r="J23" s="177">
        <v>-1632853304.2368784</v>
      </c>
      <c r="L23" s="173"/>
      <c r="N23" s="177"/>
    </row>
    <row r="24" spans="1:14" ht="13" x14ac:dyDescent="0.3">
      <c r="A24" s="171">
        <f>A23+1</f>
        <v>14</v>
      </c>
      <c r="C24" s="208" t="s">
        <v>62</v>
      </c>
      <c r="F24" s="267" t="s">
        <v>45</v>
      </c>
      <c r="H24" s="208" t="s">
        <v>480</v>
      </c>
      <c r="J24" s="177">
        <v>602185189.09144735</v>
      </c>
      <c r="L24" s="173"/>
      <c r="N24" s="177"/>
    </row>
    <row r="25" spans="1:14" ht="13" x14ac:dyDescent="0.3">
      <c r="A25" s="171">
        <f>A24+1</f>
        <v>15</v>
      </c>
      <c r="C25" s="216" t="s">
        <v>63</v>
      </c>
      <c r="F25" s="267" t="s">
        <v>47</v>
      </c>
      <c r="G25" s="267" t="s">
        <v>57</v>
      </c>
      <c r="H25" s="208" t="s">
        <v>481</v>
      </c>
      <c r="J25" s="177">
        <v>-50661304.942000374</v>
      </c>
      <c r="L25" s="173"/>
      <c r="N25" s="177"/>
    </row>
    <row r="26" spans="1:14" ht="13" x14ac:dyDescent="0.3">
      <c r="A26" s="171">
        <f>A25+1</f>
        <v>16</v>
      </c>
      <c r="C26" s="208" t="s">
        <v>64</v>
      </c>
      <c r="H26" s="176" t="s">
        <v>482</v>
      </c>
      <c r="J26" s="177">
        <v>-192838264.25105909</v>
      </c>
      <c r="L26" s="173"/>
      <c r="N26" s="177"/>
    </row>
    <row r="27" spans="1:14" ht="13" x14ac:dyDescent="0.3">
      <c r="A27" s="171">
        <f>A26+1</f>
        <v>17</v>
      </c>
      <c r="C27" s="216" t="s">
        <v>65</v>
      </c>
      <c r="F27" s="267" t="s">
        <v>47</v>
      </c>
      <c r="H27" s="208" t="s">
        <v>483</v>
      </c>
      <c r="J27" s="177">
        <v>0</v>
      </c>
      <c r="L27" s="173"/>
      <c r="N27" s="177"/>
    </row>
    <row r="28" spans="1:14" ht="13" x14ac:dyDescent="0.3">
      <c r="A28" s="171"/>
      <c r="C28" s="216"/>
      <c r="L28" s="173"/>
      <c r="N28" s="177"/>
    </row>
    <row r="29" spans="1:14" ht="13" x14ac:dyDescent="0.3">
      <c r="A29" s="171">
        <f>A27+1</f>
        <v>18</v>
      </c>
      <c r="C29" s="267" t="s">
        <v>66</v>
      </c>
      <c r="H29" s="267" t="str">
        <f>"L"&amp;A6&amp;"+L"&amp;A7&amp;"+L"&amp;A8&amp;"+L"&amp;A9&amp;"+L"&amp;A15&amp;"+L"&amp;A21&amp;"+"</f>
        <v>L1+L2+L3+L4+L8+L12+</v>
      </c>
      <c r="J29" s="175">
        <f>J6+ J7+J8+J9+J15+J21+J23+J24+J25+J26+J27</f>
        <v>6086817913.76437</v>
      </c>
      <c r="L29" s="173"/>
      <c r="N29" s="177"/>
    </row>
    <row r="30" spans="1:14" ht="13" x14ac:dyDescent="0.3">
      <c r="A30" s="171"/>
      <c r="H30" s="267" t="str">
        <f>"L"&amp;A23&amp;"+L"&amp;A24&amp;"+L"&amp;A25&amp;"+L"&amp;A26&amp;"+L"&amp;A27&amp;""</f>
        <v>L13+L14+L15+L16+L17</v>
      </c>
      <c r="J30" s="177"/>
      <c r="L30" s="173"/>
      <c r="N30" s="177"/>
    </row>
    <row r="31" spans="1:14" ht="13" x14ac:dyDescent="0.3">
      <c r="A31" s="171"/>
      <c r="B31" s="166" t="s">
        <v>67</v>
      </c>
      <c r="J31" s="177"/>
      <c r="L31" s="173"/>
      <c r="N31" s="177"/>
    </row>
    <row r="32" spans="1:14" ht="13" x14ac:dyDescent="0.3">
      <c r="A32" s="172" t="s">
        <v>39</v>
      </c>
      <c r="C32" s="166"/>
      <c r="J32" s="177"/>
      <c r="L32" s="173"/>
      <c r="N32" s="177"/>
    </row>
    <row r="33" spans="1:14" ht="13" x14ac:dyDescent="0.3">
      <c r="A33" s="171">
        <f>A29+1</f>
        <v>19</v>
      </c>
      <c r="B33" s="176"/>
      <c r="C33" s="176" t="s">
        <v>68</v>
      </c>
      <c r="D33" s="176"/>
      <c r="E33" s="176"/>
      <c r="F33" s="176"/>
      <c r="G33" s="176" t="s">
        <v>69</v>
      </c>
      <c r="H33" s="176" t="str">
        <f>"Instruction 1, Line "&amp;B98&amp;""</f>
        <v>Instruction 1, Line j</v>
      </c>
      <c r="I33" s="176"/>
      <c r="J33" s="217">
        <f>E98</f>
        <v>7.5731353457413608E-2</v>
      </c>
      <c r="L33" s="173"/>
      <c r="M33" s="186"/>
      <c r="N33" s="177"/>
    </row>
    <row r="34" spans="1:14" ht="13" x14ac:dyDescent="0.3">
      <c r="A34" s="171">
        <f>A33+1</f>
        <v>20</v>
      </c>
      <c r="C34" s="176" t="s">
        <v>70</v>
      </c>
      <c r="D34" s="176"/>
      <c r="E34" s="176"/>
      <c r="F34" s="176"/>
      <c r="G34" s="176"/>
      <c r="H34" s="267" t="str">
        <f>"Line "&amp;A29&amp;" * Line "&amp;A33&amp;""</f>
        <v>Line 18 * Line 19</v>
      </c>
      <c r="J34" s="181">
        <f>J29*J33</f>
        <v>460962958.85820639</v>
      </c>
      <c r="L34" s="173"/>
      <c r="N34" s="177"/>
    </row>
    <row r="35" spans="1:14" ht="13" x14ac:dyDescent="0.3">
      <c r="A35" s="171"/>
      <c r="B35" s="187"/>
      <c r="L35" s="173"/>
      <c r="N35" s="177"/>
    </row>
    <row r="36" spans="1:14" ht="13" x14ac:dyDescent="0.3">
      <c r="A36" s="171"/>
      <c r="B36" s="166" t="s">
        <v>71</v>
      </c>
      <c r="L36" s="173"/>
      <c r="N36" s="177"/>
    </row>
    <row r="37" spans="1:14" ht="13" x14ac:dyDescent="0.3">
      <c r="A37" s="171"/>
      <c r="B37" s="187"/>
      <c r="L37" s="173"/>
      <c r="N37" s="177"/>
    </row>
    <row r="38" spans="1:14" ht="13" x14ac:dyDescent="0.3">
      <c r="A38" s="171">
        <f>A34+1</f>
        <v>21</v>
      </c>
      <c r="C38" s="176" t="s">
        <v>72</v>
      </c>
      <c r="J38" s="175">
        <f>(((J29*J42) + J45) *(J43/(1-J43)))+(J44/(1-J43))</f>
        <v>91515958.009229451</v>
      </c>
      <c r="L38" s="173"/>
      <c r="N38" s="177"/>
    </row>
    <row r="39" spans="1:14" ht="13" x14ac:dyDescent="0.3">
      <c r="A39" s="171"/>
      <c r="J39" s="176"/>
      <c r="L39" s="173"/>
      <c r="N39" s="177"/>
    </row>
    <row r="40" spans="1:14" ht="13" x14ac:dyDescent="0.3">
      <c r="A40" s="171"/>
      <c r="D40" s="267" t="s">
        <v>73</v>
      </c>
      <c r="L40" s="173"/>
      <c r="N40" s="177"/>
    </row>
    <row r="41" spans="1:14" ht="13" x14ac:dyDescent="0.3">
      <c r="A41" s="171">
        <f>A38+1</f>
        <v>22</v>
      </c>
      <c r="D41" s="187" t="s">
        <v>74</v>
      </c>
      <c r="H41" s="267" t="str">
        <f>"Line "&amp;A29&amp;""</f>
        <v>Line 18</v>
      </c>
      <c r="J41" s="175">
        <f>J29</f>
        <v>6086817913.76437</v>
      </c>
      <c r="L41" s="173"/>
      <c r="N41" s="177"/>
    </row>
    <row r="42" spans="1:14" ht="13" x14ac:dyDescent="0.3">
      <c r="A42" s="171">
        <f>A41+1</f>
        <v>23</v>
      </c>
      <c r="D42" s="183" t="s">
        <v>75</v>
      </c>
      <c r="G42" s="176" t="s">
        <v>76</v>
      </c>
      <c r="H42" s="176" t="str">
        <f>"Instruction 1, Line "&amp;B103&amp;""</f>
        <v>Instruction 1, Line k</v>
      </c>
      <c r="J42" s="217">
        <f>E103</f>
        <v>5.3927439169434502E-2</v>
      </c>
      <c r="L42" s="173"/>
      <c r="M42" s="186"/>
      <c r="N42" s="177"/>
    </row>
    <row r="43" spans="1:14" ht="13" x14ac:dyDescent="0.3">
      <c r="A43" s="171">
        <f>A42+1</f>
        <v>24</v>
      </c>
      <c r="D43" s="187" t="s">
        <v>77</v>
      </c>
      <c r="H43" s="267" t="s">
        <v>461</v>
      </c>
      <c r="J43" s="186">
        <v>0.27983599999999997</v>
      </c>
      <c r="L43" s="173"/>
      <c r="M43" s="186"/>
      <c r="N43" s="177"/>
    </row>
    <row r="44" spans="1:14" ht="13" x14ac:dyDescent="0.3">
      <c r="A44" s="171">
        <f>A43+1</f>
        <v>25</v>
      </c>
      <c r="D44" s="187" t="s">
        <v>78</v>
      </c>
      <c r="H44" s="267" t="s">
        <v>462</v>
      </c>
      <c r="J44" s="177">
        <v>-27044842</v>
      </c>
      <c r="L44" s="173"/>
      <c r="N44" s="177"/>
    </row>
    <row r="45" spans="1:14" ht="13" x14ac:dyDescent="0.3">
      <c r="A45" s="171">
        <f>A44+1</f>
        <v>26</v>
      </c>
      <c r="D45" s="187" t="s">
        <v>79</v>
      </c>
      <c r="H45" s="267" t="s">
        <v>463</v>
      </c>
      <c r="J45" s="194">
        <v>3917123</v>
      </c>
      <c r="L45" s="173"/>
      <c r="N45" s="177"/>
    </row>
    <row r="46" spans="1:14" ht="13" x14ac:dyDescent="0.3">
      <c r="A46" s="171"/>
      <c r="B46" s="187"/>
      <c r="L46" s="173"/>
      <c r="N46" s="177"/>
    </row>
    <row r="47" spans="1:14" ht="13" x14ac:dyDescent="0.3">
      <c r="A47" s="171"/>
      <c r="B47" s="166" t="s">
        <v>80</v>
      </c>
      <c r="L47" s="173"/>
      <c r="N47" s="177"/>
    </row>
    <row r="48" spans="1:14" ht="13" x14ac:dyDescent="0.3">
      <c r="A48" s="171">
        <f>A45+1</f>
        <v>27</v>
      </c>
      <c r="B48" s="187"/>
      <c r="C48" s="267" t="s">
        <v>81</v>
      </c>
      <c r="H48" s="267" t="s">
        <v>464</v>
      </c>
      <c r="J48" s="177">
        <v>112781173.69267865</v>
      </c>
      <c r="L48" s="173"/>
      <c r="N48" s="177"/>
    </row>
    <row r="49" spans="1:14" ht="13" x14ac:dyDescent="0.3">
      <c r="A49" s="171">
        <f t="shared" ref="A49:A59" si="0">A48+1</f>
        <v>28</v>
      </c>
      <c r="B49" s="187"/>
      <c r="C49" s="176" t="s">
        <v>82</v>
      </c>
      <c r="H49" s="267" t="s">
        <v>465</v>
      </c>
      <c r="J49" s="175">
        <v>88836487.198184073</v>
      </c>
      <c r="L49" s="173"/>
      <c r="N49" s="177"/>
    </row>
    <row r="50" spans="1:14" ht="13" x14ac:dyDescent="0.3">
      <c r="A50" s="171">
        <f>A49+1</f>
        <v>29</v>
      </c>
      <c r="B50" s="187"/>
      <c r="C50" s="267" t="s">
        <v>83</v>
      </c>
      <c r="H50" s="267" t="s">
        <v>466</v>
      </c>
      <c r="J50" s="177">
        <v>4075483.5901751588</v>
      </c>
      <c r="L50" s="173"/>
      <c r="N50" s="177"/>
    </row>
    <row r="51" spans="1:14" ht="13" x14ac:dyDescent="0.3">
      <c r="A51" s="171">
        <f t="shared" si="0"/>
        <v>30</v>
      </c>
      <c r="B51" s="187"/>
      <c r="C51" s="176" t="s">
        <v>84</v>
      </c>
      <c r="H51" s="267" t="s">
        <v>467</v>
      </c>
      <c r="J51" s="177">
        <v>255157633.3971031</v>
      </c>
      <c r="L51" s="173"/>
      <c r="N51" s="177"/>
    </row>
    <row r="52" spans="1:14" ht="13" x14ac:dyDescent="0.3">
      <c r="A52" s="171">
        <f t="shared" si="0"/>
        <v>31</v>
      </c>
      <c r="B52" s="187"/>
      <c r="C52" s="176" t="s">
        <v>85</v>
      </c>
      <c r="H52" s="267" t="s">
        <v>468</v>
      </c>
      <c r="J52" s="177">
        <v>0</v>
      </c>
      <c r="L52" s="173"/>
      <c r="N52" s="177"/>
    </row>
    <row r="53" spans="1:14" ht="13" x14ac:dyDescent="0.3">
      <c r="A53" s="171">
        <f t="shared" si="0"/>
        <v>32</v>
      </c>
      <c r="B53" s="187"/>
      <c r="C53" s="176" t="s">
        <v>86</v>
      </c>
      <c r="H53" s="267" t="s">
        <v>469</v>
      </c>
      <c r="J53" s="177">
        <v>66058181.16746673</v>
      </c>
      <c r="L53" s="173"/>
      <c r="N53" s="177"/>
    </row>
    <row r="54" spans="1:14" ht="13" x14ac:dyDescent="0.3">
      <c r="A54" s="171">
        <f t="shared" si="0"/>
        <v>33</v>
      </c>
      <c r="B54" s="187"/>
      <c r="C54" s="267" t="s">
        <v>87</v>
      </c>
      <c r="G54" s="176"/>
      <c r="H54" s="267" t="s">
        <v>470</v>
      </c>
      <c r="J54" s="177">
        <v>-54094032.244774804</v>
      </c>
      <c r="L54" s="173"/>
      <c r="N54" s="177"/>
    </row>
    <row r="55" spans="1:14" ht="13" x14ac:dyDescent="0.3">
      <c r="A55" s="171">
        <f t="shared" si="0"/>
        <v>34</v>
      </c>
      <c r="B55" s="187"/>
      <c r="C55" s="267" t="s">
        <v>88</v>
      </c>
      <c r="H55" s="267" t="str">
        <f>"Line "&amp;A34&amp;""</f>
        <v>Line 20</v>
      </c>
      <c r="J55" s="175">
        <f>J34</f>
        <v>460962958.85820639</v>
      </c>
      <c r="L55" s="173"/>
      <c r="N55" s="177"/>
    </row>
    <row r="56" spans="1:14" ht="13" x14ac:dyDescent="0.3">
      <c r="A56" s="171">
        <f t="shared" si="0"/>
        <v>35</v>
      </c>
      <c r="B56" s="187"/>
      <c r="C56" s="267" t="s">
        <v>89</v>
      </c>
      <c r="H56" s="267" t="str">
        <f>"Line "&amp;A38&amp;""</f>
        <v>Line 21</v>
      </c>
      <c r="J56" s="181">
        <f>J38</f>
        <v>91515958.009229451</v>
      </c>
      <c r="L56" s="173"/>
      <c r="N56" s="177"/>
    </row>
    <row r="57" spans="1:14" ht="13" x14ac:dyDescent="0.3">
      <c r="A57" s="171">
        <f t="shared" si="0"/>
        <v>36</v>
      </c>
      <c r="B57" s="187"/>
      <c r="C57" s="176" t="s">
        <v>90</v>
      </c>
      <c r="H57" s="267" t="s">
        <v>471</v>
      </c>
      <c r="J57" s="194">
        <v>0</v>
      </c>
      <c r="L57" s="173"/>
      <c r="N57" s="177"/>
    </row>
    <row r="58" spans="1:14" ht="13" x14ac:dyDescent="0.3">
      <c r="A58" s="171">
        <f t="shared" si="0"/>
        <v>37</v>
      </c>
      <c r="B58" s="187"/>
      <c r="C58" s="51" t="s">
        <v>91</v>
      </c>
      <c r="D58" s="51"/>
      <c r="H58" s="267" t="s">
        <v>472</v>
      </c>
      <c r="J58" s="184">
        <v>0</v>
      </c>
      <c r="L58" s="173"/>
      <c r="N58" s="177"/>
    </row>
    <row r="59" spans="1:14" ht="13" x14ac:dyDescent="0.3">
      <c r="A59" s="171">
        <f t="shared" si="0"/>
        <v>38</v>
      </c>
      <c r="B59" s="187"/>
      <c r="C59" s="176" t="s">
        <v>92</v>
      </c>
      <c r="H59" s="267" t="str">
        <f>"Sum Line "&amp;A48&amp;" to Line "&amp;A58&amp;""</f>
        <v>Sum Line 27 to Line 37</v>
      </c>
      <c r="J59" s="175">
        <f>SUM(J48:J58)</f>
        <v>1025293843.6682687</v>
      </c>
      <c r="L59" s="173"/>
      <c r="N59" s="177"/>
    </row>
    <row r="60" spans="1:14" ht="13" x14ac:dyDescent="0.3">
      <c r="A60" s="171"/>
      <c r="B60" s="187"/>
      <c r="J60" s="177"/>
      <c r="L60" s="173"/>
      <c r="N60" s="177"/>
    </row>
    <row r="61" spans="1:14" ht="12.75" customHeight="1" x14ac:dyDescent="0.3">
      <c r="A61" s="171">
        <f>A59+1</f>
        <v>39</v>
      </c>
      <c r="B61" s="187"/>
      <c r="C61" s="176" t="s">
        <v>93</v>
      </c>
      <c r="H61" s="267" t="s">
        <v>484</v>
      </c>
      <c r="J61" s="177">
        <v>25263750.677767433</v>
      </c>
      <c r="L61" s="173"/>
      <c r="N61" s="177"/>
    </row>
    <row r="62" spans="1:14" ht="12.75" customHeight="1" x14ac:dyDescent="0.3">
      <c r="A62" s="171" t="s">
        <v>148</v>
      </c>
      <c r="B62" s="176"/>
      <c r="C62" s="176" t="s">
        <v>149</v>
      </c>
      <c r="D62" s="176"/>
      <c r="E62" s="176"/>
      <c r="F62" s="176"/>
      <c r="G62" s="176"/>
      <c r="H62" s="176" t="s">
        <v>150</v>
      </c>
      <c r="I62" s="176"/>
      <c r="J62" s="194">
        <f>-J61</f>
        <v>-25263750.677767433</v>
      </c>
      <c r="L62" s="173"/>
      <c r="N62" s="177"/>
    </row>
    <row r="63" spans="1:14" ht="13" x14ac:dyDescent="0.3">
      <c r="A63" s="171"/>
      <c r="B63" s="187"/>
      <c r="C63" s="176"/>
      <c r="J63" s="177"/>
      <c r="L63" s="173"/>
      <c r="N63" s="177"/>
    </row>
    <row r="64" spans="1:14" ht="13" x14ac:dyDescent="0.3">
      <c r="A64" s="171">
        <f>A61+1</f>
        <v>40</v>
      </c>
      <c r="B64" s="187"/>
      <c r="C64" s="176" t="s">
        <v>94</v>
      </c>
      <c r="H64" s="176" t="s">
        <v>151</v>
      </c>
      <c r="J64" s="175">
        <f>J59+J61+J62</f>
        <v>1025293843.6682687</v>
      </c>
      <c r="L64" s="173"/>
      <c r="N64" s="177"/>
    </row>
    <row r="65" spans="1:15" ht="13" x14ac:dyDescent="0.3">
      <c r="A65" s="171"/>
      <c r="B65" s="187"/>
      <c r="C65" s="176"/>
      <c r="J65" s="177"/>
    </row>
    <row r="66" spans="1:15" ht="13" x14ac:dyDescent="0.3">
      <c r="A66" s="171"/>
      <c r="B66" s="212" t="s">
        <v>95</v>
      </c>
      <c r="C66" s="176"/>
      <c r="J66" s="177"/>
      <c r="N66" s="171"/>
    </row>
    <row r="67" spans="1:15" ht="13.5" thickBot="1" x14ac:dyDescent="0.35">
      <c r="A67" s="172" t="s">
        <v>39</v>
      </c>
      <c r="B67" s="216"/>
      <c r="G67" s="195" t="s">
        <v>96</v>
      </c>
      <c r="N67" s="173"/>
    </row>
    <row r="68" spans="1:15" ht="13" x14ac:dyDescent="0.3">
      <c r="A68" s="171">
        <f>A64+1</f>
        <v>41</v>
      </c>
      <c r="B68" s="216"/>
      <c r="D68" s="182" t="s">
        <v>97</v>
      </c>
      <c r="E68" s="175">
        <f>J64</f>
        <v>1025293843.6682687</v>
      </c>
      <c r="G68" s="267" t="str">
        <f>"Line "&amp;A64&amp;""</f>
        <v>Line 40</v>
      </c>
      <c r="J68" s="53" t="s">
        <v>98</v>
      </c>
      <c r="L68" s="177"/>
      <c r="N68" s="177"/>
    </row>
    <row r="69" spans="1:15" ht="13" x14ac:dyDescent="0.3">
      <c r="A69" s="171">
        <f>A68+1</f>
        <v>42</v>
      </c>
      <c r="B69" s="216"/>
      <c r="D69" s="182" t="s">
        <v>99</v>
      </c>
      <c r="E69" s="218">
        <v>9.2480778683301894E-3</v>
      </c>
      <c r="G69" s="267" t="s">
        <v>485</v>
      </c>
      <c r="J69" s="55" t="s">
        <v>165</v>
      </c>
      <c r="L69" s="186"/>
      <c r="N69" s="186"/>
    </row>
    <row r="70" spans="1:15" ht="13" x14ac:dyDescent="0.3">
      <c r="A70" s="171">
        <f>A69+1</f>
        <v>43</v>
      </c>
      <c r="B70" s="216"/>
      <c r="D70" s="180" t="s">
        <v>100</v>
      </c>
      <c r="E70" s="175">
        <v>9481997.3041637093</v>
      </c>
      <c r="G70" s="267" t="str">
        <f>"Line "&amp;A68&amp;" * Line "&amp;A69&amp;""</f>
        <v>Line 41 * Line 42</v>
      </c>
      <c r="J70" s="56">
        <f>E73</f>
        <v>1036963825.8120178</v>
      </c>
      <c r="L70" s="177"/>
      <c r="N70" s="177"/>
    </row>
    <row r="71" spans="1:15" ht="38.5" customHeight="1" x14ac:dyDescent="0.3">
      <c r="A71" s="171">
        <f>A70+1</f>
        <v>44</v>
      </c>
      <c r="B71" s="216"/>
      <c r="D71" s="182" t="s">
        <v>101</v>
      </c>
      <c r="E71" s="218">
        <v>2.134007585335019E-3</v>
      </c>
      <c r="G71" s="267" t="s">
        <v>485</v>
      </c>
      <c r="J71" s="57">
        <v>1036990439.4089098</v>
      </c>
      <c r="K71" s="360" t="s">
        <v>395</v>
      </c>
      <c r="L71" s="361"/>
      <c r="M71" s="361"/>
      <c r="N71" s="186"/>
    </row>
    <row r="72" spans="1:15" ht="13.5" thickBot="1" x14ac:dyDescent="0.35">
      <c r="A72" s="171">
        <f>A71+1</f>
        <v>45</v>
      </c>
      <c r="B72" s="216"/>
      <c r="D72" s="182" t="s">
        <v>102</v>
      </c>
      <c r="E72" s="175">
        <v>2187984.8395853825</v>
      </c>
      <c r="G72" s="267" t="str">
        <f>"Line "&amp;A70&amp;" * Line "&amp;A71&amp;""</f>
        <v>Line 43 * Line 44</v>
      </c>
      <c r="J72" s="58">
        <f>J70-J71</f>
        <v>-26613.596891999245</v>
      </c>
      <c r="L72" s="177"/>
      <c r="N72" s="177"/>
    </row>
    <row r="73" spans="1:15" ht="13" x14ac:dyDescent="0.3">
      <c r="A73" s="171">
        <f>A72+1</f>
        <v>46</v>
      </c>
      <c r="B73" s="216"/>
      <c r="D73" s="182" t="s">
        <v>103</v>
      </c>
      <c r="E73" s="175">
        <f>E68+E70+E72</f>
        <v>1036963825.8120178</v>
      </c>
      <c r="G73" s="267" t="str">
        <f>"L "&amp;A68&amp;" + L "&amp;A70&amp;" + L "&amp;A72&amp;""</f>
        <v>L 41 + L 43 + L 45</v>
      </c>
      <c r="L73" s="177"/>
      <c r="N73" s="177"/>
    </row>
    <row r="74" spans="1:15" ht="13" customHeight="1" x14ac:dyDescent="0.3">
      <c r="B74" s="212" t="s">
        <v>104</v>
      </c>
      <c r="D74" s="180"/>
      <c r="E74" s="177"/>
      <c r="H74" s="59"/>
      <c r="L74" s="154">
        <f>315/365</f>
        <v>0.86301369863013699</v>
      </c>
      <c r="M74" s="362" t="s">
        <v>294</v>
      </c>
      <c r="N74" s="362"/>
    </row>
    <row r="75" spans="1:15" ht="13" customHeight="1" x14ac:dyDescent="0.3">
      <c r="A75" s="171"/>
      <c r="B75" s="176" t="s">
        <v>145</v>
      </c>
      <c r="C75" s="212"/>
      <c r="D75" s="180"/>
      <c r="E75" s="177"/>
      <c r="L75" s="48">
        <f>J72*L74</f>
        <v>-22967.898687615787</v>
      </c>
      <c r="M75" s="363" t="s">
        <v>408</v>
      </c>
      <c r="N75" s="363"/>
      <c r="O75" s="363"/>
    </row>
    <row r="76" spans="1:15" ht="13" customHeight="1" x14ac:dyDescent="0.3">
      <c r="A76" s="171"/>
      <c r="B76" s="176" t="s">
        <v>146</v>
      </c>
      <c r="C76" s="212"/>
      <c r="D76" s="180"/>
      <c r="E76" s="177"/>
      <c r="L76" s="144">
        <f>SUM(L75:L75)</f>
        <v>-22967.898687615787</v>
      </c>
      <c r="M76" s="141" t="s">
        <v>300</v>
      </c>
      <c r="N76" s="141"/>
    </row>
    <row r="77" spans="1:15" ht="13" x14ac:dyDescent="0.3">
      <c r="A77" s="171"/>
      <c r="B77" s="208" t="s">
        <v>105</v>
      </c>
      <c r="C77" s="176"/>
      <c r="D77" s="180"/>
      <c r="E77" s="177"/>
      <c r="L77" s="194"/>
      <c r="M77" s="176"/>
    </row>
    <row r="78" spans="1:15" ht="13" x14ac:dyDescent="0.3">
      <c r="A78" s="171"/>
      <c r="B78" s="208" t="s">
        <v>106</v>
      </c>
      <c r="D78" s="180"/>
      <c r="E78" s="177"/>
      <c r="L78" s="194"/>
      <c r="M78" s="176"/>
    </row>
    <row r="79" spans="1:15" ht="13" x14ac:dyDescent="0.3">
      <c r="A79" s="171"/>
      <c r="L79" s="184"/>
      <c r="M79" s="176"/>
    </row>
    <row r="80" spans="1:15" ht="13" x14ac:dyDescent="0.3">
      <c r="A80" s="171"/>
      <c r="B80" s="176" t="s">
        <v>107</v>
      </c>
      <c r="L80" s="177"/>
      <c r="M80" s="176"/>
    </row>
    <row r="81" spans="1:13" ht="13" x14ac:dyDescent="0.3">
      <c r="A81" s="171"/>
      <c r="B81" s="176"/>
      <c r="C81" s="176" t="s">
        <v>108</v>
      </c>
      <c r="L81" s="177"/>
      <c r="M81" s="176"/>
    </row>
    <row r="82" spans="1:13" ht="13" x14ac:dyDescent="0.3">
      <c r="A82" s="171"/>
      <c r="B82" s="176"/>
      <c r="J82" s="171" t="s">
        <v>109</v>
      </c>
      <c r="L82" s="177"/>
      <c r="M82" s="176"/>
    </row>
    <row r="83" spans="1:13" ht="13" x14ac:dyDescent="0.3">
      <c r="A83" s="171"/>
      <c r="E83" s="173" t="s">
        <v>110</v>
      </c>
      <c r="F83" s="195" t="s">
        <v>96</v>
      </c>
      <c r="G83" s="173" t="s">
        <v>111</v>
      </c>
      <c r="H83" s="173" t="s">
        <v>112</v>
      </c>
      <c r="J83" s="173" t="s">
        <v>113</v>
      </c>
      <c r="L83" s="184"/>
      <c r="M83" s="185"/>
    </row>
    <row r="84" spans="1:13" ht="13" x14ac:dyDescent="0.3">
      <c r="B84" s="205" t="s">
        <v>114</v>
      </c>
      <c r="C84" s="176" t="s">
        <v>115</v>
      </c>
      <c r="E84" s="219">
        <v>0.10299999999999999</v>
      </c>
      <c r="F84" s="176" t="s">
        <v>118</v>
      </c>
      <c r="G84" s="220">
        <v>43781</v>
      </c>
      <c r="H84" s="220">
        <v>43830</v>
      </c>
      <c r="I84" s="176"/>
      <c r="J84" s="209">
        <v>50</v>
      </c>
      <c r="K84" s="176"/>
      <c r="L84" s="177"/>
      <c r="M84" s="176"/>
    </row>
    <row r="85" spans="1:13" ht="13" x14ac:dyDescent="0.3">
      <c r="B85" s="205" t="s">
        <v>116</v>
      </c>
      <c r="C85" s="176" t="s">
        <v>117</v>
      </c>
      <c r="E85" s="219">
        <v>0.112</v>
      </c>
      <c r="F85" s="176" t="s">
        <v>147</v>
      </c>
      <c r="G85" s="220">
        <v>43466</v>
      </c>
      <c r="H85" s="220">
        <v>43780</v>
      </c>
      <c r="I85" s="176"/>
      <c r="J85" s="209">
        <v>315</v>
      </c>
      <c r="K85" s="176"/>
    </row>
    <row r="86" spans="1:13" ht="13" x14ac:dyDescent="0.3">
      <c r="B86" s="205" t="s">
        <v>119</v>
      </c>
      <c r="C86" s="176"/>
      <c r="E86" s="221"/>
      <c r="F86" s="176"/>
      <c r="G86" s="207"/>
      <c r="H86" s="207"/>
      <c r="I86" s="182" t="s">
        <v>120</v>
      </c>
      <c r="J86" s="206">
        <f>SUM(J84:J85)</f>
        <v>365</v>
      </c>
      <c r="K86" s="176"/>
    </row>
    <row r="87" spans="1:13" ht="13" x14ac:dyDescent="0.3">
      <c r="B87" s="205" t="s">
        <v>121</v>
      </c>
      <c r="C87" s="176" t="s">
        <v>122</v>
      </c>
      <c r="E87" s="222">
        <f>((E84*J84) + (E85* J85)) / J86</f>
        <v>0.11076712328767123</v>
      </c>
      <c r="F87" s="176" t="s">
        <v>123</v>
      </c>
      <c r="H87" s="176"/>
      <c r="I87" s="176"/>
      <c r="J87" s="176"/>
      <c r="K87" s="176"/>
    </row>
    <row r="88" spans="1:13" ht="13" x14ac:dyDescent="0.3">
      <c r="A88" s="171"/>
      <c r="B88" s="176"/>
      <c r="H88" s="176"/>
      <c r="I88" s="176"/>
      <c r="J88" s="176"/>
      <c r="K88" s="176"/>
      <c r="L88" s="176"/>
    </row>
    <row r="89" spans="1:13" ht="13" x14ac:dyDescent="0.3">
      <c r="A89" s="171"/>
      <c r="B89" s="176" t="s">
        <v>124</v>
      </c>
      <c r="H89" s="176"/>
      <c r="I89" s="176"/>
      <c r="J89" s="176"/>
      <c r="K89" s="176"/>
      <c r="L89" s="176"/>
    </row>
    <row r="90" spans="1:13" ht="13" x14ac:dyDescent="0.3">
      <c r="A90" s="171"/>
      <c r="B90" s="176"/>
      <c r="E90" s="195" t="s">
        <v>96</v>
      </c>
      <c r="H90" s="176"/>
      <c r="I90" s="176"/>
      <c r="J90" s="176"/>
      <c r="K90" s="176"/>
      <c r="L90" s="176"/>
    </row>
    <row r="91" spans="1:13" ht="13" x14ac:dyDescent="0.3">
      <c r="B91" s="205" t="s">
        <v>125</v>
      </c>
      <c r="C91" s="176" t="s">
        <v>126</v>
      </c>
      <c r="E91" s="223" t="s">
        <v>166</v>
      </c>
      <c r="F91" s="168"/>
      <c r="G91" s="168"/>
      <c r="H91" s="188"/>
      <c r="I91" s="188"/>
      <c r="J91" s="188"/>
      <c r="K91" s="176"/>
      <c r="L91" s="176"/>
    </row>
    <row r="92" spans="1:13" ht="13" x14ac:dyDescent="0.3">
      <c r="B92" s="205" t="s">
        <v>127</v>
      </c>
      <c r="C92" s="176" t="s">
        <v>128</v>
      </c>
      <c r="E92" s="223" t="s">
        <v>167</v>
      </c>
      <c r="F92" s="168"/>
      <c r="G92" s="168"/>
      <c r="H92" s="188"/>
      <c r="I92" s="188"/>
      <c r="J92" s="188"/>
      <c r="K92" s="176"/>
      <c r="L92" s="176"/>
    </row>
    <row r="93" spans="1:13" x14ac:dyDescent="0.25">
      <c r="C93" s="176"/>
      <c r="E93" s="207"/>
      <c r="I93" s="176"/>
      <c r="J93" s="176"/>
      <c r="K93" s="176"/>
      <c r="L93" s="176"/>
    </row>
    <row r="94" spans="1:13" ht="13" x14ac:dyDescent="0.3">
      <c r="E94" s="173" t="s">
        <v>110</v>
      </c>
      <c r="F94" s="195" t="s">
        <v>96</v>
      </c>
      <c r="H94" s="176"/>
      <c r="I94" s="176"/>
      <c r="L94" s="176"/>
    </row>
    <row r="95" spans="1:13" ht="13" x14ac:dyDescent="0.3">
      <c r="B95" s="205" t="s">
        <v>129</v>
      </c>
      <c r="C95" s="176" t="s">
        <v>130</v>
      </c>
      <c r="D95" s="176"/>
      <c r="E95" s="224">
        <v>2.1803914287979103E-2</v>
      </c>
      <c r="F95" s="267" t="s">
        <v>473</v>
      </c>
      <c r="H95" s="176"/>
      <c r="I95" s="176"/>
      <c r="L95" s="176"/>
    </row>
    <row r="96" spans="1:13" ht="13" x14ac:dyDescent="0.3">
      <c r="B96" s="205" t="s">
        <v>131</v>
      </c>
      <c r="C96" s="176" t="s">
        <v>132</v>
      </c>
      <c r="E96" s="224">
        <v>4.1703636316651844E-3</v>
      </c>
      <c r="F96" s="267" t="s">
        <v>474</v>
      </c>
      <c r="H96" s="176"/>
      <c r="I96" s="176"/>
      <c r="L96" s="176"/>
    </row>
    <row r="97" spans="1:12" ht="13" x14ac:dyDescent="0.3">
      <c r="B97" s="205" t="s">
        <v>133</v>
      </c>
      <c r="C97" s="176" t="s">
        <v>134</v>
      </c>
      <c r="E97" s="225">
        <v>4.975707553776932E-2</v>
      </c>
      <c r="F97" s="267" t="s">
        <v>475</v>
      </c>
      <c r="G97" s="176"/>
      <c r="H97" s="176"/>
      <c r="L97" s="176"/>
    </row>
    <row r="98" spans="1:12" ht="13" x14ac:dyDescent="0.3">
      <c r="B98" s="171" t="s">
        <v>135</v>
      </c>
      <c r="C98" s="183" t="s">
        <v>68</v>
      </c>
      <c r="E98" s="226">
        <f>SUM(E95:E97)</f>
        <v>7.5731353457413608E-2</v>
      </c>
      <c r="F98" s="177" t="str">
        <f>"Sum of Lines "&amp;B95&amp;" to "&amp;B97&amp;""</f>
        <v>Sum of Lines g to i</v>
      </c>
      <c r="G98" s="206"/>
      <c r="J98" s="227"/>
    </row>
    <row r="99" spans="1:12" ht="13" x14ac:dyDescent="0.3">
      <c r="A99" s="171"/>
      <c r="C99" s="68"/>
      <c r="D99" s="69"/>
      <c r="E99" s="177"/>
      <c r="F99" s="177"/>
      <c r="G99" s="206"/>
      <c r="H99" s="177"/>
      <c r="J99" s="227"/>
    </row>
    <row r="100" spans="1:12" ht="13" x14ac:dyDescent="0.3">
      <c r="A100" s="171"/>
      <c r="B100" s="176" t="s">
        <v>136</v>
      </c>
    </row>
    <row r="101" spans="1:12" ht="13" x14ac:dyDescent="0.3">
      <c r="A101" s="171"/>
    </row>
    <row r="102" spans="1:12" ht="13" x14ac:dyDescent="0.3">
      <c r="A102" s="171"/>
      <c r="E102" s="173" t="s">
        <v>110</v>
      </c>
      <c r="F102" s="195" t="s">
        <v>96</v>
      </c>
    </row>
    <row r="103" spans="1:12" ht="13" x14ac:dyDescent="0.3">
      <c r="B103" s="205" t="s">
        <v>137</v>
      </c>
      <c r="E103" s="224">
        <f>E96+E97</f>
        <v>5.3927439169434502E-2</v>
      </c>
      <c r="F103" s="177" t="str">
        <f>"Sum of Lines "&amp;B96&amp;" to "&amp;B97&amp;""</f>
        <v>Sum of Lines h to i</v>
      </c>
    </row>
    <row r="104" spans="1:12" ht="13" x14ac:dyDescent="0.3">
      <c r="A104" s="171"/>
      <c r="E104" s="186"/>
      <c r="F104" s="177"/>
    </row>
    <row r="105" spans="1:12" ht="13" x14ac:dyDescent="0.3">
      <c r="A105" s="171"/>
      <c r="B105" s="176" t="s">
        <v>152</v>
      </c>
      <c r="E105" s="206"/>
      <c r="F105" s="206"/>
      <c r="G105" s="206"/>
      <c r="H105" s="177"/>
    </row>
    <row r="106" spans="1:12" ht="13" x14ac:dyDescent="0.3">
      <c r="A106" s="171"/>
      <c r="B106" s="176" t="s">
        <v>153</v>
      </c>
    </row>
    <row r="107" spans="1:12" ht="13" x14ac:dyDescent="0.3">
      <c r="A107" s="171"/>
      <c r="B107" s="176" t="s">
        <v>154</v>
      </c>
      <c r="D107" s="171"/>
      <c r="E107" s="171"/>
      <c r="F107" s="171"/>
      <c r="G107" s="171"/>
      <c r="H107" s="171"/>
    </row>
    <row r="108" spans="1:12" ht="13" x14ac:dyDescent="0.3">
      <c r="A108" s="171"/>
      <c r="B108" s="208"/>
      <c r="D108" s="171"/>
      <c r="E108" s="171"/>
      <c r="F108" s="171"/>
      <c r="G108" s="171"/>
      <c r="H108" s="171"/>
    </row>
    <row r="109" spans="1:12" ht="13" x14ac:dyDescent="0.3">
      <c r="A109" s="171"/>
      <c r="C109" s="70"/>
      <c r="D109" s="70"/>
      <c r="E109" s="173"/>
      <c r="F109" s="173"/>
      <c r="G109" s="173"/>
      <c r="H109" s="173"/>
    </row>
    <row r="110" spans="1:12" ht="13" x14ac:dyDescent="0.3">
      <c r="A110" s="171"/>
    </row>
    <row r="111" spans="1:12" ht="13" x14ac:dyDescent="0.3">
      <c r="A111" s="171"/>
    </row>
    <row r="112" spans="1:12" ht="13" x14ac:dyDescent="0.3">
      <c r="A112" s="171"/>
    </row>
    <row r="113" spans="1:10" ht="13" x14ac:dyDescent="0.3">
      <c r="A113" s="171"/>
      <c r="C113" s="68"/>
      <c r="E113" s="177"/>
      <c r="F113" s="177"/>
      <c r="H113" s="177"/>
      <c r="J113" s="227"/>
    </row>
    <row r="114" spans="1:10" ht="13" x14ac:dyDescent="0.3">
      <c r="A114" s="171"/>
      <c r="C114" s="68"/>
      <c r="E114" s="177"/>
      <c r="F114" s="177"/>
      <c r="H114" s="177"/>
      <c r="J114" s="227"/>
    </row>
    <row r="115" spans="1:10" ht="13" x14ac:dyDescent="0.3">
      <c r="A115" s="172"/>
      <c r="C115" s="68"/>
      <c r="E115" s="177"/>
      <c r="F115" s="177"/>
      <c r="H115" s="177"/>
      <c r="J115" s="227"/>
    </row>
    <row r="116" spans="1:10" ht="13" x14ac:dyDescent="0.3">
      <c r="A116" s="171"/>
      <c r="D116" s="71"/>
      <c r="E116" s="177"/>
      <c r="F116" s="177"/>
      <c r="G116" s="176"/>
      <c r="H116" s="177"/>
      <c r="J116" s="227"/>
    </row>
    <row r="117" spans="1:10" ht="13" x14ac:dyDescent="0.3">
      <c r="A117" s="171"/>
      <c r="C117" s="68"/>
      <c r="D117" s="182"/>
      <c r="E117" s="184"/>
      <c r="F117" s="177"/>
      <c r="G117" s="176"/>
      <c r="H117" s="177"/>
      <c r="J117" s="227"/>
    </row>
    <row r="118" spans="1:10" ht="13" x14ac:dyDescent="0.3">
      <c r="A118" s="171"/>
      <c r="C118" s="68"/>
      <c r="D118" s="182"/>
      <c r="E118" s="177"/>
      <c r="F118" s="177"/>
      <c r="G118" s="176"/>
      <c r="H118" s="177"/>
      <c r="J118" s="227"/>
    </row>
    <row r="119" spans="1:10" ht="13" x14ac:dyDescent="0.3">
      <c r="A119" s="171"/>
    </row>
    <row r="120" spans="1:10" ht="13" x14ac:dyDescent="0.3">
      <c r="A120" s="171"/>
      <c r="B120" s="166"/>
    </row>
    <row r="121" spans="1:10" ht="13" x14ac:dyDescent="0.3">
      <c r="A121" s="171"/>
    </row>
    <row r="122" spans="1:10" ht="13" x14ac:dyDescent="0.3">
      <c r="A122" s="171"/>
    </row>
    <row r="123" spans="1:10" ht="13" x14ac:dyDescent="0.3">
      <c r="A123" s="171"/>
      <c r="F123" s="171"/>
    </row>
    <row r="124" spans="1:10" ht="13" x14ac:dyDescent="0.3">
      <c r="A124" s="171"/>
      <c r="F124" s="171"/>
    </row>
    <row r="125" spans="1:10" ht="13" x14ac:dyDescent="0.3">
      <c r="A125" s="171"/>
      <c r="D125" s="171"/>
      <c r="E125" s="171"/>
      <c r="F125" s="171"/>
      <c r="H125" s="171"/>
    </row>
    <row r="126" spans="1:10" ht="13" x14ac:dyDescent="0.3">
      <c r="A126" s="171"/>
      <c r="D126" s="171"/>
      <c r="E126" s="171"/>
      <c r="F126" s="171"/>
      <c r="G126" s="171"/>
      <c r="H126" s="205"/>
    </row>
    <row r="127" spans="1:10" ht="13" x14ac:dyDescent="0.3">
      <c r="A127" s="172"/>
      <c r="C127" s="70"/>
      <c r="D127" s="70"/>
      <c r="E127" s="173"/>
      <c r="F127" s="170"/>
      <c r="G127" s="173"/>
      <c r="H127" s="205"/>
    </row>
    <row r="128" spans="1:10" ht="13" x14ac:dyDescent="0.3">
      <c r="A128" s="171"/>
      <c r="C128" s="68"/>
      <c r="D128" s="69"/>
      <c r="E128" s="177"/>
      <c r="F128" s="177"/>
      <c r="G128" s="222"/>
      <c r="H128" s="177"/>
    </row>
    <row r="129" spans="1:8" ht="13" x14ac:dyDescent="0.3">
      <c r="A129" s="171"/>
      <c r="C129" s="68"/>
      <c r="D129" s="69"/>
      <c r="E129" s="177"/>
      <c r="F129" s="177"/>
      <c r="G129" s="222"/>
      <c r="H129" s="177"/>
    </row>
    <row r="130" spans="1:8" ht="13" x14ac:dyDescent="0.3">
      <c r="A130" s="171"/>
      <c r="C130" s="68"/>
      <c r="D130" s="69"/>
      <c r="E130" s="177"/>
      <c r="F130" s="177"/>
      <c r="G130" s="222"/>
      <c r="H130" s="177"/>
    </row>
    <row r="131" spans="1:8" ht="13" x14ac:dyDescent="0.3">
      <c r="A131" s="171"/>
      <c r="C131" s="68"/>
      <c r="D131" s="69"/>
      <c r="E131" s="177"/>
      <c r="F131" s="177"/>
      <c r="G131" s="222"/>
      <c r="H131" s="177"/>
    </row>
    <row r="132" spans="1:8" ht="13" x14ac:dyDescent="0.3">
      <c r="A132" s="171"/>
      <c r="C132" s="68"/>
      <c r="D132" s="69"/>
      <c r="E132" s="177"/>
      <c r="F132" s="177"/>
      <c r="G132" s="222"/>
      <c r="H132" s="177"/>
    </row>
    <row r="133" spans="1:8" ht="13" x14ac:dyDescent="0.3">
      <c r="A133" s="171"/>
      <c r="C133" s="68"/>
      <c r="D133" s="69"/>
      <c r="E133" s="177"/>
      <c r="F133" s="177"/>
      <c r="G133" s="222"/>
      <c r="H133" s="177"/>
    </row>
    <row r="134" spans="1:8" ht="13" x14ac:dyDescent="0.3">
      <c r="A134" s="171"/>
      <c r="C134" s="68"/>
      <c r="D134" s="69"/>
      <c r="E134" s="177"/>
      <c r="F134" s="177"/>
      <c r="G134" s="222"/>
      <c r="H134" s="177"/>
    </row>
    <row r="135" spans="1:8" ht="13" x14ac:dyDescent="0.3">
      <c r="A135" s="171"/>
      <c r="C135" s="68"/>
      <c r="D135" s="69"/>
      <c r="E135" s="177"/>
      <c r="F135" s="177"/>
      <c r="G135" s="222"/>
      <c r="H135" s="177"/>
    </row>
    <row r="136" spans="1:8" ht="13" x14ac:dyDescent="0.3">
      <c r="A136" s="171"/>
      <c r="C136" s="68"/>
      <c r="D136" s="69"/>
      <c r="E136" s="177"/>
      <c r="F136" s="177"/>
      <c r="G136" s="222"/>
      <c r="H136" s="177"/>
    </row>
    <row r="137" spans="1:8" ht="13" x14ac:dyDescent="0.3">
      <c r="A137" s="171"/>
      <c r="C137" s="68"/>
      <c r="D137" s="69"/>
      <c r="E137" s="177"/>
      <c r="F137" s="177"/>
      <c r="G137" s="222"/>
      <c r="H137" s="177"/>
    </row>
    <row r="138" spans="1:8" ht="13" x14ac:dyDescent="0.3">
      <c r="A138" s="171"/>
      <c r="C138" s="68"/>
      <c r="D138" s="69"/>
      <c r="E138" s="177"/>
      <c r="F138" s="177"/>
      <c r="G138" s="222"/>
      <c r="H138" s="177"/>
    </row>
    <row r="139" spans="1:8" ht="13" x14ac:dyDescent="0.3">
      <c r="A139" s="171"/>
      <c r="C139" s="68"/>
      <c r="D139" s="69"/>
      <c r="E139" s="177"/>
      <c r="F139" s="177"/>
      <c r="G139" s="222"/>
      <c r="H139" s="184"/>
    </row>
    <row r="140" spans="1:8" ht="13" x14ac:dyDescent="0.3">
      <c r="A140" s="171"/>
      <c r="H140" s="177"/>
    </row>
    <row r="141" spans="1:8" ht="13" x14ac:dyDescent="0.3">
      <c r="A141" s="171"/>
      <c r="C141" s="68"/>
      <c r="D141" s="69"/>
      <c r="F141" s="228"/>
      <c r="G141" s="222"/>
      <c r="H141" s="228"/>
    </row>
    <row r="142" spans="1:8" ht="13" x14ac:dyDescent="0.3">
      <c r="A142" s="171"/>
      <c r="B142" s="166"/>
      <c r="C142" s="68"/>
      <c r="D142" s="69"/>
      <c r="F142" s="228"/>
      <c r="G142" s="222"/>
      <c r="H142" s="228"/>
    </row>
    <row r="143" spans="1:8" ht="13" x14ac:dyDescent="0.3">
      <c r="A143" s="172"/>
      <c r="B143" s="166"/>
      <c r="C143" s="68"/>
      <c r="D143" s="69"/>
      <c r="F143" s="228"/>
      <c r="G143" s="222"/>
      <c r="H143" s="228"/>
    </row>
    <row r="144" spans="1:8" ht="13" x14ac:dyDescent="0.3">
      <c r="A144" s="171"/>
      <c r="C144" s="68"/>
      <c r="D144" s="74"/>
      <c r="E144" s="177"/>
      <c r="F144" s="229"/>
      <c r="G144" s="222"/>
      <c r="H144" s="228"/>
    </row>
    <row r="145" spans="1:8" ht="13" x14ac:dyDescent="0.3">
      <c r="A145" s="171"/>
      <c r="C145" s="68"/>
      <c r="D145" s="180"/>
      <c r="E145" s="177"/>
      <c r="F145" s="229"/>
      <c r="G145" s="222"/>
      <c r="H145" s="228"/>
    </row>
    <row r="146" spans="1:8" ht="13" x14ac:dyDescent="0.3">
      <c r="A146" s="171"/>
      <c r="C146" s="68"/>
      <c r="D146" s="180"/>
      <c r="E146" s="184"/>
      <c r="F146" s="229"/>
      <c r="G146" s="222"/>
      <c r="H146" s="228"/>
    </row>
    <row r="147" spans="1:8" ht="13" x14ac:dyDescent="0.3">
      <c r="A147" s="171"/>
      <c r="C147" s="68"/>
      <c r="D147" s="74"/>
      <c r="E147" s="177"/>
      <c r="F147" s="228"/>
      <c r="G147" s="222"/>
      <c r="H147" s="228"/>
    </row>
    <row r="148" spans="1:8" ht="13" x14ac:dyDescent="0.3">
      <c r="A148" s="171"/>
      <c r="C148" s="68"/>
      <c r="D148" s="69"/>
      <c r="F148" s="228"/>
      <c r="G148" s="222"/>
      <c r="H148" s="228"/>
    </row>
    <row r="149" spans="1:8" ht="13" x14ac:dyDescent="0.3">
      <c r="A149" s="171"/>
    </row>
    <row r="150" spans="1:8" ht="13" x14ac:dyDescent="0.3">
      <c r="A150" s="171"/>
    </row>
    <row r="151" spans="1:8" ht="13" x14ac:dyDescent="0.3">
      <c r="A151" s="171"/>
    </row>
    <row r="152" spans="1:8" ht="13" x14ac:dyDescent="0.3">
      <c r="A152" s="171"/>
      <c r="B152" s="166"/>
    </row>
    <row r="153" spans="1:8" ht="13" x14ac:dyDescent="0.3">
      <c r="A153" s="171"/>
      <c r="B153" s="176"/>
    </row>
    <row r="154" spans="1:8" ht="13" x14ac:dyDescent="0.3">
      <c r="A154" s="171"/>
      <c r="B154" s="176"/>
    </row>
    <row r="155" spans="1:8" ht="13" x14ac:dyDescent="0.3">
      <c r="A155" s="171"/>
      <c r="B155" s="176"/>
    </row>
    <row r="156" spans="1:8" ht="13" x14ac:dyDescent="0.3">
      <c r="A156" s="171"/>
    </row>
    <row r="157" spans="1:8" ht="13" x14ac:dyDescent="0.3">
      <c r="A157" s="171"/>
      <c r="B157" s="166"/>
    </row>
    <row r="158" spans="1:8" ht="13" x14ac:dyDescent="0.3">
      <c r="A158" s="171"/>
    </row>
    <row r="159" spans="1:8" ht="13" x14ac:dyDescent="0.3">
      <c r="A159" s="172"/>
      <c r="C159" s="70"/>
      <c r="D159" s="173"/>
    </row>
    <row r="160" spans="1:8" ht="13" x14ac:dyDescent="0.3">
      <c r="A160" s="171"/>
      <c r="C160" s="68"/>
      <c r="D160" s="230"/>
      <c r="F160" s="186"/>
    </row>
    <row r="161" spans="1:6" ht="13" x14ac:dyDescent="0.3">
      <c r="A161" s="171"/>
      <c r="C161" s="68"/>
      <c r="D161" s="230"/>
      <c r="F161" s="186"/>
    </row>
    <row r="162" spans="1:6" ht="13" x14ac:dyDescent="0.3">
      <c r="A162" s="171"/>
      <c r="C162" s="68"/>
      <c r="D162" s="230"/>
      <c r="F162" s="186"/>
    </row>
    <row r="163" spans="1:6" ht="13" x14ac:dyDescent="0.3">
      <c r="A163" s="171"/>
      <c r="C163" s="68"/>
      <c r="D163" s="230"/>
      <c r="F163" s="186"/>
    </row>
    <row r="164" spans="1:6" ht="13" x14ac:dyDescent="0.3">
      <c r="A164" s="171"/>
      <c r="C164" s="68"/>
      <c r="D164" s="230"/>
      <c r="F164" s="186"/>
    </row>
    <row r="165" spans="1:6" ht="13" x14ac:dyDescent="0.3">
      <c r="A165" s="171"/>
      <c r="C165" s="68"/>
      <c r="D165" s="230"/>
      <c r="F165" s="186"/>
    </row>
    <row r="166" spans="1:6" ht="13" x14ac:dyDescent="0.3">
      <c r="A166" s="171"/>
      <c r="C166" s="68"/>
      <c r="D166" s="230"/>
      <c r="F166" s="186"/>
    </row>
    <row r="167" spans="1:6" ht="13" x14ac:dyDescent="0.3">
      <c r="A167" s="171"/>
      <c r="C167" s="68"/>
      <c r="D167" s="230"/>
      <c r="F167" s="186"/>
    </row>
    <row r="168" spans="1:6" ht="13" x14ac:dyDescent="0.3">
      <c r="A168" s="171"/>
      <c r="C168" s="68"/>
      <c r="D168" s="230"/>
      <c r="F168" s="186"/>
    </row>
    <row r="169" spans="1:6" ht="13" x14ac:dyDescent="0.3">
      <c r="A169" s="171"/>
      <c r="C169" s="68"/>
      <c r="D169" s="230"/>
      <c r="F169" s="186"/>
    </row>
    <row r="170" spans="1:6" ht="13" x14ac:dyDescent="0.3">
      <c r="A170" s="171"/>
      <c r="C170" s="68"/>
      <c r="D170" s="230"/>
      <c r="F170" s="186"/>
    </row>
    <row r="171" spans="1:6" ht="13" x14ac:dyDescent="0.3">
      <c r="A171" s="171"/>
      <c r="C171" s="68"/>
      <c r="D171" s="231"/>
      <c r="F171" s="185"/>
    </row>
    <row r="172" spans="1:6" ht="13" x14ac:dyDescent="0.3">
      <c r="A172" s="171"/>
      <c r="C172" s="71"/>
      <c r="D172" s="230"/>
    </row>
  </sheetData>
  <mergeCells count="3">
    <mergeCell ref="K71:M71"/>
    <mergeCell ref="M74:N74"/>
    <mergeCell ref="M75:O75"/>
  </mergeCells>
  <pageMargins left="0.75" right="0.75" top="1" bottom="1" header="0.5" footer="0.5"/>
  <pageSetup scale="67" orientation="landscape" cellComments="asDisplayed" r:id="rId1"/>
  <headerFooter alignWithMargins="0">
    <oddHeader>&amp;CSchedule 4
True Up TRR
(Revised 2019 
TO2018 True Up TRR)&amp;RTO2024 Draft Annual Update
Attachment 4
WP-Schedule 3-One Time Adj Prior Period
Page &amp;P of &amp;N</oddHeader>
    <oddFooter>&amp;R&amp;A</oddFooter>
  </headerFooter>
  <rowBreaks count="4" manualBreakCount="4">
    <brk id="45" max="14" man="1"/>
    <brk id="73" max="16383" man="1"/>
    <brk id="119" max="9" man="1"/>
    <brk id="15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B3323-121C-4D8C-A0A4-62E4E4F8D881}">
  <sheetPr>
    <tabColor rgb="FF99CCFF"/>
  </sheetPr>
  <dimension ref="A1:X105"/>
  <sheetViews>
    <sheetView topLeftCell="A22" zoomScaleNormal="100" workbookViewId="0"/>
  </sheetViews>
  <sheetFormatPr defaultRowHeight="12.5" x14ac:dyDescent="0.25"/>
  <cols>
    <col min="1" max="1" width="4.54296875" style="33" customWidth="1"/>
    <col min="2" max="2" width="2.54296875" style="33" customWidth="1"/>
    <col min="3" max="3" width="8.54296875" style="33" customWidth="1"/>
    <col min="4" max="4" width="32.54296875" style="33" customWidth="1"/>
    <col min="5" max="5" width="14.54296875" style="33" customWidth="1"/>
    <col min="6" max="6" width="15.54296875" style="33" customWidth="1"/>
    <col min="7" max="8" width="14.54296875" style="33" customWidth="1"/>
    <col min="9" max="9" width="20" style="33" customWidth="1"/>
    <col min="10" max="10" width="15.54296875" style="33" customWidth="1"/>
    <col min="11" max="11" width="11" style="33" bestFit="1" customWidth="1"/>
    <col min="12" max="16384" width="8.7265625" style="33"/>
  </cols>
  <sheetData>
    <row r="1" spans="1:24" ht="13" x14ac:dyDescent="0.3">
      <c r="A1" s="32" t="s">
        <v>170</v>
      </c>
      <c r="F1" s="123" t="s">
        <v>171</v>
      </c>
      <c r="G1" s="62"/>
      <c r="H1" s="66"/>
      <c r="I1" s="66"/>
    </row>
    <row r="2" spans="1:24" ht="13" x14ac:dyDescent="0.3">
      <c r="E2" s="72" t="s">
        <v>172</v>
      </c>
      <c r="F2" s="72" t="s">
        <v>173</v>
      </c>
      <c r="G2" s="72" t="s">
        <v>174</v>
      </c>
      <c r="H2" s="72" t="s">
        <v>175</v>
      </c>
      <c r="I2" s="66"/>
    </row>
    <row r="3" spans="1:24" x14ac:dyDescent="0.25">
      <c r="G3" s="66" t="s">
        <v>176</v>
      </c>
    </row>
    <row r="4" spans="1:24" ht="13" x14ac:dyDescent="0.3">
      <c r="E4" s="36" t="s">
        <v>177</v>
      </c>
      <c r="F4" s="116" t="s">
        <v>178</v>
      </c>
      <c r="G4" s="36" t="s">
        <v>179</v>
      </c>
      <c r="I4" s="36"/>
    </row>
    <row r="5" spans="1:24" ht="13" x14ac:dyDescent="0.3">
      <c r="A5" s="37" t="s">
        <v>39</v>
      </c>
      <c r="B5" s="40"/>
      <c r="C5" s="40" t="s">
        <v>180</v>
      </c>
      <c r="D5" s="40" t="s">
        <v>31</v>
      </c>
      <c r="E5" s="40" t="s">
        <v>32</v>
      </c>
      <c r="F5" s="70" t="s">
        <v>33</v>
      </c>
      <c r="G5" s="40" t="s">
        <v>181</v>
      </c>
      <c r="H5" s="40" t="s">
        <v>82</v>
      </c>
      <c r="I5" s="40" t="s">
        <v>42</v>
      </c>
      <c r="K5" s="40"/>
      <c r="L5" s="40"/>
      <c r="M5" s="40"/>
      <c r="N5" s="40"/>
      <c r="O5" s="40"/>
      <c r="P5" s="40"/>
      <c r="Q5" s="40"/>
      <c r="R5" s="40"/>
      <c r="S5" s="40"/>
      <c r="T5" s="40"/>
      <c r="U5" s="40"/>
      <c r="V5" s="40"/>
      <c r="W5" s="40"/>
      <c r="X5" s="40"/>
    </row>
    <row r="6" spans="1:24" ht="13" x14ac:dyDescent="0.3">
      <c r="A6" s="36">
        <v>1</v>
      </c>
      <c r="C6" s="66">
        <v>920</v>
      </c>
      <c r="D6" s="33" t="s">
        <v>182</v>
      </c>
      <c r="E6" s="124">
        <v>413850310</v>
      </c>
      <c r="F6" s="66" t="s">
        <v>183</v>
      </c>
      <c r="G6" s="42">
        <f>D37</f>
        <v>126252220.2528477</v>
      </c>
      <c r="H6" s="42">
        <f t="shared" ref="H6:H19" si="0">E6-G6</f>
        <v>287598089.74715233</v>
      </c>
    </row>
    <row r="7" spans="1:24" ht="13" x14ac:dyDescent="0.3">
      <c r="A7" s="36">
        <f>A6+1</f>
        <v>2</v>
      </c>
      <c r="C7" s="66">
        <v>921</v>
      </c>
      <c r="D7" s="33" t="s">
        <v>184</v>
      </c>
      <c r="E7" s="124">
        <v>250234425</v>
      </c>
      <c r="F7" s="66" t="s">
        <v>185</v>
      </c>
      <c r="G7" s="42">
        <f t="shared" ref="G7:G19" si="1">D38</f>
        <v>2352483.834740696</v>
      </c>
      <c r="H7" s="42">
        <f t="shared" si="0"/>
        <v>247881941.1652593</v>
      </c>
    </row>
    <row r="8" spans="1:24" ht="13" x14ac:dyDescent="0.3">
      <c r="A8" s="36">
        <f>A7+1</f>
        <v>3</v>
      </c>
      <c r="C8" s="66">
        <v>922</v>
      </c>
      <c r="D8" s="33" t="s">
        <v>186</v>
      </c>
      <c r="E8" s="124">
        <v>-225318190</v>
      </c>
      <c r="F8" s="66" t="s">
        <v>187</v>
      </c>
      <c r="G8" s="42">
        <f t="shared" si="1"/>
        <v>-77722052.712449998</v>
      </c>
      <c r="H8" s="42">
        <f>E8-G8</f>
        <v>-147596137.28755</v>
      </c>
      <c r="I8" s="38" t="s">
        <v>188</v>
      </c>
    </row>
    <row r="9" spans="1:24" ht="13" x14ac:dyDescent="0.3">
      <c r="A9" s="36">
        <f t="shared" ref="A9:A20" si="2">A8+1</f>
        <v>4</v>
      </c>
      <c r="B9" s="36"/>
      <c r="C9" s="66">
        <v>923</v>
      </c>
      <c r="D9" s="33" t="s">
        <v>189</v>
      </c>
      <c r="E9" s="124">
        <v>59887693</v>
      </c>
      <c r="F9" s="66" t="s">
        <v>190</v>
      </c>
      <c r="G9" s="45">
        <f t="shared" si="1"/>
        <v>9399151.0778677836</v>
      </c>
      <c r="H9" s="45">
        <f t="shared" si="0"/>
        <v>50488541.922132216</v>
      </c>
    </row>
    <row r="10" spans="1:24" ht="13" x14ac:dyDescent="0.3">
      <c r="A10" s="36">
        <f t="shared" si="2"/>
        <v>5</v>
      </c>
      <c r="B10" s="36"/>
      <c r="C10" s="66">
        <v>924</v>
      </c>
      <c r="D10" s="33" t="s">
        <v>191</v>
      </c>
      <c r="E10" s="124">
        <v>15607270</v>
      </c>
      <c r="F10" s="66" t="s">
        <v>192</v>
      </c>
      <c r="G10" s="42">
        <f t="shared" si="1"/>
        <v>0</v>
      </c>
      <c r="H10" s="42">
        <f t="shared" si="0"/>
        <v>15607270</v>
      </c>
    </row>
    <row r="11" spans="1:24" ht="13" x14ac:dyDescent="0.3">
      <c r="A11" s="36">
        <f t="shared" si="2"/>
        <v>6</v>
      </c>
      <c r="B11" s="36"/>
      <c r="C11" s="66">
        <v>925</v>
      </c>
      <c r="D11" s="33" t="s">
        <v>193</v>
      </c>
      <c r="E11" s="124">
        <v>902073996</v>
      </c>
      <c r="F11" s="66" t="s">
        <v>194</v>
      </c>
      <c r="G11" s="42">
        <f t="shared" si="1"/>
        <v>154247327.52000001</v>
      </c>
      <c r="H11" s="42">
        <f t="shared" si="0"/>
        <v>747826668.48000002</v>
      </c>
    </row>
    <row r="12" spans="1:24" ht="13" x14ac:dyDescent="0.3">
      <c r="A12" s="36">
        <f t="shared" si="2"/>
        <v>7</v>
      </c>
      <c r="B12" s="36"/>
      <c r="C12" s="66">
        <v>926</v>
      </c>
      <c r="D12" s="33" t="s">
        <v>195</v>
      </c>
      <c r="E12" s="124">
        <v>82906034</v>
      </c>
      <c r="F12" s="66" t="s">
        <v>196</v>
      </c>
      <c r="G12" s="42">
        <f t="shared" si="1"/>
        <v>4180354.9770550355</v>
      </c>
      <c r="H12" s="42">
        <f t="shared" si="0"/>
        <v>78725679.022944957</v>
      </c>
    </row>
    <row r="13" spans="1:24" ht="13" x14ac:dyDescent="0.3">
      <c r="A13" s="36">
        <f t="shared" si="2"/>
        <v>8</v>
      </c>
      <c r="B13" s="36"/>
      <c r="C13" s="66">
        <v>927</v>
      </c>
      <c r="D13" s="33" t="s">
        <v>197</v>
      </c>
      <c r="E13" s="124">
        <v>104335318</v>
      </c>
      <c r="F13" s="66" t="s">
        <v>198</v>
      </c>
      <c r="G13" s="42">
        <f t="shared" si="1"/>
        <v>104335318</v>
      </c>
      <c r="H13" s="42">
        <f t="shared" si="0"/>
        <v>0</v>
      </c>
    </row>
    <row r="14" spans="1:24" ht="13" x14ac:dyDescent="0.3">
      <c r="A14" s="36">
        <f t="shared" si="2"/>
        <v>9</v>
      </c>
      <c r="B14" s="36"/>
      <c r="C14" s="66">
        <v>928</v>
      </c>
      <c r="D14" s="33" t="s">
        <v>199</v>
      </c>
      <c r="E14" s="124">
        <v>11713250</v>
      </c>
      <c r="F14" s="66" t="s">
        <v>200</v>
      </c>
      <c r="G14" s="42">
        <f t="shared" si="1"/>
        <v>9979027.6099999994</v>
      </c>
      <c r="H14" s="42">
        <f t="shared" si="0"/>
        <v>1734222.3900000006</v>
      </c>
    </row>
    <row r="15" spans="1:24" ht="13" x14ac:dyDescent="0.3">
      <c r="A15" s="36">
        <f t="shared" si="2"/>
        <v>10</v>
      </c>
      <c r="B15" s="36"/>
      <c r="C15" s="66">
        <v>929</v>
      </c>
      <c r="D15" s="33" t="s">
        <v>201</v>
      </c>
      <c r="E15" s="124">
        <v>0</v>
      </c>
      <c r="F15" s="66" t="s">
        <v>202</v>
      </c>
      <c r="G15" s="42">
        <f t="shared" si="1"/>
        <v>0</v>
      </c>
      <c r="H15" s="42">
        <f t="shared" si="0"/>
        <v>0</v>
      </c>
    </row>
    <row r="16" spans="1:24" ht="13" x14ac:dyDescent="0.3">
      <c r="A16" s="36">
        <f t="shared" si="2"/>
        <v>11</v>
      </c>
      <c r="B16" s="36"/>
      <c r="C16" s="66">
        <v>930.1</v>
      </c>
      <c r="D16" s="33" t="s">
        <v>203</v>
      </c>
      <c r="E16" s="124">
        <v>11245961</v>
      </c>
      <c r="F16" s="66" t="s">
        <v>204</v>
      </c>
      <c r="G16" s="42">
        <f t="shared" si="1"/>
        <v>0</v>
      </c>
      <c r="H16" s="42">
        <f t="shared" si="0"/>
        <v>11245961</v>
      </c>
    </row>
    <row r="17" spans="1:8" ht="13" x14ac:dyDescent="0.3">
      <c r="A17" s="36">
        <f t="shared" si="2"/>
        <v>12</v>
      </c>
      <c r="B17" s="36"/>
      <c r="C17" s="66">
        <v>930.2</v>
      </c>
      <c r="D17" s="33" t="s">
        <v>205</v>
      </c>
      <c r="E17" s="124">
        <v>14071912</v>
      </c>
      <c r="F17" s="66" t="s">
        <v>206</v>
      </c>
      <c r="G17" s="42">
        <f t="shared" si="1"/>
        <v>5999239.1899999976</v>
      </c>
      <c r="H17" s="42">
        <f t="shared" si="0"/>
        <v>8072672.8100000024</v>
      </c>
    </row>
    <row r="18" spans="1:8" ht="13" x14ac:dyDescent="0.3">
      <c r="A18" s="36">
        <f t="shared" si="2"/>
        <v>13</v>
      </c>
      <c r="B18" s="36"/>
      <c r="C18" s="66">
        <v>931</v>
      </c>
      <c r="D18" s="33" t="s">
        <v>207</v>
      </c>
      <c r="E18" s="124">
        <v>8581490</v>
      </c>
      <c r="F18" s="66" t="s">
        <v>208</v>
      </c>
      <c r="G18" s="42">
        <f t="shared" si="1"/>
        <v>12016812.699999999</v>
      </c>
      <c r="H18" s="42">
        <f t="shared" si="0"/>
        <v>-3435322.6999999993</v>
      </c>
    </row>
    <row r="19" spans="1:8" ht="13" x14ac:dyDescent="0.3">
      <c r="A19" s="36">
        <f t="shared" si="2"/>
        <v>14</v>
      </c>
      <c r="B19" s="36"/>
      <c r="C19" s="66">
        <v>935</v>
      </c>
      <c r="D19" s="33" t="s">
        <v>209</v>
      </c>
      <c r="E19" s="125">
        <v>26158179</v>
      </c>
      <c r="F19" s="66" t="s">
        <v>210</v>
      </c>
      <c r="G19" s="42">
        <f t="shared" si="1"/>
        <v>769627.75</v>
      </c>
      <c r="H19" s="48">
        <f t="shared" si="0"/>
        <v>25388551.25</v>
      </c>
    </row>
    <row r="20" spans="1:8" ht="13" x14ac:dyDescent="0.3">
      <c r="A20" s="36">
        <f t="shared" si="2"/>
        <v>15</v>
      </c>
      <c r="E20" s="42">
        <f>SUM(E6:E19)</f>
        <v>1675347648</v>
      </c>
      <c r="G20" s="52" t="s">
        <v>211</v>
      </c>
      <c r="H20" s="45">
        <f>SUM(H6:H19)</f>
        <v>1323538137.7999387</v>
      </c>
    </row>
    <row r="22" spans="1:8" ht="13" x14ac:dyDescent="0.3">
      <c r="F22" s="40" t="s">
        <v>32</v>
      </c>
      <c r="G22" s="40" t="s">
        <v>33</v>
      </c>
    </row>
    <row r="23" spans="1:8" ht="13" x14ac:dyDescent="0.3">
      <c r="A23" s="36">
        <f>A20+1</f>
        <v>16</v>
      </c>
      <c r="E23" s="52" t="s">
        <v>212</v>
      </c>
      <c r="F23" s="45">
        <f>H20</f>
        <v>1323538137.7999387</v>
      </c>
      <c r="G23" s="38" t="str">
        <f>"Line "&amp;A20&amp;""</f>
        <v>Line 15</v>
      </c>
    </row>
    <row r="24" spans="1:8" ht="13" x14ac:dyDescent="0.3">
      <c r="A24" s="36">
        <f t="shared" ref="A24:A30" si="3">A23+1</f>
        <v>17</v>
      </c>
      <c r="E24" s="52" t="s">
        <v>213</v>
      </c>
      <c r="F24" s="48">
        <f>E10</f>
        <v>15607270</v>
      </c>
      <c r="G24" s="38" t="str">
        <f>"Line "&amp;A10&amp;""</f>
        <v>Line 5</v>
      </c>
    </row>
    <row r="25" spans="1:8" ht="13" x14ac:dyDescent="0.3">
      <c r="A25" s="36">
        <f t="shared" si="3"/>
        <v>18</v>
      </c>
      <c r="E25" s="52" t="s">
        <v>214</v>
      </c>
      <c r="F25" s="45">
        <f>F23-F24</f>
        <v>1307930867.7999387</v>
      </c>
      <c r="G25" s="38" t="str">
        <f>"Line "&amp;A23&amp;" - Line "&amp;A24&amp;""</f>
        <v>Line 16 - Line 17</v>
      </c>
    </row>
    <row r="26" spans="1:8" ht="13" x14ac:dyDescent="0.3">
      <c r="A26" s="36">
        <f t="shared" si="3"/>
        <v>19</v>
      </c>
      <c r="E26" s="52" t="s">
        <v>215</v>
      </c>
      <c r="F26" s="65">
        <v>6.5693761162178274E-2</v>
      </c>
      <c r="G26" s="38" t="s">
        <v>216</v>
      </c>
    </row>
    <row r="27" spans="1:8" ht="13" x14ac:dyDescent="0.3">
      <c r="A27" s="36">
        <f t="shared" si="3"/>
        <v>20</v>
      </c>
      <c r="E27" s="52" t="s">
        <v>217</v>
      </c>
      <c r="F27" s="45">
        <f>F25*F26</f>
        <v>85922898.045889735</v>
      </c>
      <c r="G27" s="38" t="str">
        <f>"Line "&amp;A25&amp;" * Line "&amp;A26&amp;""</f>
        <v>Line 18 * Line 19</v>
      </c>
    </row>
    <row r="28" spans="1:8" ht="13" x14ac:dyDescent="0.3">
      <c r="A28" s="36">
        <f t="shared" si="3"/>
        <v>21</v>
      </c>
      <c r="E28" s="52" t="s">
        <v>218</v>
      </c>
      <c r="F28" s="50">
        <v>0.18668153702052509</v>
      </c>
      <c r="G28" s="38" t="s">
        <v>219</v>
      </c>
    </row>
    <row r="29" spans="1:8" ht="13" x14ac:dyDescent="0.3">
      <c r="A29" s="36">
        <f t="shared" si="3"/>
        <v>22</v>
      </c>
      <c r="E29" s="52" t="s">
        <v>220</v>
      </c>
      <c r="F29" s="48">
        <f>H10*F28</f>
        <v>2913589.1522943308</v>
      </c>
      <c r="G29" s="38" t="str">
        <f>"Line "&amp;A10&amp;" Col 4 * Line "&amp;A28&amp;""</f>
        <v>Line 5 Col 4 * Line 21</v>
      </c>
    </row>
    <row r="30" spans="1:8" ht="13" x14ac:dyDescent="0.3">
      <c r="A30" s="36">
        <f t="shared" si="3"/>
        <v>23</v>
      </c>
      <c r="E30" s="52" t="s">
        <v>221</v>
      </c>
      <c r="F30" s="45">
        <f>F27+F29</f>
        <v>88836487.198184073</v>
      </c>
      <c r="G30" s="38" t="str">
        <f>"Line "&amp;A27&amp;" + Line "&amp;A29&amp;""</f>
        <v>Line 20 + Line 22</v>
      </c>
    </row>
    <row r="32" spans="1:8" ht="13" x14ac:dyDescent="0.3">
      <c r="B32" s="32" t="s">
        <v>222</v>
      </c>
      <c r="E32" s="72" t="s">
        <v>172</v>
      </c>
      <c r="F32" s="72" t="s">
        <v>173</v>
      </c>
      <c r="G32" s="72" t="s">
        <v>174</v>
      </c>
      <c r="H32" s="72" t="s">
        <v>175</v>
      </c>
    </row>
    <row r="33" spans="1:11" ht="13" x14ac:dyDescent="0.3">
      <c r="B33" s="32"/>
      <c r="E33" s="36" t="s">
        <v>223</v>
      </c>
      <c r="F33" s="72"/>
      <c r="G33" s="72"/>
      <c r="H33" s="72"/>
    </row>
    <row r="34" spans="1:11" ht="13" x14ac:dyDescent="0.3">
      <c r="E34" s="36" t="s">
        <v>224</v>
      </c>
    </row>
    <row r="35" spans="1:11" ht="13" x14ac:dyDescent="0.3">
      <c r="D35" s="36" t="s">
        <v>225</v>
      </c>
      <c r="E35" s="36" t="s">
        <v>226</v>
      </c>
      <c r="F35" s="36" t="s">
        <v>227</v>
      </c>
      <c r="G35" s="36"/>
      <c r="H35" s="36"/>
    </row>
    <row r="36" spans="1:11" ht="13" x14ac:dyDescent="0.3">
      <c r="C36" s="40" t="s">
        <v>180</v>
      </c>
      <c r="D36" s="72" t="s">
        <v>228</v>
      </c>
      <c r="E36" s="40" t="s">
        <v>229</v>
      </c>
      <c r="F36" s="40" t="s">
        <v>230</v>
      </c>
      <c r="G36" s="40" t="s">
        <v>231</v>
      </c>
      <c r="H36" s="40" t="s">
        <v>232</v>
      </c>
      <c r="I36" s="40" t="s">
        <v>42</v>
      </c>
    </row>
    <row r="37" spans="1:11" ht="13" x14ac:dyDescent="0.3">
      <c r="A37" s="36">
        <f>A30+1</f>
        <v>24</v>
      </c>
      <c r="C37" s="66">
        <v>920</v>
      </c>
      <c r="D37" s="129">
        <f>SUM(E37:H37)</f>
        <v>126252220.2528477</v>
      </c>
      <c r="E37" s="128">
        <v>-7717820.8747406974</v>
      </c>
      <c r="F37" s="128"/>
      <c r="G37" s="42">
        <f>G59</f>
        <v>133970041.12758839</v>
      </c>
      <c r="H37" s="128"/>
      <c r="I37" s="38" t="s">
        <v>233</v>
      </c>
    </row>
    <row r="38" spans="1:11" ht="13" x14ac:dyDescent="0.3">
      <c r="A38" s="36">
        <f>A37+1</f>
        <v>25</v>
      </c>
      <c r="C38" s="66">
        <v>921</v>
      </c>
      <c r="D38" s="129">
        <f t="shared" ref="D38:D50" si="4">SUM(E38:H38)</f>
        <v>2352483.834740696</v>
      </c>
      <c r="E38" s="128">
        <v>2352483.834740696</v>
      </c>
      <c r="F38" s="128"/>
      <c r="G38" s="128">
        <v>0</v>
      </c>
      <c r="H38" s="128"/>
      <c r="I38" s="38"/>
    </row>
    <row r="39" spans="1:11" ht="13.5" thickBot="1" x14ac:dyDescent="0.35">
      <c r="A39" s="36">
        <f t="shared" ref="A39:A50" si="5">A38+1</f>
        <v>26</v>
      </c>
      <c r="C39" s="66">
        <v>922</v>
      </c>
      <c r="D39" s="129">
        <f t="shared" si="4"/>
        <v>-77722052.712449998</v>
      </c>
      <c r="E39" s="128">
        <v>-10359095.712450001</v>
      </c>
      <c r="F39" s="128"/>
      <c r="G39" s="117">
        <v>-67362957</v>
      </c>
      <c r="H39" s="128"/>
      <c r="I39" s="38"/>
    </row>
    <row r="40" spans="1:11" ht="13.5" thickBot="1" x14ac:dyDescent="0.35">
      <c r="A40" s="36">
        <f t="shared" si="5"/>
        <v>27</v>
      </c>
      <c r="C40" s="66">
        <v>923</v>
      </c>
      <c r="D40" s="126">
        <f t="shared" si="4"/>
        <v>9399151.0778677836</v>
      </c>
      <c r="E40" s="127">
        <v>9399151.0778677836</v>
      </c>
      <c r="F40" s="128"/>
      <c r="G40" s="128">
        <v>0</v>
      </c>
      <c r="H40" s="128"/>
      <c r="I40" s="38"/>
      <c r="J40" s="40"/>
      <c r="K40" s="40"/>
    </row>
    <row r="41" spans="1:11" ht="13" x14ac:dyDescent="0.3">
      <c r="A41" s="36">
        <f t="shared" si="5"/>
        <v>28</v>
      </c>
      <c r="C41" s="66">
        <v>924</v>
      </c>
      <c r="D41" s="129">
        <f t="shared" si="4"/>
        <v>0</v>
      </c>
      <c r="E41" s="128">
        <v>0</v>
      </c>
      <c r="F41" s="128"/>
      <c r="G41" s="128">
        <v>0</v>
      </c>
      <c r="H41" s="128"/>
      <c r="I41" s="38"/>
      <c r="K41" s="42"/>
    </row>
    <row r="42" spans="1:11" ht="13" x14ac:dyDescent="0.3">
      <c r="A42" s="36">
        <f t="shared" si="5"/>
        <v>29</v>
      </c>
      <c r="C42" s="66">
        <v>925</v>
      </c>
      <c r="D42" s="129">
        <f t="shared" si="4"/>
        <v>154247327.52000001</v>
      </c>
      <c r="E42" s="128">
        <v>154247327.52000001</v>
      </c>
      <c r="F42" s="128"/>
      <c r="G42" s="128">
        <v>0</v>
      </c>
      <c r="H42" s="128"/>
      <c r="I42" s="38"/>
      <c r="K42" s="42"/>
    </row>
    <row r="43" spans="1:11" ht="13" x14ac:dyDescent="0.3">
      <c r="A43" s="36">
        <f t="shared" si="5"/>
        <v>30</v>
      </c>
      <c r="C43" s="66">
        <v>926</v>
      </c>
      <c r="D43" s="129">
        <f t="shared" si="4"/>
        <v>4180354.9770550355</v>
      </c>
      <c r="E43" s="128">
        <v>16070354.977055036</v>
      </c>
      <c r="F43" s="128"/>
      <c r="G43" s="128">
        <v>0</v>
      </c>
      <c r="H43" s="42">
        <f>E72</f>
        <v>-11890000</v>
      </c>
      <c r="I43" s="38" t="s">
        <v>234</v>
      </c>
      <c r="K43" s="42"/>
    </row>
    <row r="44" spans="1:11" ht="13" x14ac:dyDescent="0.3">
      <c r="A44" s="36">
        <f t="shared" si="5"/>
        <v>31</v>
      </c>
      <c r="C44" s="66">
        <v>927</v>
      </c>
      <c r="D44" s="129">
        <f t="shared" si="4"/>
        <v>104335318</v>
      </c>
      <c r="E44" s="42">
        <v>0</v>
      </c>
      <c r="F44" s="42">
        <f>E13</f>
        <v>104335318</v>
      </c>
      <c r="G44" s="42">
        <v>0</v>
      </c>
      <c r="H44" s="42">
        <v>0</v>
      </c>
      <c r="I44" s="38" t="s">
        <v>235</v>
      </c>
      <c r="K44" s="42"/>
    </row>
    <row r="45" spans="1:11" ht="13" x14ac:dyDescent="0.3">
      <c r="A45" s="36">
        <f t="shared" si="5"/>
        <v>32</v>
      </c>
      <c r="C45" s="66">
        <v>928</v>
      </c>
      <c r="D45" s="129">
        <f t="shared" si="4"/>
        <v>9979027.6099999994</v>
      </c>
      <c r="E45" s="128">
        <v>9979027.6099999994</v>
      </c>
      <c r="F45" s="128"/>
      <c r="G45" s="128">
        <v>0</v>
      </c>
      <c r="H45" s="128"/>
      <c r="I45" s="38"/>
      <c r="K45" s="42"/>
    </row>
    <row r="46" spans="1:11" ht="13" x14ac:dyDescent="0.3">
      <c r="A46" s="36">
        <f t="shared" si="5"/>
        <v>33</v>
      </c>
      <c r="C46" s="66">
        <v>929</v>
      </c>
      <c r="D46" s="129">
        <f t="shared" si="4"/>
        <v>0</v>
      </c>
      <c r="E46" s="128">
        <v>0</v>
      </c>
      <c r="F46" s="128"/>
      <c r="G46" s="128">
        <v>0</v>
      </c>
      <c r="H46" s="128"/>
      <c r="I46" s="38"/>
      <c r="K46" s="42"/>
    </row>
    <row r="47" spans="1:11" ht="13" x14ac:dyDescent="0.3">
      <c r="A47" s="36">
        <f t="shared" si="5"/>
        <v>34</v>
      </c>
      <c r="C47" s="66">
        <v>930.1</v>
      </c>
      <c r="D47" s="129">
        <f t="shared" si="4"/>
        <v>0</v>
      </c>
      <c r="E47" s="128">
        <v>0</v>
      </c>
      <c r="F47" s="128"/>
      <c r="G47" s="128">
        <v>0</v>
      </c>
      <c r="H47" s="128"/>
      <c r="I47" s="38"/>
      <c r="K47" s="42"/>
    </row>
    <row r="48" spans="1:11" ht="13" x14ac:dyDescent="0.3">
      <c r="A48" s="36">
        <f t="shared" si="5"/>
        <v>35</v>
      </c>
      <c r="C48" s="66">
        <v>930.2</v>
      </c>
      <c r="D48" s="129">
        <f t="shared" si="4"/>
        <v>5999239.1899999976</v>
      </c>
      <c r="E48" s="128">
        <v>5999239.1899999976</v>
      </c>
      <c r="F48" s="128"/>
      <c r="G48" s="128">
        <v>0</v>
      </c>
      <c r="H48" s="128"/>
      <c r="I48" s="38"/>
      <c r="J48" s="42"/>
    </row>
    <row r="49" spans="1:10" ht="13" x14ac:dyDescent="0.3">
      <c r="A49" s="36">
        <f t="shared" si="5"/>
        <v>36</v>
      </c>
      <c r="C49" s="66">
        <v>931</v>
      </c>
      <c r="D49" s="129">
        <f t="shared" si="4"/>
        <v>12016812.699999999</v>
      </c>
      <c r="E49" s="128">
        <v>12016812.699999999</v>
      </c>
      <c r="F49" s="128"/>
      <c r="G49" s="128">
        <v>0</v>
      </c>
      <c r="H49" s="128"/>
      <c r="I49" s="38"/>
      <c r="J49" s="42"/>
    </row>
    <row r="50" spans="1:10" ht="13" x14ac:dyDescent="0.3">
      <c r="A50" s="36">
        <f t="shared" si="5"/>
        <v>37</v>
      </c>
      <c r="C50" s="66">
        <v>935</v>
      </c>
      <c r="D50" s="129">
        <f t="shared" si="4"/>
        <v>769627.75</v>
      </c>
      <c r="E50" s="128">
        <v>769627.75</v>
      </c>
      <c r="F50" s="128"/>
      <c r="G50" s="128">
        <v>0</v>
      </c>
      <c r="H50" s="128"/>
      <c r="I50" s="38"/>
    </row>
    <row r="51" spans="1:10" ht="13" x14ac:dyDescent="0.3">
      <c r="A51" s="36"/>
      <c r="C51" s="66"/>
      <c r="D51" s="129"/>
      <c r="E51" s="42"/>
      <c r="F51" s="42"/>
      <c r="G51" s="42"/>
      <c r="H51" s="42"/>
      <c r="I51" s="38"/>
    </row>
    <row r="52" spans="1:10" ht="13" x14ac:dyDescent="0.3">
      <c r="A52" s="36"/>
      <c r="C52" s="66"/>
      <c r="D52" s="129"/>
      <c r="E52" s="42"/>
      <c r="F52" s="42"/>
      <c r="G52" s="42"/>
      <c r="H52" s="42"/>
      <c r="I52" s="38"/>
    </row>
    <row r="53" spans="1:10" ht="13" x14ac:dyDescent="0.3">
      <c r="B53" s="32" t="s">
        <v>236</v>
      </c>
    </row>
    <row r="54" spans="1:10" ht="13" x14ac:dyDescent="0.3">
      <c r="B54" s="32"/>
      <c r="C54" s="33" t="s">
        <v>237</v>
      </c>
      <c r="G54" s="36"/>
      <c r="H54" s="36"/>
    </row>
    <row r="55" spans="1:10" ht="13" x14ac:dyDescent="0.3">
      <c r="B55" s="32"/>
      <c r="C55" s="59" t="s">
        <v>238</v>
      </c>
      <c r="D55" s="59"/>
      <c r="E55" s="59"/>
      <c r="G55" s="36"/>
      <c r="H55" s="36"/>
    </row>
    <row r="56" spans="1:10" ht="13" x14ac:dyDescent="0.3">
      <c r="B56" s="32"/>
      <c r="G56" s="40" t="s">
        <v>32</v>
      </c>
      <c r="H56" s="40" t="s">
        <v>33</v>
      </c>
    </row>
    <row r="57" spans="1:10" ht="13" x14ac:dyDescent="0.3">
      <c r="A57" s="36"/>
      <c r="B57" s="36" t="s">
        <v>114</v>
      </c>
      <c r="F57" s="52" t="s">
        <v>239</v>
      </c>
      <c r="G57" s="128">
        <v>148050456</v>
      </c>
      <c r="H57" s="38" t="s">
        <v>240</v>
      </c>
    </row>
    <row r="58" spans="1:10" ht="13" x14ac:dyDescent="0.3">
      <c r="A58" s="36"/>
      <c r="B58" s="36" t="s">
        <v>116</v>
      </c>
      <c r="F58" s="52" t="s">
        <v>241</v>
      </c>
      <c r="G58" s="48">
        <f>E62</f>
        <v>14080414.872411605</v>
      </c>
      <c r="H58" s="38" t="str">
        <f>"Note 2, "&amp;B62&amp;""</f>
        <v>Note 2, d</v>
      </c>
    </row>
    <row r="59" spans="1:10" ht="13" x14ac:dyDescent="0.3">
      <c r="A59" s="36"/>
      <c r="B59" s="36" t="s">
        <v>119</v>
      </c>
      <c r="F59" s="52" t="s">
        <v>242</v>
      </c>
      <c r="G59" s="42">
        <f>G57-G58</f>
        <v>133970041.12758839</v>
      </c>
    </row>
    <row r="60" spans="1:10" ht="13" x14ac:dyDescent="0.3">
      <c r="A60" s="36"/>
      <c r="C60" s="59" t="s">
        <v>243</v>
      </c>
      <c r="D60" s="59"/>
      <c r="E60" s="59"/>
      <c r="G60" s="42"/>
    </row>
    <row r="61" spans="1:10" ht="13" x14ac:dyDescent="0.3">
      <c r="A61" s="36"/>
      <c r="D61" s="39" t="s">
        <v>244</v>
      </c>
      <c r="E61" s="40" t="s">
        <v>32</v>
      </c>
      <c r="F61" s="40" t="s">
        <v>33</v>
      </c>
      <c r="G61" s="42"/>
    </row>
    <row r="62" spans="1:10" ht="13" x14ac:dyDescent="0.3">
      <c r="A62" s="36"/>
      <c r="B62" s="36" t="s">
        <v>121</v>
      </c>
      <c r="D62" s="33" t="s">
        <v>245</v>
      </c>
      <c r="E62" s="117">
        <v>14080414.872411605</v>
      </c>
      <c r="F62" s="38" t="s">
        <v>246</v>
      </c>
      <c r="G62" s="42"/>
    </row>
    <row r="63" spans="1:10" ht="13" x14ac:dyDescent="0.3">
      <c r="A63" s="36"/>
      <c r="B63" s="36" t="s">
        <v>125</v>
      </c>
      <c r="D63" s="33" t="s">
        <v>247</v>
      </c>
      <c r="E63" s="117">
        <v>6519087.5034648124</v>
      </c>
      <c r="F63" s="38" t="s">
        <v>246</v>
      </c>
      <c r="G63" s="42"/>
      <c r="I63" s="118"/>
    </row>
    <row r="64" spans="1:10" ht="13" x14ac:dyDescent="0.3">
      <c r="A64" s="36"/>
      <c r="B64" s="36" t="s">
        <v>127</v>
      </c>
      <c r="D64" s="33" t="s">
        <v>248</v>
      </c>
      <c r="E64" s="119">
        <v>22710657.624123573</v>
      </c>
      <c r="F64" s="38" t="s">
        <v>246</v>
      </c>
      <c r="G64" s="42"/>
      <c r="I64" s="42"/>
    </row>
    <row r="65" spans="1:7" ht="13" x14ac:dyDescent="0.3">
      <c r="A65" s="36"/>
      <c r="B65" s="36" t="s">
        <v>129</v>
      </c>
      <c r="D65" s="52" t="s">
        <v>249</v>
      </c>
      <c r="E65" s="42">
        <f>SUM(E62:E64)</f>
        <v>43310159.999999993</v>
      </c>
      <c r="F65" s="38" t="str">
        <f>"Sum of "&amp;B62&amp;" to "&amp;B64&amp;""</f>
        <v>Sum of d to f</v>
      </c>
      <c r="G65" s="42"/>
    </row>
    <row r="67" spans="1:7" ht="13" x14ac:dyDescent="0.3">
      <c r="B67" s="32" t="s">
        <v>250</v>
      </c>
    </row>
    <row r="68" spans="1:7" ht="13" x14ac:dyDescent="0.3">
      <c r="E68" s="40" t="s">
        <v>32</v>
      </c>
      <c r="F68" s="39" t="s">
        <v>251</v>
      </c>
    </row>
    <row r="69" spans="1:7" ht="13" x14ac:dyDescent="0.3">
      <c r="A69" s="36"/>
      <c r="B69" s="36" t="s">
        <v>114</v>
      </c>
      <c r="D69" s="52" t="s">
        <v>252</v>
      </c>
      <c r="E69" s="42">
        <v>6329000</v>
      </c>
      <c r="F69" s="38" t="s">
        <v>253</v>
      </c>
      <c r="G69" s="275"/>
    </row>
    <row r="70" spans="1:7" ht="13" x14ac:dyDescent="0.3">
      <c r="A70" s="36"/>
      <c r="B70" s="36" t="s">
        <v>116</v>
      </c>
      <c r="D70" s="52" t="s">
        <v>254</v>
      </c>
      <c r="E70" s="131">
        <v>18219000</v>
      </c>
      <c r="F70" s="38" t="s">
        <v>255</v>
      </c>
    </row>
    <row r="71" spans="1:7" ht="13" x14ac:dyDescent="0.3">
      <c r="A71" s="36"/>
      <c r="B71" s="36" t="s">
        <v>119</v>
      </c>
      <c r="D71" s="52" t="s">
        <v>256</v>
      </c>
      <c r="E71" s="132">
        <v>6329000</v>
      </c>
      <c r="F71" s="38" t="s">
        <v>240</v>
      </c>
    </row>
    <row r="72" spans="1:7" ht="13" x14ac:dyDescent="0.3">
      <c r="A72" s="36"/>
      <c r="B72" s="36" t="s">
        <v>121</v>
      </c>
      <c r="D72" s="52" t="s">
        <v>257</v>
      </c>
      <c r="E72" s="42">
        <f>E71-E70</f>
        <v>-11890000</v>
      </c>
      <c r="F72" s="38" t="str">
        <f>""&amp;B71&amp;" - "&amp;B70&amp;""</f>
        <v>c - b</v>
      </c>
    </row>
    <row r="73" spans="1:7" ht="13" x14ac:dyDescent="0.3">
      <c r="A73" s="36"/>
      <c r="B73" s="32" t="s">
        <v>258</v>
      </c>
      <c r="D73" s="52"/>
      <c r="E73" s="42"/>
      <c r="F73" s="38"/>
    </row>
    <row r="74" spans="1:7" ht="13" x14ac:dyDescent="0.3">
      <c r="A74" s="36"/>
      <c r="B74" s="32"/>
      <c r="C74" s="33" t="str">
        <f>"Amount in Line "&amp;A44&amp;", column 2 equals amount in Line "&amp;A13&amp;", column 1 because all Franchise Requirements Expenses are excluded"</f>
        <v>Amount in Line 31, column 2 equals amount in Line 8, column 1 because all Franchise Requirements Expenses are excluded</v>
      </c>
      <c r="D74" s="52"/>
      <c r="E74" s="42"/>
      <c r="F74" s="38"/>
    </row>
    <row r="75" spans="1:7" ht="13" x14ac:dyDescent="0.3">
      <c r="A75" s="36"/>
      <c r="B75" s="32"/>
      <c r="C75" s="33" t="s">
        <v>259</v>
      </c>
      <c r="D75" s="52"/>
      <c r="E75" s="42"/>
      <c r="F75" s="38"/>
    </row>
    <row r="77" spans="1:7" ht="13" x14ac:dyDescent="0.3">
      <c r="B77" s="32" t="s">
        <v>104</v>
      </c>
    </row>
    <row r="78" spans="1:7" x14ac:dyDescent="0.25">
      <c r="C78" s="33" t="str">
        <f>"1) Enter amounts of A&amp;G expenses from FERC Form 1 in Lines "&amp;A6&amp;" to "&amp;A19&amp;"."</f>
        <v>1) Enter amounts of A&amp;G expenses from FERC Form 1 in Lines 1 to 14.</v>
      </c>
    </row>
    <row r="79" spans="1:7" x14ac:dyDescent="0.25">
      <c r="C79" s="33" t="s">
        <v>260</v>
      </c>
      <c r="G79" s="33" t="str">
        <f>"Column 3, Line "&amp;A37&amp;""</f>
        <v>Column 3, Line 24</v>
      </c>
    </row>
    <row r="80" spans="1:7" x14ac:dyDescent="0.25">
      <c r="C80" s="38" t="str">
        <f>"is calculated in Note 2.  The PBOPs exclusion in Column 4, Line "&amp;A43&amp;" is calculated in Note 3."</f>
        <v>is calculated in Note 2.  The PBOPs exclusion in Column 4, Line 30 is calculated in Note 3.</v>
      </c>
    </row>
    <row r="81" spans="3:7" x14ac:dyDescent="0.25">
      <c r="C81" s="38" t="s">
        <v>261</v>
      </c>
    </row>
    <row r="82" spans="3:7" x14ac:dyDescent="0.25">
      <c r="C82" s="38" t="s">
        <v>262</v>
      </c>
      <c r="D82" s="52"/>
      <c r="E82" s="42"/>
      <c r="F82" s="38"/>
    </row>
    <row r="83" spans="3:7" x14ac:dyDescent="0.25">
      <c r="C83" s="38" t="s">
        <v>263</v>
      </c>
      <c r="D83" s="52"/>
      <c r="E83" s="42"/>
      <c r="F83" s="38"/>
    </row>
    <row r="84" spans="3:7" x14ac:dyDescent="0.25">
      <c r="C84" s="38" t="s">
        <v>264</v>
      </c>
    </row>
    <row r="85" spans="3:7" x14ac:dyDescent="0.25">
      <c r="C85" s="38" t="s">
        <v>265</v>
      </c>
    </row>
    <row r="86" spans="3:7" x14ac:dyDescent="0.25">
      <c r="C86" s="38" t="s">
        <v>266</v>
      </c>
    </row>
    <row r="87" spans="3:7" x14ac:dyDescent="0.25">
      <c r="C87" s="38" t="s">
        <v>267</v>
      </c>
    </row>
    <row r="88" spans="3:7" x14ac:dyDescent="0.25">
      <c r="C88" s="38" t="s">
        <v>268</v>
      </c>
    </row>
    <row r="89" spans="3:7" x14ac:dyDescent="0.25">
      <c r="C89" s="38" t="s">
        <v>269</v>
      </c>
      <c r="E89" s="133"/>
      <c r="F89" s="133"/>
      <c r="G89" s="133"/>
    </row>
    <row r="90" spans="3:7" x14ac:dyDescent="0.25">
      <c r="C90" s="134" t="s">
        <v>270</v>
      </c>
      <c r="E90" s="133"/>
      <c r="F90" s="133"/>
      <c r="G90" s="133"/>
    </row>
    <row r="91" spans="3:7" x14ac:dyDescent="0.25">
      <c r="C91" s="134" t="s">
        <v>271</v>
      </c>
      <c r="E91" s="133"/>
      <c r="F91" s="133"/>
      <c r="G91" s="133"/>
    </row>
    <row r="92" spans="3:7" x14ac:dyDescent="0.25">
      <c r="C92" s="134" t="s">
        <v>272</v>
      </c>
      <c r="E92" s="133"/>
      <c r="F92" s="133"/>
      <c r="G92" s="133"/>
    </row>
    <row r="93" spans="3:7" x14ac:dyDescent="0.25">
      <c r="C93" s="38" t="s">
        <v>273</v>
      </c>
      <c r="E93" s="133"/>
      <c r="F93" s="133"/>
      <c r="G93" s="133"/>
    </row>
    <row r="94" spans="3:7" x14ac:dyDescent="0.25">
      <c r="C94" s="134" t="s">
        <v>274</v>
      </c>
      <c r="E94" s="133"/>
      <c r="F94" s="133"/>
      <c r="G94" s="133"/>
    </row>
    <row r="95" spans="3:7" x14ac:dyDescent="0.25">
      <c r="C95" s="134" t="s">
        <v>275</v>
      </c>
      <c r="E95" s="133"/>
      <c r="F95" s="133"/>
      <c r="G95" s="133"/>
    </row>
    <row r="96" spans="3:7" x14ac:dyDescent="0.25">
      <c r="C96" s="134" t="s">
        <v>276</v>
      </c>
      <c r="E96" s="133"/>
      <c r="F96" s="133"/>
      <c r="G96" s="133"/>
    </row>
    <row r="97" spans="3:10" x14ac:dyDescent="0.25">
      <c r="C97" s="134" t="s">
        <v>277</v>
      </c>
      <c r="E97" s="133"/>
      <c r="F97" s="133"/>
      <c r="G97" s="133"/>
    </row>
    <row r="98" spans="3:10" ht="13" x14ac:dyDescent="0.3">
      <c r="C98" s="68" t="s">
        <v>278</v>
      </c>
      <c r="D98" s="59"/>
      <c r="E98" s="59"/>
      <c r="F98" s="59"/>
      <c r="G98" s="59"/>
      <c r="H98" s="59"/>
      <c r="I98" s="59"/>
      <c r="J98" s="59"/>
    </row>
    <row r="99" spans="3:10" x14ac:dyDescent="0.25">
      <c r="C99" s="33" t="s">
        <v>279</v>
      </c>
    </row>
    <row r="100" spans="3:10" x14ac:dyDescent="0.25">
      <c r="C100" s="68" t="s">
        <v>280</v>
      </c>
      <c r="D100" s="59"/>
      <c r="E100" s="59"/>
      <c r="F100" s="59"/>
      <c r="G100" s="59"/>
      <c r="H100" s="59"/>
      <c r="I100" s="59"/>
    </row>
    <row r="101" spans="3:10" x14ac:dyDescent="0.25">
      <c r="C101" s="33" t="str">
        <f>"4) Determine the PBOPs exclusion.  The authorized amount of PBOPs expense (line "&amp;B69&amp;") may only be revised"</f>
        <v>4) Determine the PBOPs exclusion.  The authorized amount of PBOPs expense (line a) may only be revised</v>
      </c>
    </row>
    <row r="102" spans="3:10" x14ac:dyDescent="0.25">
      <c r="C102" s="33" t="s">
        <v>281</v>
      </c>
    </row>
    <row r="103" spans="3:10" x14ac:dyDescent="0.25">
      <c r="C103" s="33" t="s">
        <v>282</v>
      </c>
    </row>
    <row r="104" spans="3:10" x14ac:dyDescent="0.25">
      <c r="C104" s="33" t="s">
        <v>283</v>
      </c>
      <c r="I104" s="62" t="s">
        <v>288</v>
      </c>
      <c r="J104" s="62"/>
    </row>
    <row r="105" spans="3:10" x14ac:dyDescent="0.25">
      <c r="C105" s="33" t="s">
        <v>284</v>
      </c>
    </row>
  </sheetData>
  <pageMargins left="0.75" right="0.75" top="1" bottom="1" header="0.5" footer="0.5"/>
  <pageSetup scale="70" orientation="landscape" cellComments="asDisplayed" r:id="rId1"/>
  <headerFooter alignWithMargins="0">
    <oddHeader>&amp;CSchedule 20
Administrative and General Expenses
(Revised 2019 
TO2018 True Up TRR)&amp;RTO2024 Draft Annual Update
Attachment 4
WP-Schedule 3-One Time Adj Prior Period
Page &amp;P of &amp;N</oddHeader>
    <oddFooter>&amp;R&amp;A</oddFooter>
  </headerFooter>
  <rowBreaks count="2" manualBreakCount="2">
    <brk id="51" max="9" man="1"/>
    <brk id="76"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97E39-B923-4CF4-B5DF-06368197E33D}">
  <sheetPr>
    <tabColor rgb="FFCCFFCC"/>
  </sheetPr>
  <dimension ref="A1:O172"/>
  <sheetViews>
    <sheetView zoomScaleNormal="100" workbookViewId="0"/>
  </sheetViews>
  <sheetFormatPr defaultRowHeight="12.5" x14ac:dyDescent="0.25"/>
  <cols>
    <col min="1" max="2" width="4.54296875" style="33" customWidth="1"/>
    <col min="3" max="3" width="18.54296875" style="33" customWidth="1"/>
    <col min="4" max="4" width="10.453125" style="33" bestFit="1" customWidth="1"/>
    <col min="5" max="7" width="15.54296875" style="33" customWidth="1"/>
    <col min="8" max="8" width="24.54296875" style="33" customWidth="1"/>
    <col min="9" max="9" width="4.54296875" style="33" customWidth="1"/>
    <col min="10" max="10" width="15.54296875" style="33" customWidth="1"/>
    <col min="11" max="11" width="2.54296875" style="33" customWidth="1"/>
    <col min="12" max="12" width="14.453125" style="33" customWidth="1"/>
    <col min="13" max="13" width="4.453125" style="33" customWidth="1"/>
    <col min="14" max="14" width="20.54296875" style="33" customWidth="1"/>
    <col min="15" max="16384" width="8.7265625" style="33"/>
  </cols>
  <sheetData>
    <row r="1" spans="1:14" ht="13" x14ac:dyDescent="0.3">
      <c r="A1" s="32" t="s">
        <v>35</v>
      </c>
    </row>
    <row r="3" spans="1:14" ht="13" x14ac:dyDescent="0.3">
      <c r="B3" s="34" t="s">
        <v>36</v>
      </c>
      <c r="L3" s="36"/>
    </row>
    <row r="4" spans="1:14" ht="13" x14ac:dyDescent="0.3">
      <c r="B4" s="35"/>
      <c r="F4" s="36" t="s">
        <v>37</v>
      </c>
      <c r="G4" s="36"/>
      <c r="H4" s="36" t="s">
        <v>38</v>
      </c>
      <c r="L4" s="36"/>
      <c r="N4" s="36"/>
    </row>
    <row r="5" spans="1:14" ht="13" x14ac:dyDescent="0.3">
      <c r="A5" s="37" t="s">
        <v>39</v>
      </c>
      <c r="B5" s="38"/>
      <c r="C5" s="39" t="s">
        <v>40</v>
      </c>
      <c r="F5" s="40" t="s">
        <v>41</v>
      </c>
      <c r="G5" s="40" t="s">
        <v>42</v>
      </c>
      <c r="H5" s="40" t="s">
        <v>43</v>
      </c>
      <c r="J5" s="40" t="s">
        <v>32</v>
      </c>
      <c r="L5" s="40"/>
      <c r="N5" s="40"/>
    </row>
    <row r="6" spans="1:14" ht="13" x14ac:dyDescent="0.3">
      <c r="A6" s="36">
        <v>1</v>
      </c>
      <c r="C6" s="41" t="s">
        <v>44</v>
      </c>
      <c r="F6" s="33" t="s">
        <v>45</v>
      </c>
      <c r="H6" s="41" t="s">
        <v>454</v>
      </c>
      <c r="J6" s="42">
        <v>8939630709.3337479</v>
      </c>
      <c r="L6" s="42"/>
      <c r="N6" s="42"/>
    </row>
    <row r="7" spans="1:14" ht="13" x14ac:dyDescent="0.3">
      <c r="A7" s="36">
        <f>A6+1</f>
        <v>2</v>
      </c>
      <c r="C7" s="41" t="s">
        <v>46</v>
      </c>
      <c r="F7" s="33" t="s">
        <v>47</v>
      </c>
      <c r="H7" s="41" t="s">
        <v>455</v>
      </c>
      <c r="J7" s="42">
        <v>288986135.3460899</v>
      </c>
      <c r="L7" s="42"/>
      <c r="N7" s="42"/>
    </row>
    <row r="8" spans="1:14" ht="13" x14ac:dyDescent="0.3">
      <c r="A8" s="36">
        <f>A7+1</f>
        <v>3</v>
      </c>
      <c r="C8" s="41" t="s">
        <v>48</v>
      </c>
      <c r="F8" s="33" t="s">
        <v>47</v>
      </c>
      <c r="H8" s="33" t="s">
        <v>456</v>
      </c>
      <c r="J8" s="42">
        <v>9942155</v>
      </c>
      <c r="L8" s="42"/>
      <c r="N8" s="42"/>
    </row>
    <row r="9" spans="1:14" ht="13" x14ac:dyDescent="0.3">
      <c r="A9" s="36">
        <f>A8+1</f>
        <v>4</v>
      </c>
      <c r="C9" s="41" t="s">
        <v>49</v>
      </c>
      <c r="F9" s="33" t="s">
        <v>47</v>
      </c>
      <c r="H9" s="33" t="s">
        <v>457</v>
      </c>
      <c r="J9" s="42">
        <v>0</v>
      </c>
      <c r="L9" s="42"/>
      <c r="N9" s="42"/>
    </row>
    <row r="10" spans="1:14" ht="13" x14ac:dyDescent="0.3">
      <c r="A10" s="36"/>
      <c r="C10" s="41"/>
      <c r="J10" s="42"/>
      <c r="L10" s="42"/>
      <c r="N10" s="42"/>
    </row>
    <row r="11" spans="1:14" ht="13" x14ac:dyDescent="0.3">
      <c r="A11" s="36"/>
      <c r="C11" s="43" t="s">
        <v>50</v>
      </c>
      <c r="J11" s="42"/>
      <c r="L11" s="42"/>
      <c r="N11" s="42"/>
    </row>
    <row r="12" spans="1:14" ht="13" x14ac:dyDescent="0.3">
      <c r="A12" s="36">
        <f>A9+1</f>
        <v>5</v>
      </c>
      <c r="C12" s="38" t="s">
        <v>51</v>
      </c>
      <c r="F12" s="33" t="s">
        <v>45</v>
      </c>
      <c r="H12" s="41" t="s">
        <v>458</v>
      </c>
      <c r="J12" s="42">
        <v>21476899.868948326</v>
      </c>
      <c r="L12" s="42"/>
      <c r="N12" s="42"/>
    </row>
    <row r="13" spans="1:14" ht="13" x14ac:dyDescent="0.3">
      <c r="A13" s="36">
        <f>A12+1</f>
        <v>6</v>
      </c>
      <c r="C13" s="38" t="s">
        <v>52</v>
      </c>
      <c r="F13" s="33" t="s">
        <v>45</v>
      </c>
      <c r="H13" s="41" t="s">
        <v>459</v>
      </c>
      <c r="J13" s="42">
        <v>21286307.043254811</v>
      </c>
      <c r="L13" s="42"/>
      <c r="N13" s="42"/>
    </row>
    <row r="14" spans="1:14" ht="13" x14ac:dyDescent="0.3">
      <c r="A14" s="36">
        <f>A13+1</f>
        <v>7</v>
      </c>
      <c r="C14" s="38" t="s">
        <v>53</v>
      </c>
      <c r="F14" s="33" t="s">
        <v>144</v>
      </c>
      <c r="H14" s="33" t="s">
        <v>460</v>
      </c>
      <c r="J14" s="44">
        <v>24803722.738200035</v>
      </c>
      <c r="L14" s="48"/>
      <c r="N14" s="42"/>
    </row>
    <row r="15" spans="1:14" ht="13" x14ac:dyDescent="0.3">
      <c r="A15" s="36">
        <f>A14+1</f>
        <v>8</v>
      </c>
      <c r="C15" s="38" t="s">
        <v>54</v>
      </c>
      <c r="H15" s="33" t="str">
        <f>"Line "&amp;A12&amp;" + Line "&amp;A13&amp;" + Line "&amp;A14&amp;""</f>
        <v>Line 5 + Line 6 + Line 7</v>
      </c>
      <c r="J15" s="45">
        <f>SUM(J12:J14)</f>
        <v>67566929.650403172</v>
      </c>
      <c r="L15" s="42"/>
      <c r="N15" s="42"/>
    </row>
    <row r="16" spans="1:14" ht="13" x14ac:dyDescent="0.3">
      <c r="A16" s="36"/>
      <c r="C16" s="38"/>
      <c r="J16" s="42"/>
      <c r="L16" s="42"/>
      <c r="N16" s="42"/>
    </row>
    <row r="17" spans="1:14" ht="13" x14ac:dyDescent="0.3">
      <c r="A17" s="36"/>
      <c r="C17" s="46" t="s">
        <v>55</v>
      </c>
      <c r="J17" s="42"/>
      <c r="L17" s="42"/>
      <c r="N17" s="42"/>
    </row>
    <row r="18" spans="1:14" ht="13" x14ac:dyDescent="0.3">
      <c r="A18" s="36">
        <f>A15+1</f>
        <v>9</v>
      </c>
      <c r="C18" s="38" t="s">
        <v>56</v>
      </c>
      <c r="F18" s="33" t="s">
        <v>45</v>
      </c>
      <c r="G18" s="33" t="s">
        <v>57</v>
      </c>
      <c r="H18" s="41" t="s">
        <v>476</v>
      </c>
      <c r="J18" s="42">
        <v>-1839774172.2805853</v>
      </c>
      <c r="L18" s="42"/>
      <c r="N18" s="42"/>
    </row>
    <row r="19" spans="1:14" ht="13" x14ac:dyDescent="0.3">
      <c r="A19" s="36">
        <f>A18+1</f>
        <v>10</v>
      </c>
      <c r="C19" s="38" t="s">
        <v>58</v>
      </c>
      <c r="F19" s="33" t="s">
        <v>47</v>
      </c>
      <c r="G19" s="33" t="s">
        <v>57</v>
      </c>
      <c r="H19" s="41" t="s">
        <v>477</v>
      </c>
      <c r="J19" s="42">
        <v>0</v>
      </c>
      <c r="L19" s="42"/>
      <c r="N19" s="42"/>
    </row>
    <row r="20" spans="1:14" ht="13" x14ac:dyDescent="0.3">
      <c r="A20" s="36">
        <f>A19+1</f>
        <v>11</v>
      </c>
      <c r="C20" s="38" t="s">
        <v>59</v>
      </c>
      <c r="D20" s="47"/>
      <c r="F20" s="33" t="s">
        <v>47</v>
      </c>
      <c r="G20" s="33" t="s">
        <v>57</v>
      </c>
      <c r="H20" s="41" t="s">
        <v>478</v>
      </c>
      <c r="J20" s="48">
        <v>-105809932.94764221</v>
      </c>
      <c r="L20" s="42"/>
      <c r="N20" s="42"/>
    </row>
    <row r="21" spans="1:14" ht="13" x14ac:dyDescent="0.3">
      <c r="A21" s="36">
        <f>A20+1</f>
        <v>12</v>
      </c>
      <c r="C21" s="49" t="s">
        <v>60</v>
      </c>
      <c r="D21" s="47"/>
      <c r="H21" s="33" t="str">
        <f>"Line "&amp;A18&amp;" + Line "&amp;A19&amp;" + Line "&amp;A20&amp;""</f>
        <v>Line 9 + Line 10 + Line 11</v>
      </c>
      <c r="J21" s="42">
        <f>SUM(J18:J20)</f>
        <v>-1945584105.2282276</v>
      </c>
      <c r="L21" s="42"/>
      <c r="N21" s="42"/>
    </row>
    <row r="22" spans="1:14" ht="13" x14ac:dyDescent="0.3">
      <c r="A22" s="36"/>
      <c r="J22" s="42"/>
      <c r="L22" s="42"/>
      <c r="N22" s="42"/>
    </row>
    <row r="23" spans="1:14" ht="13" x14ac:dyDescent="0.3">
      <c r="A23" s="36">
        <f>A21+1</f>
        <v>13</v>
      </c>
      <c r="C23" s="41" t="s">
        <v>61</v>
      </c>
      <c r="F23" s="41" t="s">
        <v>47</v>
      </c>
      <c r="H23" s="41" t="s">
        <v>498</v>
      </c>
      <c r="J23" s="42">
        <v>-1632145854.7122164</v>
      </c>
      <c r="L23" s="42"/>
      <c r="N23" s="42"/>
    </row>
    <row r="24" spans="1:14" ht="13" x14ac:dyDescent="0.3">
      <c r="A24" s="36">
        <f>A23+1</f>
        <v>14</v>
      </c>
      <c r="C24" s="41" t="s">
        <v>62</v>
      </c>
      <c r="F24" s="33" t="s">
        <v>45</v>
      </c>
      <c r="H24" s="41" t="s">
        <v>493</v>
      </c>
      <c r="J24" s="42">
        <v>602185189.09144735</v>
      </c>
      <c r="L24" s="42"/>
      <c r="N24" s="42"/>
    </row>
    <row r="25" spans="1:14" ht="13" x14ac:dyDescent="0.3">
      <c r="A25" s="36">
        <f>A24+1</f>
        <v>15</v>
      </c>
      <c r="C25" s="41" t="s">
        <v>63</v>
      </c>
      <c r="F25" s="33" t="s">
        <v>47</v>
      </c>
      <c r="G25" s="33" t="s">
        <v>57</v>
      </c>
      <c r="H25" s="41" t="s">
        <v>481</v>
      </c>
      <c r="J25" s="42">
        <v>-50661304.942000374</v>
      </c>
      <c r="L25" s="42"/>
      <c r="N25" s="42"/>
    </row>
    <row r="26" spans="1:14" ht="13" x14ac:dyDescent="0.3">
      <c r="A26" s="36">
        <f t="shared" ref="A26:A27" si="0">A25+1</f>
        <v>16</v>
      </c>
      <c r="C26" s="41" t="s">
        <v>64</v>
      </c>
      <c r="H26" s="33" t="s">
        <v>482</v>
      </c>
      <c r="J26" s="42">
        <v>-192258245.62261316</v>
      </c>
      <c r="L26" s="42"/>
      <c r="N26" s="42"/>
    </row>
    <row r="27" spans="1:14" ht="13" x14ac:dyDescent="0.3">
      <c r="A27" s="36">
        <f t="shared" si="0"/>
        <v>17</v>
      </c>
      <c r="C27" s="41" t="s">
        <v>65</v>
      </c>
      <c r="F27" s="33" t="s">
        <v>47</v>
      </c>
      <c r="H27" s="41" t="s">
        <v>483</v>
      </c>
      <c r="J27" s="42">
        <v>0</v>
      </c>
      <c r="L27" s="42"/>
      <c r="N27" s="42"/>
    </row>
    <row r="28" spans="1:14" ht="13" x14ac:dyDescent="0.3">
      <c r="A28" s="36"/>
      <c r="C28" s="41"/>
      <c r="L28" s="42"/>
      <c r="N28" s="42"/>
    </row>
    <row r="29" spans="1:14" ht="13" x14ac:dyDescent="0.3">
      <c r="A29" s="36">
        <f>A27+1</f>
        <v>18</v>
      </c>
      <c r="C29" s="33" t="s">
        <v>66</v>
      </c>
      <c r="H29" s="33" t="str">
        <f>"L"&amp;A6&amp;"+L"&amp;A7&amp;"+L"&amp;A8&amp;"+L"&amp;A9&amp;"+L"&amp;A15&amp;"+L"&amp;A21&amp;"+"</f>
        <v>L1+L2+L3+L4+L8+L12+</v>
      </c>
      <c r="J29" s="45">
        <f>J6+ J7+J8+J9+J15+J21+J23+J24+J25+J26+J27</f>
        <v>6087661607.9166317</v>
      </c>
      <c r="L29" s="42"/>
      <c r="N29" s="42"/>
    </row>
    <row r="30" spans="1:14" ht="13" x14ac:dyDescent="0.3">
      <c r="A30" s="36"/>
      <c r="H30" s="33" t="str">
        <f>"L"&amp;A23&amp;"+L"&amp;A24&amp;"+L"&amp;A25&amp;"+L"&amp;A26&amp;"+L"&amp;A27&amp;""</f>
        <v>L13+L14+L15+L16+L17</v>
      </c>
      <c r="J30" s="42"/>
      <c r="L30" s="42"/>
      <c r="N30" s="42"/>
    </row>
    <row r="31" spans="1:14" ht="13" x14ac:dyDescent="0.3">
      <c r="A31" s="36"/>
      <c r="B31" s="32" t="s">
        <v>67</v>
      </c>
      <c r="J31" s="42"/>
      <c r="L31" s="42"/>
      <c r="N31" s="42"/>
    </row>
    <row r="32" spans="1:14" ht="13" x14ac:dyDescent="0.3">
      <c r="A32" s="37" t="s">
        <v>39</v>
      </c>
      <c r="C32" s="32"/>
      <c r="J32" s="42"/>
      <c r="L32" s="42"/>
      <c r="N32" s="42"/>
    </row>
    <row r="33" spans="1:14" ht="13" x14ac:dyDescent="0.3">
      <c r="A33" s="36">
        <f>A29+1</f>
        <v>19</v>
      </c>
      <c r="C33" s="33" t="s">
        <v>68</v>
      </c>
      <c r="G33" s="33" t="s">
        <v>69</v>
      </c>
      <c r="H33" s="33" t="str">
        <f>"Instruction 1, Line "&amp;B98&amp;""</f>
        <v>Instruction 1, Line j</v>
      </c>
      <c r="J33" s="50">
        <f>E98</f>
        <v>7.7411713785852182E-2</v>
      </c>
      <c r="L33" s="50"/>
      <c r="M33" s="50"/>
      <c r="N33" s="50"/>
    </row>
    <row r="34" spans="1:14" ht="13" x14ac:dyDescent="0.3">
      <c r="A34" s="36">
        <f>A33+1</f>
        <v>20</v>
      </c>
      <c r="C34" s="33" t="s">
        <v>70</v>
      </c>
      <c r="H34" s="33" t="str">
        <f>"Line "&amp;A29&amp;" * Line "&amp;A33&amp;""</f>
        <v>Line 18 * Line 19</v>
      </c>
      <c r="J34" s="45">
        <f>J29*J33</f>
        <v>471256318.01716298</v>
      </c>
      <c r="L34" s="42"/>
      <c r="N34" s="42"/>
    </row>
    <row r="35" spans="1:14" ht="13" x14ac:dyDescent="0.3">
      <c r="A35" s="36"/>
      <c r="B35" s="38"/>
      <c r="L35" s="42"/>
      <c r="N35" s="42"/>
    </row>
    <row r="36" spans="1:14" ht="13" x14ac:dyDescent="0.3">
      <c r="A36" s="36"/>
      <c r="B36" s="32" t="s">
        <v>71</v>
      </c>
      <c r="L36" s="42"/>
      <c r="N36" s="42"/>
    </row>
    <row r="37" spans="1:14" ht="13" x14ac:dyDescent="0.3">
      <c r="A37" s="36"/>
      <c r="B37" s="38"/>
      <c r="L37" s="42"/>
      <c r="N37" s="42"/>
    </row>
    <row r="38" spans="1:14" ht="13" x14ac:dyDescent="0.3">
      <c r="A38" s="36">
        <f>A34+1</f>
        <v>21</v>
      </c>
      <c r="C38" s="33" t="s">
        <v>72</v>
      </c>
      <c r="J38" s="45">
        <f>(((J29*J42) + J45) *(J43/(1-J43)))+(J44/(1-J43))</f>
        <v>98292595.280514717</v>
      </c>
      <c r="L38" s="42"/>
      <c r="N38" s="42"/>
    </row>
    <row r="39" spans="1:14" ht="13" x14ac:dyDescent="0.3">
      <c r="A39" s="36"/>
      <c r="L39" s="42"/>
      <c r="N39" s="42"/>
    </row>
    <row r="40" spans="1:14" ht="13" x14ac:dyDescent="0.3">
      <c r="A40" s="36"/>
      <c r="D40" s="33" t="s">
        <v>73</v>
      </c>
      <c r="L40" s="42"/>
      <c r="N40" s="42"/>
    </row>
    <row r="41" spans="1:14" ht="13" x14ac:dyDescent="0.3">
      <c r="A41" s="36">
        <f>A38+1</f>
        <v>22</v>
      </c>
      <c r="D41" s="38" t="s">
        <v>74</v>
      </c>
      <c r="H41" s="33" t="str">
        <f>"Line "&amp;A29&amp;""</f>
        <v>Line 18</v>
      </c>
      <c r="J41" s="45">
        <f>J29</f>
        <v>6087661607.9166317</v>
      </c>
      <c r="L41" s="42"/>
      <c r="N41" s="42"/>
    </row>
    <row r="42" spans="1:14" ht="13" x14ac:dyDescent="0.3">
      <c r="A42" s="36">
        <f>A41+1</f>
        <v>23</v>
      </c>
      <c r="D42" s="38" t="s">
        <v>75</v>
      </c>
      <c r="G42" s="33" t="s">
        <v>76</v>
      </c>
      <c r="H42" s="33" t="str">
        <f>"Instruction 1, Line "&amp;B103&amp;""</f>
        <v>Instruction 1, Line k</v>
      </c>
      <c r="J42" s="50">
        <f>E103</f>
        <v>5.6784747193324485E-2</v>
      </c>
      <c r="L42" s="50"/>
      <c r="M42" s="50"/>
      <c r="N42" s="50"/>
    </row>
    <row r="43" spans="1:14" ht="13" x14ac:dyDescent="0.3">
      <c r="A43" s="36">
        <f>A42+1</f>
        <v>24</v>
      </c>
      <c r="D43" s="38" t="s">
        <v>77</v>
      </c>
      <c r="H43" s="33" t="s">
        <v>461</v>
      </c>
      <c r="J43" s="50">
        <v>0.27983599999999997</v>
      </c>
      <c r="L43" s="50"/>
      <c r="M43" s="50"/>
      <c r="N43" s="50"/>
    </row>
    <row r="44" spans="1:14" ht="13" x14ac:dyDescent="0.3">
      <c r="A44" s="36">
        <f>A43+1</f>
        <v>25</v>
      </c>
      <c r="D44" s="38" t="s">
        <v>78</v>
      </c>
      <c r="H44" s="33" t="s">
        <v>462</v>
      </c>
      <c r="J44" s="42">
        <v>-27044842</v>
      </c>
      <c r="L44" s="42"/>
      <c r="N44" s="42"/>
    </row>
    <row r="45" spans="1:14" ht="13" x14ac:dyDescent="0.3">
      <c r="A45" s="36">
        <f>A44+1</f>
        <v>26</v>
      </c>
      <c r="D45" s="38" t="s">
        <v>79</v>
      </c>
      <c r="H45" s="33" t="s">
        <v>463</v>
      </c>
      <c r="J45" s="42">
        <v>3917123</v>
      </c>
      <c r="L45" s="42"/>
      <c r="N45" s="42"/>
    </row>
    <row r="46" spans="1:14" ht="13" x14ac:dyDescent="0.3">
      <c r="A46" s="36"/>
      <c r="B46" s="38"/>
      <c r="L46" s="42"/>
      <c r="N46" s="42"/>
    </row>
    <row r="47" spans="1:14" ht="13" x14ac:dyDescent="0.3">
      <c r="A47" s="36"/>
      <c r="B47" s="32" t="s">
        <v>80</v>
      </c>
      <c r="L47" s="42"/>
      <c r="N47" s="42"/>
    </row>
    <row r="48" spans="1:14" ht="13" x14ac:dyDescent="0.3">
      <c r="A48" s="36">
        <f>A45+1</f>
        <v>27</v>
      </c>
      <c r="B48" s="38"/>
      <c r="C48" s="33" t="s">
        <v>81</v>
      </c>
      <c r="H48" s="33" t="s">
        <v>464</v>
      </c>
      <c r="J48" s="42">
        <v>110879588.38578117</v>
      </c>
      <c r="L48" s="42"/>
      <c r="N48" s="42"/>
    </row>
    <row r="49" spans="1:14" ht="13" x14ac:dyDescent="0.3">
      <c r="A49" s="36">
        <f t="shared" ref="A49:A59" si="1">A48+1</f>
        <v>28</v>
      </c>
      <c r="B49" s="38"/>
      <c r="C49" s="33" t="s">
        <v>82</v>
      </c>
      <c r="H49" s="33" t="s">
        <v>465</v>
      </c>
      <c r="J49" s="45">
        <v>87550193.519819111</v>
      </c>
      <c r="L49" s="42"/>
      <c r="N49" s="42"/>
    </row>
    <row r="50" spans="1:14" ht="13" x14ac:dyDescent="0.3">
      <c r="A50" s="36">
        <f>A49+1</f>
        <v>29</v>
      </c>
      <c r="B50" s="38"/>
      <c r="C50" s="33" t="s">
        <v>83</v>
      </c>
      <c r="H50" s="33" t="s">
        <v>466</v>
      </c>
      <c r="J50" s="42">
        <v>4075483.5901751588</v>
      </c>
      <c r="L50" s="42"/>
      <c r="N50" s="42"/>
    </row>
    <row r="51" spans="1:14" ht="13" x14ac:dyDescent="0.3">
      <c r="A51" s="36">
        <f t="shared" si="1"/>
        <v>30</v>
      </c>
      <c r="B51" s="38"/>
      <c r="C51" s="33" t="s">
        <v>84</v>
      </c>
      <c r="H51" s="33" t="s">
        <v>467</v>
      </c>
      <c r="J51" s="42">
        <v>255151988.45508885</v>
      </c>
      <c r="L51" s="42"/>
      <c r="N51" s="42"/>
    </row>
    <row r="52" spans="1:14" ht="13" x14ac:dyDescent="0.3">
      <c r="A52" s="36">
        <f t="shared" si="1"/>
        <v>31</v>
      </c>
      <c r="B52" s="38"/>
      <c r="C52" s="33" t="s">
        <v>85</v>
      </c>
      <c r="H52" s="33" t="s">
        <v>468</v>
      </c>
      <c r="J52" s="42">
        <v>0</v>
      </c>
      <c r="L52" s="42"/>
      <c r="N52" s="42"/>
    </row>
    <row r="53" spans="1:14" ht="13" x14ac:dyDescent="0.3">
      <c r="A53" s="36">
        <f t="shared" si="1"/>
        <v>32</v>
      </c>
      <c r="B53" s="38"/>
      <c r="C53" s="33" t="s">
        <v>86</v>
      </c>
      <c r="H53" s="33" t="s">
        <v>469</v>
      </c>
      <c r="J53" s="42">
        <v>66056888.527829707</v>
      </c>
      <c r="L53" s="42"/>
      <c r="N53" s="42"/>
    </row>
    <row r="54" spans="1:14" ht="13" x14ac:dyDescent="0.3">
      <c r="A54" s="36">
        <f t="shared" si="1"/>
        <v>33</v>
      </c>
      <c r="B54" s="38"/>
      <c r="C54" s="33" t="s">
        <v>87</v>
      </c>
      <c r="H54" s="33" t="s">
        <v>470</v>
      </c>
      <c r="J54" s="42">
        <v>-54094032.244774804</v>
      </c>
      <c r="L54" s="42"/>
      <c r="N54" s="42"/>
    </row>
    <row r="55" spans="1:14" ht="13" x14ac:dyDescent="0.3">
      <c r="A55" s="36">
        <f t="shared" si="1"/>
        <v>34</v>
      </c>
      <c r="B55" s="38"/>
      <c r="C55" s="33" t="s">
        <v>88</v>
      </c>
      <c r="H55" s="33" t="str">
        <f>"Line "&amp;A34&amp;""</f>
        <v>Line 20</v>
      </c>
      <c r="J55" s="45">
        <f>J34</f>
        <v>471256318.01716298</v>
      </c>
      <c r="L55" s="42"/>
      <c r="N55" s="42"/>
    </row>
    <row r="56" spans="1:14" ht="13" x14ac:dyDescent="0.3">
      <c r="A56" s="36">
        <f t="shared" si="1"/>
        <v>35</v>
      </c>
      <c r="B56" s="38"/>
      <c r="C56" s="33" t="s">
        <v>89</v>
      </c>
      <c r="H56" s="33" t="str">
        <f>"Line "&amp;A38&amp;""</f>
        <v>Line 21</v>
      </c>
      <c r="J56" s="45">
        <f>J38</f>
        <v>98292595.280514717</v>
      </c>
      <c r="L56" s="42"/>
      <c r="N56" s="42"/>
    </row>
    <row r="57" spans="1:14" ht="13" x14ac:dyDescent="0.3">
      <c r="A57" s="36">
        <f t="shared" si="1"/>
        <v>36</v>
      </c>
      <c r="B57" s="38"/>
      <c r="C57" s="33" t="s">
        <v>90</v>
      </c>
      <c r="H57" s="33" t="s">
        <v>471</v>
      </c>
      <c r="J57" s="42">
        <v>0</v>
      </c>
      <c r="L57" s="42"/>
      <c r="N57" s="42"/>
    </row>
    <row r="58" spans="1:14" ht="13" x14ac:dyDescent="0.3">
      <c r="A58" s="36">
        <f t="shared" si="1"/>
        <v>37</v>
      </c>
      <c r="B58" s="38"/>
      <c r="C58" s="51" t="s">
        <v>91</v>
      </c>
      <c r="D58" s="51"/>
      <c r="H58" s="33" t="s">
        <v>472</v>
      </c>
      <c r="J58" s="48">
        <v>0</v>
      </c>
      <c r="L58" s="42"/>
      <c r="N58" s="42"/>
    </row>
    <row r="59" spans="1:14" ht="13" x14ac:dyDescent="0.3">
      <c r="A59" s="36">
        <f t="shared" si="1"/>
        <v>38</v>
      </c>
      <c r="B59" s="38"/>
      <c r="C59" s="33" t="s">
        <v>92</v>
      </c>
      <c r="H59" s="33" t="str">
        <f>"Sum Line "&amp;A48&amp;" to Line "&amp;A58&amp;""</f>
        <v>Sum Line 27 to Line 37</v>
      </c>
      <c r="J59" s="45">
        <f>SUM(J48:J58)</f>
        <v>1039169023.5315969</v>
      </c>
      <c r="L59" s="42"/>
      <c r="N59" s="42"/>
    </row>
    <row r="60" spans="1:14" ht="13" x14ac:dyDescent="0.3">
      <c r="A60" s="36"/>
      <c r="B60" s="38"/>
      <c r="J60" s="42"/>
      <c r="L60" s="42"/>
      <c r="N60" s="42"/>
    </row>
    <row r="61" spans="1:14" ht="12.75" customHeight="1" x14ac:dyDescent="0.3">
      <c r="A61" s="36">
        <f>A59+1</f>
        <v>39</v>
      </c>
      <c r="B61" s="38"/>
      <c r="C61" s="33" t="s">
        <v>93</v>
      </c>
      <c r="H61" s="33" t="s">
        <v>484</v>
      </c>
      <c r="J61" s="42">
        <v>26714525.602631234</v>
      </c>
      <c r="L61" s="42"/>
      <c r="N61" s="42"/>
    </row>
    <row r="62" spans="1:14" ht="12.75" customHeight="1" x14ac:dyDescent="0.3">
      <c r="A62" s="36" t="s">
        <v>148</v>
      </c>
      <c r="B62" s="38"/>
      <c r="C62" s="33" t="s">
        <v>149</v>
      </c>
      <c r="H62" s="33" t="s">
        <v>150</v>
      </c>
      <c r="J62" s="42">
        <f>-J61</f>
        <v>-26714525.602631234</v>
      </c>
      <c r="L62" s="42"/>
      <c r="N62" s="42"/>
    </row>
    <row r="63" spans="1:14" ht="13" x14ac:dyDescent="0.3">
      <c r="A63" s="36"/>
      <c r="B63" s="38"/>
      <c r="J63" s="42"/>
      <c r="L63" s="42"/>
      <c r="N63" s="42"/>
    </row>
    <row r="64" spans="1:14" ht="13" x14ac:dyDescent="0.3">
      <c r="A64" s="36">
        <f>A61+1</f>
        <v>40</v>
      </c>
      <c r="B64" s="38"/>
      <c r="C64" s="33" t="s">
        <v>94</v>
      </c>
      <c r="H64" s="33" t="str">
        <f>"Sum of Lines "&amp;A59&amp;" to "&amp;A62&amp;""</f>
        <v>Sum of Lines 38 to 39a</v>
      </c>
      <c r="J64" s="45">
        <f>J59+J61+J62</f>
        <v>1039169023.5315969</v>
      </c>
      <c r="L64" s="42"/>
      <c r="N64" s="42"/>
    </row>
    <row r="65" spans="1:15" ht="13" x14ac:dyDescent="0.3">
      <c r="A65" s="36"/>
      <c r="B65" s="38"/>
      <c r="J65" s="42"/>
    </row>
    <row r="66" spans="1:15" ht="13" x14ac:dyDescent="0.3">
      <c r="A66" s="36"/>
      <c r="B66" s="34" t="s">
        <v>95</v>
      </c>
      <c r="J66" s="42"/>
      <c r="N66" s="36"/>
    </row>
    <row r="67" spans="1:15" ht="13.5" thickBot="1" x14ac:dyDescent="0.35">
      <c r="A67" s="37" t="s">
        <v>39</v>
      </c>
      <c r="B67" s="41"/>
      <c r="G67" s="39" t="s">
        <v>96</v>
      </c>
      <c r="N67" s="40"/>
    </row>
    <row r="68" spans="1:15" ht="13" x14ac:dyDescent="0.3">
      <c r="A68" s="36">
        <f>A64+1</f>
        <v>41</v>
      </c>
      <c r="B68" s="41"/>
      <c r="D68" s="52" t="s">
        <v>97</v>
      </c>
      <c r="E68" s="45">
        <f>J64</f>
        <v>1039169023.5315969</v>
      </c>
      <c r="G68" s="33" t="str">
        <f>"Line "&amp;A64&amp;""</f>
        <v>Line 40</v>
      </c>
      <c r="J68" s="53" t="s">
        <v>98</v>
      </c>
      <c r="N68" s="42"/>
    </row>
    <row r="69" spans="1:15" ht="13" x14ac:dyDescent="0.3">
      <c r="A69" s="36">
        <f>A68+1</f>
        <v>42</v>
      </c>
      <c r="B69" s="41"/>
      <c r="D69" s="52" t="s">
        <v>99</v>
      </c>
      <c r="E69" s="54">
        <v>9.2480778683301876E-3</v>
      </c>
      <c r="G69" s="33" t="s">
        <v>485</v>
      </c>
      <c r="J69" s="55" t="s">
        <v>165</v>
      </c>
      <c r="N69" s="50"/>
    </row>
    <row r="70" spans="1:15" ht="13" x14ac:dyDescent="0.3">
      <c r="A70" s="36">
        <f>A69+1</f>
        <v>43</v>
      </c>
      <c r="B70" s="41"/>
      <c r="D70" s="52" t="s">
        <v>100</v>
      </c>
      <c r="E70" s="45">
        <f>E68*E69</f>
        <v>9610316.0479768533</v>
      </c>
      <c r="G70" s="33" t="str">
        <f>"Line "&amp;A68&amp;" * Line "&amp;A69&amp;""</f>
        <v>Line 41 * Line 42</v>
      </c>
      <c r="J70" s="56">
        <f>E73</f>
        <v>1050996934.1582353</v>
      </c>
      <c r="N70" s="42"/>
    </row>
    <row r="71" spans="1:15" ht="25.5" customHeight="1" x14ac:dyDescent="0.3">
      <c r="A71" s="36">
        <f>A70+1</f>
        <v>44</v>
      </c>
      <c r="B71" s="41"/>
      <c r="D71" s="52" t="s">
        <v>101</v>
      </c>
      <c r="E71" s="54">
        <v>2.1340075853350199E-3</v>
      </c>
      <c r="G71" s="33" t="s">
        <v>485</v>
      </c>
      <c r="J71" s="57">
        <v>1051023551.6159867</v>
      </c>
      <c r="K71" s="360" t="s">
        <v>396</v>
      </c>
      <c r="L71" s="361"/>
      <c r="M71" s="361"/>
      <c r="N71" s="361"/>
    </row>
    <row r="72" spans="1:15" ht="13.5" thickBot="1" x14ac:dyDescent="0.35">
      <c r="A72" s="36">
        <f>A71+1</f>
        <v>45</v>
      </c>
      <c r="B72" s="41"/>
      <c r="D72" s="52" t="s">
        <v>102</v>
      </c>
      <c r="E72" s="45">
        <f>E68*E71</f>
        <v>2217594.5786616136</v>
      </c>
      <c r="G72" s="33" t="str">
        <f>"Line "&amp;A68&amp;" * Line "&amp;A71&amp;""</f>
        <v>Line 41 * Line 44</v>
      </c>
      <c r="J72" s="58">
        <f>J70-J71</f>
        <v>-26617.457751393318</v>
      </c>
      <c r="K72" s="79"/>
      <c r="L72" s="80"/>
      <c r="N72" s="42"/>
    </row>
    <row r="73" spans="1:15" ht="13" x14ac:dyDescent="0.3">
      <c r="A73" s="36">
        <f>A72+1</f>
        <v>46</v>
      </c>
      <c r="B73" s="41"/>
      <c r="D73" s="52" t="s">
        <v>103</v>
      </c>
      <c r="E73" s="45">
        <f>E68+E70+E72</f>
        <v>1050996934.1582353</v>
      </c>
      <c r="G73" s="33" t="str">
        <f>"L "&amp;A68&amp;" + L "&amp;A70&amp;" + L "&amp;A72&amp;""</f>
        <v>L 41 + L 43 + L 45</v>
      </c>
      <c r="L73" s="42"/>
      <c r="N73" s="42"/>
    </row>
    <row r="74" spans="1:15" ht="13" x14ac:dyDescent="0.3">
      <c r="B74" s="34" t="s">
        <v>104</v>
      </c>
      <c r="D74" s="52"/>
      <c r="E74" s="42"/>
      <c r="H74" s="59"/>
      <c r="L74" s="142">
        <f>50/365</f>
        <v>0.13698630136986301</v>
      </c>
      <c r="M74" s="143" t="s">
        <v>295</v>
      </c>
      <c r="N74" s="143"/>
      <c r="O74" s="267"/>
    </row>
    <row r="75" spans="1:15" ht="28" customHeight="1" x14ac:dyDescent="0.3">
      <c r="A75" s="36"/>
      <c r="B75" s="33" t="s">
        <v>145</v>
      </c>
      <c r="C75" s="34"/>
      <c r="D75" s="52"/>
      <c r="E75" s="42"/>
      <c r="L75" s="48">
        <f>J72*L74</f>
        <v>-3646.2270892319611</v>
      </c>
      <c r="M75" s="363" t="s">
        <v>403</v>
      </c>
      <c r="N75" s="363"/>
      <c r="O75" s="267"/>
    </row>
    <row r="76" spans="1:15" ht="13" customHeight="1" x14ac:dyDescent="0.3">
      <c r="A76" s="36"/>
      <c r="B76" s="33" t="s">
        <v>146</v>
      </c>
      <c r="C76" s="34"/>
      <c r="D76" s="52"/>
      <c r="E76" s="42"/>
      <c r="L76" s="145">
        <f>SUM(L75:L75)</f>
        <v>-3646.2270892319611</v>
      </c>
      <c r="M76" s="143" t="s">
        <v>169</v>
      </c>
      <c r="N76" s="143"/>
      <c r="O76" s="267"/>
    </row>
    <row r="77" spans="1:15" ht="13" x14ac:dyDescent="0.3">
      <c r="A77" s="36"/>
      <c r="B77" s="41" t="s">
        <v>105</v>
      </c>
      <c r="D77" s="52"/>
      <c r="E77" s="42"/>
      <c r="L77" s="48"/>
      <c r="M77" s="43"/>
      <c r="N77" s="43"/>
    </row>
    <row r="78" spans="1:15" ht="13" x14ac:dyDescent="0.3">
      <c r="A78" s="36"/>
      <c r="B78" s="41" t="s">
        <v>106</v>
      </c>
      <c r="D78" s="52"/>
      <c r="E78" s="42"/>
      <c r="L78" s="42"/>
    </row>
    <row r="79" spans="1:15" ht="13" x14ac:dyDescent="0.3">
      <c r="A79" s="36"/>
    </row>
    <row r="80" spans="1:15" ht="13" x14ac:dyDescent="0.3">
      <c r="A80" s="36"/>
      <c r="B80" s="33" t="s">
        <v>107</v>
      </c>
    </row>
    <row r="81" spans="1:10" ht="13" x14ac:dyDescent="0.3">
      <c r="A81" s="36"/>
      <c r="C81" s="33" t="s">
        <v>108</v>
      </c>
    </row>
    <row r="82" spans="1:10" ht="13" x14ac:dyDescent="0.3">
      <c r="A82" s="36"/>
      <c r="J82" s="36" t="s">
        <v>109</v>
      </c>
    </row>
    <row r="83" spans="1:10" ht="13" x14ac:dyDescent="0.3">
      <c r="A83" s="36"/>
      <c r="E83" s="40" t="s">
        <v>110</v>
      </c>
      <c r="F83" s="39" t="s">
        <v>96</v>
      </c>
      <c r="G83" s="40" t="s">
        <v>111</v>
      </c>
      <c r="H83" s="40" t="s">
        <v>112</v>
      </c>
      <c r="J83" s="40" t="s">
        <v>113</v>
      </c>
    </row>
    <row r="84" spans="1:10" ht="13" x14ac:dyDescent="0.3">
      <c r="B84" s="60" t="s">
        <v>114</v>
      </c>
      <c r="C84" s="33" t="s">
        <v>115</v>
      </c>
      <c r="E84" s="155">
        <v>0.10299999999999999</v>
      </c>
      <c r="F84" s="33" t="s">
        <v>118</v>
      </c>
      <c r="G84" s="78">
        <v>43781</v>
      </c>
      <c r="H84" s="78">
        <v>43830</v>
      </c>
      <c r="J84" s="156">
        <v>50</v>
      </c>
    </row>
    <row r="85" spans="1:10" ht="13" x14ac:dyDescent="0.3">
      <c r="B85" s="60" t="s">
        <v>116</v>
      </c>
      <c r="C85" s="33" t="s">
        <v>117</v>
      </c>
      <c r="E85" s="155">
        <v>0.112</v>
      </c>
      <c r="F85" s="33" t="s">
        <v>147</v>
      </c>
      <c r="G85" s="78">
        <v>43466</v>
      </c>
      <c r="H85" s="78">
        <v>43780</v>
      </c>
      <c r="J85" s="156">
        <v>315</v>
      </c>
    </row>
    <row r="86" spans="1:10" ht="13" x14ac:dyDescent="0.3">
      <c r="B86" s="60" t="s">
        <v>119</v>
      </c>
      <c r="E86" s="63"/>
      <c r="G86" s="64"/>
      <c r="H86" s="64"/>
      <c r="I86" s="52" t="s">
        <v>120</v>
      </c>
      <c r="J86" s="66">
        <f>SUM(J84:J85)</f>
        <v>365</v>
      </c>
    </row>
    <row r="87" spans="1:10" ht="13" x14ac:dyDescent="0.3">
      <c r="B87" s="60" t="s">
        <v>121</v>
      </c>
      <c r="C87" s="33" t="s">
        <v>122</v>
      </c>
      <c r="E87" s="61">
        <f>((E84*J84) + (E85* J85)) / J86</f>
        <v>0.11076712328767123</v>
      </c>
      <c r="F87" s="33" t="s">
        <v>123</v>
      </c>
    </row>
    <row r="88" spans="1:10" ht="13" x14ac:dyDescent="0.3">
      <c r="A88" s="36"/>
    </row>
    <row r="89" spans="1:10" ht="13" x14ac:dyDescent="0.3">
      <c r="A89" s="36"/>
      <c r="B89" s="33" t="s">
        <v>124</v>
      </c>
    </row>
    <row r="90" spans="1:10" ht="13" x14ac:dyDescent="0.3">
      <c r="A90" s="36"/>
      <c r="E90" s="39" t="s">
        <v>96</v>
      </c>
    </row>
    <row r="91" spans="1:10" ht="13" x14ac:dyDescent="0.3">
      <c r="B91" s="60" t="s">
        <v>125</v>
      </c>
      <c r="C91" s="33" t="s">
        <v>126</v>
      </c>
      <c r="E91" s="157" t="s">
        <v>166</v>
      </c>
      <c r="F91" s="62"/>
      <c r="G91" s="62"/>
      <c r="H91" s="62"/>
      <c r="I91" s="62"/>
      <c r="J91" s="62"/>
    </row>
    <row r="92" spans="1:10" ht="13" x14ac:dyDescent="0.3">
      <c r="B92" s="60" t="s">
        <v>127</v>
      </c>
      <c r="C92" s="33" t="s">
        <v>128</v>
      </c>
      <c r="E92" s="157" t="s">
        <v>167</v>
      </c>
      <c r="F92" s="62"/>
      <c r="G92" s="62"/>
      <c r="H92" s="62"/>
      <c r="I92" s="62"/>
      <c r="J92" s="62"/>
    </row>
    <row r="93" spans="1:10" x14ac:dyDescent="0.25">
      <c r="E93" s="64"/>
    </row>
    <row r="94" spans="1:10" ht="13" x14ac:dyDescent="0.3">
      <c r="E94" s="40" t="s">
        <v>110</v>
      </c>
      <c r="F94" s="39" t="s">
        <v>96</v>
      </c>
    </row>
    <row r="95" spans="1:10" ht="13" x14ac:dyDescent="0.3">
      <c r="B95" s="60" t="s">
        <v>129</v>
      </c>
      <c r="C95" s="33" t="s">
        <v>130</v>
      </c>
      <c r="E95" s="158">
        <v>2.0626966592527701E-2</v>
      </c>
      <c r="F95" s="33" t="s">
        <v>473</v>
      </c>
    </row>
    <row r="96" spans="1:10" ht="13" x14ac:dyDescent="0.3">
      <c r="B96" s="60" t="s">
        <v>131</v>
      </c>
      <c r="C96" s="33" t="s">
        <v>132</v>
      </c>
      <c r="E96" s="158">
        <v>4.1703636316806555E-3</v>
      </c>
      <c r="F96" s="33" t="s">
        <v>474</v>
      </c>
    </row>
    <row r="97" spans="1:10" ht="13" x14ac:dyDescent="0.3">
      <c r="B97" s="60" t="s">
        <v>133</v>
      </c>
      <c r="C97" s="33" t="s">
        <v>134</v>
      </c>
      <c r="E97" s="159">
        <v>5.2614383561643829E-2</v>
      </c>
      <c r="F97" s="33" t="s">
        <v>475</v>
      </c>
    </row>
    <row r="98" spans="1:10" ht="13" x14ac:dyDescent="0.3">
      <c r="B98" s="36" t="s">
        <v>135</v>
      </c>
      <c r="C98" s="38" t="s">
        <v>68</v>
      </c>
      <c r="E98" s="158">
        <f>SUM(E95:E97)</f>
        <v>7.7411713785852182E-2</v>
      </c>
      <c r="F98" s="42" t="str">
        <f>"Sum of Lines "&amp;B95&amp;" to "&amp;B97&amp;""</f>
        <v>Sum of Lines g to i</v>
      </c>
      <c r="G98" s="66"/>
      <c r="J98" s="67"/>
    </row>
    <row r="99" spans="1:10" ht="13" x14ac:dyDescent="0.3">
      <c r="A99" s="36"/>
      <c r="C99" s="68"/>
      <c r="D99" s="69"/>
      <c r="E99" s="42"/>
      <c r="F99" s="42"/>
      <c r="G99" s="66"/>
      <c r="H99" s="42"/>
      <c r="J99" s="67"/>
    </row>
    <row r="100" spans="1:10" ht="13" x14ac:dyDescent="0.3">
      <c r="A100" s="36"/>
      <c r="B100" s="33" t="s">
        <v>136</v>
      </c>
    </row>
    <row r="101" spans="1:10" ht="13" x14ac:dyDescent="0.3">
      <c r="A101" s="36"/>
    </row>
    <row r="102" spans="1:10" ht="13" x14ac:dyDescent="0.3">
      <c r="A102" s="36"/>
      <c r="E102" s="40" t="s">
        <v>110</v>
      </c>
      <c r="F102" s="39" t="s">
        <v>96</v>
      </c>
    </row>
    <row r="103" spans="1:10" ht="13" x14ac:dyDescent="0.3">
      <c r="B103" s="60" t="s">
        <v>137</v>
      </c>
      <c r="E103" s="158">
        <f>E96+E97</f>
        <v>5.6784747193324485E-2</v>
      </c>
      <c r="F103" s="42" t="str">
        <f>"Sum of Lines "&amp;B96&amp;" to "&amp;B97&amp;""</f>
        <v>Sum of Lines h to i</v>
      </c>
    </row>
    <row r="104" spans="1:10" ht="13" x14ac:dyDescent="0.3">
      <c r="A104" s="36"/>
      <c r="E104" s="50"/>
      <c r="F104" s="42"/>
    </row>
    <row r="105" spans="1:10" ht="13" x14ac:dyDescent="0.3">
      <c r="A105" s="36"/>
      <c r="B105" s="37" t="s">
        <v>152</v>
      </c>
      <c r="E105" s="66"/>
      <c r="F105" s="66"/>
      <c r="G105" s="66"/>
      <c r="H105" s="42"/>
    </row>
    <row r="106" spans="1:10" ht="13" x14ac:dyDescent="0.3">
      <c r="A106" s="36"/>
      <c r="B106" s="33" t="s">
        <v>153</v>
      </c>
    </row>
    <row r="107" spans="1:10" ht="13" x14ac:dyDescent="0.3">
      <c r="A107" s="36"/>
      <c r="B107" s="38" t="s">
        <v>168</v>
      </c>
      <c r="D107" s="36"/>
      <c r="E107" s="36"/>
      <c r="F107" s="36"/>
      <c r="G107" s="36"/>
      <c r="H107" s="36"/>
    </row>
    <row r="108" spans="1:10" ht="13" x14ac:dyDescent="0.3">
      <c r="A108" s="36"/>
      <c r="B108" s="41"/>
      <c r="D108" s="36"/>
      <c r="E108" s="36"/>
      <c r="F108" s="36"/>
      <c r="G108" s="36"/>
      <c r="H108" s="36"/>
    </row>
    <row r="109" spans="1:10" ht="13" x14ac:dyDescent="0.3">
      <c r="A109" s="36"/>
      <c r="C109" s="70"/>
      <c r="D109" s="70"/>
      <c r="E109" s="40"/>
      <c r="F109" s="40"/>
      <c r="G109" s="40"/>
      <c r="H109" s="40"/>
    </row>
    <row r="110" spans="1:10" ht="13" x14ac:dyDescent="0.3">
      <c r="A110" s="36"/>
    </row>
    <row r="111" spans="1:10" ht="13" x14ac:dyDescent="0.3">
      <c r="A111" s="36"/>
    </row>
    <row r="112" spans="1:10" ht="13" x14ac:dyDescent="0.3">
      <c r="A112" s="36"/>
    </row>
    <row r="113" spans="1:10" ht="13" x14ac:dyDescent="0.3">
      <c r="A113" s="36"/>
      <c r="C113" s="68"/>
      <c r="E113" s="42"/>
      <c r="F113" s="42"/>
      <c r="H113" s="42"/>
      <c r="J113" s="67"/>
    </row>
    <row r="114" spans="1:10" ht="13" x14ac:dyDescent="0.3">
      <c r="A114" s="36"/>
      <c r="C114" s="68"/>
      <c r="E114" s="42"/>
      <c r="F114" s="42"/>
      <c r="H114" s="42"/>
      <c r="J114" s="67"/>
    </row>
    <row r="115" spans="1:10" ht="13" x14ac:dyDescent="0.3">
      <c r="A115" s="37"/>
      <c r="C115" s="68"/>
      <c r="E115" s="42"/>
      <c r="F115" s="42"/>
      <c r="H115" s="42"/>
      <c r="J115" s="67"/>
    </row>
    <row r="116" spans="1:10" ht="13" x14ac:dyDescent="0.3">
      <c r="A116" s="36"/>
      <c r="D116" s="71"/>
      <c r="E116" s="42"/>
      <c r="F116" s="42"/>
      <c r="H116" s="42"/>
      <c r="J116" s="67"/>
    </row>
    <row r="117" spans="1:10" ht="13" x14ac:dyDescent="0.3">
      <c r="A117" s="36"/>
      <c r="C117" s="68"/>
      <c r="D117" s="52"/>
      <c r="E117" s="48"/>
      <c r="F117" s="42"/>
      <c r="H117" s="42"/>
      <c r="J117" s="67"/>
    </row>
    <row r="118" spans="1:10" ht="13" x14ac:dyDescent="0.3">
      <c r="A118" s="36"/>
      <c r="C118" s="68"/>
      <c r="D118" s="52"/>
      <c r="E118" s="42"/>
      <c r="F118" s="42"/>
      <c r="H118" s="42"/>
      <c r="J118" s="67"/>
    </row>
    <row r="119" spans="1:10" ht="13" x14ac:dyDescent="0.3">
      <c r="A119" s="36"/>
    </row>
    <row r="120" spans="1:10" ht="13" x14ac:dyDescent="0.3">
      <c r="A120" s="36"/>
      <c r="B120" s="32"/>
    </row>
    <row r="121" spans="1:10" ht="13" x14ac:dyDescent="0.3">
      <c r="A121" s="36"/>
    </row>
    <row r="122" spans="1:10" ht="13" x14ac:dyDescent="0.3">
      <c r="A122" s="36"/>
    </row>
    <row r="123" spans="1:10" ht="13" x14ac:dyDescent="0.3">
      <c r="A123" s="36"/>
      <c r="F123" s="36"/>
    </row>
    <row r="124" spans="1:10" ht="13" x14ac:dyDescent="0.3">
      <c r="A124" s="36"/>
      <c r="F124" s="36"/>
    </row>
    <row r="125" spans="1:10" ht="13" x14ac:dyDescent="0.3">
      <c r="A125" s="36"/>
      <c r="D125" s="36"/>
      <c r="E125" s="36"/>
      <c r="F125" s="36"/>
      <c r="H125" s="36"/>
    </row>
    <row r="126" spans="1:10" ht="13" x14ac:dyDescent="0.3">
      <c r="A126" s="36"/>
      <c r="D126" s="36"/>
      <c r="E126" s="36"/>
      <c r="F126" s="36"/>
      <c r="G126" s="36"/>
      <c r="H126" s="60"/>
    </row>
    <row r="127" spans="1:10" ht="13" x14ac:dyDescent="0.3">
      <c r="A127" s="37"/>
      <c r="C127" s="70"/>
      <c r="D127" s="70"/>
      <c r="E127" s="40"/>
      <c r="F127" s="72"/>
      <c r="G127" s="40"/>
      <c r="H127" s="60"/>
    </row>
    <row r="128" spans="1:10" ht="13" x14ac:dyDescent="0.3">
      <c r="A128" s="36"/>
      <c r="C128" s="68"/>
      <c r="D128" s="69"/>
      <c r="E128" s="42"/>
      <c r="F128" s="42"/>
      <c r="G128" s="61"/>
      <c r="H128" s="42"/>
    </row>
    <row r="129" spans="1:8" ht="13" x14ac:dyDescent="0.3">
      <c r="A129" s="36"/>
      <c r="C129" s="68"/>
      <c r="D129" s="69"/>
      <c r="E129" s="42"/>
      <c r="F129" s="42"/>
      <c r="G129" s="61"/>
      <c r="H129" s="42"/>
    </row>
    <row r="130" spans="1:8" ht="13" x14ac:dyDescent="0.3">
      <c r="A130" s="36"/>
      <c r="C130" s="68"/>
      <c r="D130" s="69"/>
      <c r="E130" s="42"/>
      <c r="F130" s="42"/>
      <c r="G130" s="61"/>
      <c r="H130" s="42"/>
    </row>
    <row r="131" spans="1:8" ht="13" x14ac:dyDescent="0.3">
      <c r="A131" s="36"/>
      <c r="C131" s="68"/>
      <c r="D131" s="69"/>
      <c r="E131" s="42"/>
      <c r="F131" s="42"/>
      <c r="G131" s="61"/>
      <c r="H131" s="42"/>
    </row>
    <row r="132" spans="1:8" ht="13" x14ac:dyDescent="0.3">
      <c r="A132" s="36"/>
      <c r="C132" s="68"/>
      <c r="D132" s="69"/>
      <c r="E132" s="42"/>
      <c r="F132" s="42"/>
      <c r="G132" s="61"/>
      <c r="H132" s="42"/>
    </row>
    <row r="133" spans="1:8" ht="13" x14ac:dyDescent="0.3">
      <c r="A133" s="36"/>
      <c r="C133" s="68"/>
      <c r="D133" s="69"/>
      <c r="E133" s="42"/>
      <c r="F133" s="42"/>
      <c r="G133" s="61"/>
      <c r="H133" s="42"/>
    </row>
    <row r="134" spans="1:8" ht="13" x14ac:dyDescent="0.3">
      <c r="A134" s="36"/>
      <c r="C134" s="68"/>
      <c r="D134" s="69"/>
      <c r="E134" s="42"/>
      <c r="F134" s="42"/>
      <c r="G134" s="61"/>
      <c r="H134" s="42"/>
    </row>
    <row r="135" spans="1:8" ht="13" x14ac:dyDescent="0.3">
      <c r="A135" s="36"/>
      <c r="C135" s="68"/>
      <c r="D135" s="69"/>
      <c r="E135" s="42"/>
      <c r="F135" s="42"/>
      <c r="G135" s="61"/>
      <c r="H135" s="42"/>
    </row>
    <row r="136" spans="1:8" ht="13" x14ac:dyDescent="0.3">
      <c r="A136" s="36"/>
      <c r="C136" s="68"/>
      <c r="D136" s="69"/>
      <c r="E136" s="42"/>
      <c r="F136" s="42"/>
      <c r="G136" s="61"/>
      <c r="H136" s="42"/>
    </row>
    <row r="137" spans="1:8" ht="13" x14ac:dyDescent="0.3">
      <c r="A137" s="36"/>
      <c r="C137" s="68"/>
      <c r="D137" s="69"/>
      <c r="E137" s="42"/>
      <c r="F137" s="42"/>
      <c r="G137" s="61"/>
      <c r="H137" s="42"/>
    </row>
    <row r="138" spans="1:8" ht="13" x14ac:dyDescent="0.3">
      <c r="A138" s="36"/>
      <c r="C138" s="68"/>
      <c r="D138" s="69"/>
      <c r="E138" s="42"/>
      <c r="F138" s="42"/>
      <c r="G138" s="61"/>
      <c r="H138" s="42"/>
    </row>
    <row r="139" spans="1:8" ht="13" x14ac:dyDescent="0.3">
      <c r="A139" s="36"/>
      <c r="C139" s="68"/>
      <c r="D139" s="69"/>
      <c r="E139" s="42"/>
      <c r="F139" s="42"/>
      <c r="G139" s="61"/>
      <c r="H139" s="48"/>
    </row>
    <row r="140" spans="1:8" ht="13" x14ac:dyDescent="0.3">
      <c r="A140" s="36"/>
      <c r="H140" s="42"/>
    </row>
    <row r="141" spans="1:8" ht="13" x14ac:dyDescent="0.3">
      <c r="A141" s="36"/>
      <c r="C141" s="68"/>
      <c r="D141" s="69"/>
      <c r="F141" s="73"/>
      <c r="G141" s="61"/>
      <c r="H141" s="73"/>
    </row>
    <row r="142" spans="1:8" ht="13" x14ac:dyDescent="0.3">
      <c r="A142" s="36"/>
      <c r="B142" s="32"/>
      <c r="C142" s="68"/>
      <c r="D142" s="69"/>
      <c r="F142" s="73"/>
      <c r="G142" s="61"/>
      <c r="H142" s="73"/>
    </row>
    <row r="143" spans="1:8" ht="13" x14ac:dyDescent="0.3">
      <c r="A143" s="37"/>
      <c r="B143" s="32"/>
      <c r="C143" s="68"/>
      <c r="D143" s="69"/>
      <c r="F143" s="73"/>
      <c r="G143" s="61"/>
      <c r="H143" s="73"/>
    </row>
    <row r="144" spans="1:8" ht="13" x14ac:dyDescent="0.3">
      <c r="A144" s="36"/>
      <c r="C144" s="68"/>
      <c r="D144" s="74"/>
      <c r="E144" s="42"/>
      <c r="F144" s="75"/>
      <c r="G144" s="61"/>
      <c r="H144" s="73"/>
    </row>
    <row r="145" spans="1:8" ht="13" x14ac:dyDescent="0.3">
      <c r="A145" s="36"/>
      <c r="C145" s="68"/>
      <c r="D145" s="52"/>
      <c r="E145" s="42"/>
      <c r="F145" s="75"/>
      <c r="G145" s="61"/>
      <c r="H145" s="73"/>
    </row>
    <row r="146" spans="1:8" ht="13" x14ac:dyDescent="0.3">
      <c r="A146" s="36"/>
      <c r="C146" s="68"/>
      <c r="D146" s="52"/>
      <c r="E146" s="48"/>
      <c r="F146" s="75"/>
      <c r="G146" s="61"/>
      <c r="H146" s="73"/>
    </row>
    <row r="147" spans="1:8" ht="13" x14ac:dyDescent="0.3">
      <c r="A147" s="36"/>
      <c r="C147" s="68"/>
      <c r="D147" s="74"/>
      <c r="E147" s="42"/>
      <c r="F147" s="73"/>
      <c r="G147" s="61"/>
      <c r="H147" s="73"/>
    </row>
    <row r="148" spans="1:8" ht="13" x14ac:dyDescent="0.3">
      <c r="A148" s="36"/>
      <c r="C148" s="68"/>
      <c r="D148" s="69"/>
      <c r="F148" s="73"/>
      <c r="G148" s="61"/>
      <c r="H148" s="73"/>
    </row>
    <row r="149" spans="1:8" ht="13" x14ac:dyDescent="0.3">
      <c r="A149" s="36"/>
    </row>
    <row r="150" spans="1:8" ht="13" x14ac:dyDescent="0.3">
      <c r="A150" s="36"/>
    </row>
    <row r="151" spans="1:8" ht="13" x14ac:dyDescent="0.3">
      <c r="A151" s="36"/>
    </row>
    <row r="152" spans="1:8" ht="13" x14ac:dyDescent="0.3">
      <c r="A152" s="36"/>
      <c r="B152" s="32"/>
    </row>
    <row r="153" spans="1:8" ht="13" x14ac:dyDescent="0.3">
      <c r="A153" s="36"/>
    </row>
    <row r="154" spans="1:8" ht="13" x14ac:dyDescent="0.3">
      <c r="A154" s="36"/>
    </row>
    <row r="155" spans="1:8" ht="13" x14ac:dyDescent="0.3">
      <c r="A155" s="36"/>
    </row>
    <row r="156" spans="1:8" ht="13" x14ac:dyDescent="0.3">
      <c r="A156" s="36"/>
    </row>
    <row r="157" spans="1:8" ht="13" x14ac:dyDescent="0.3">
      <c r="A157" s="36"/>
      <c r="B157" s="32"/>
    </row>
    <row r="158" spans="1:8" ht="13" x14ac:dyDescent="0.3">
      <c r="A158" s="36"/>
    </row>
    <row r="159" spans="1:8" ht="13" x14ac:dyDescent="0.3">
      <c r="A159" s="37"/>
      <c r="C159" s="70"/>
      <c r="D159" s="40"/>
    </row>
    <row r="160" spans="1:8" ht="13" x14ac:dyDescent="0.3">
      <c r="A160" s="36"/>
      <c r="C160" s="68"/>
      <c r="D160" s="76"/>
      <c r="F160" s="50"/>
    </row>
    <row r="161" spans="1:6" ht="13" x14ac:dyDescent="0.3">
      <c r="A161" s="36"/>
      <c r="C161" s="68"/>
      <c r="D161" s="76"/>
      <c r="F161" s="50"/>
    </row>
    <row r="162" spans="1:6" ht="13" x14ac:dyDescent="0.3">
      <c r="A162" s="36"/>
      <c r="C162" s="68"/>
      <c r="D162" s="76"/>
      <c r="F162" s="50"/>
    </row>
    <row r="163" spans="1:6" ht="13" x14ac:dyDescent="0.3">
      <c r="A163" s="36"/>
      <c r="C163" s="68"/>
      <c r="D163" s="76"/>
      <c r="F163" s="50"/>
    </row>
    <row r="164" spans="1:6" ht="13" x14ac:dyDescent="0.3">
      <c r="A164" s="36"/>
      <c r="C164" s="68"/>
      <c r="D164" s="76"/>
      <c r="F164" s="50"/>
    </row>
    <row r="165" spans="1:6" ht="13" x14ac:dyDescent="0.3">
      <c r="A165" s="36"/>
      <c r="C165" s="68"/>
      <c r="D165" s="76"/>
      <c r="F165" s="50"/>
    </row>
    <row r="166" spans="1:6" ht="13" x14ac:dyDescent="0.3">
      <c r="A166" s="36"/>
      <c r="C166" s="68"/>
      <c r="D166" s="76"/>
      <c r="F166" s="50"/>
    </row>
    <row r="167" spans="1:6" ht="13" x14ac:dyDescent="0.3">
      <c r="A167" s="36"/>
      <c r="C167" s="68"/>
      <c r="D167" s="76"/>
      <c r="F167" s="50"/>
    </row>
    <row r="168" spans="1:6" ht="13" x14ac:dyDescent="0.3">
      <c r="A168" s="36"/>
      <c r="C168" s="68"/>
      <c r="D168" s="76"/>
      <c r="F168" s="50"/>
    </row>
    <row r="169" spans="1:6" ht="13" x14ac:dyDescent="0.3">
      <c r="A169" s="36"/>
      <c r="C169" s="68"/>
      <c r="D169" s="76"/>
      <c r="F169" s="50"/>
    </row>
    <row r="170" spans="1:6" ht="13" x14ac:dyDescent="0.3">
      <c r="A170" s="36"/>
      <c r="C170" s="68"/>
      <c r="D170" s="76"/>
      <c r="F170" s="50"/>
    </row>
    <row r="171" spans="1:6" ht="13" x14ac:dyDescent="0.3">
      <c r="A171" s="36"/>
      <c r="C171" s="68"/>
      <c r="D171" s="77"/>
      <c r="F171" s="65"/>
    </row>
    <row r="172" spans="1:6" ht="13" x14ac:dyDescent="0.3">
      <c r="A172" s="36"/>
      <c r="C172" s="71"/>
      <c r="D172" s="76"/>
    </row>
  </sheetData>
  <mergeCells count="2">
    <mergeCell ref="K71:N71"/>
    <mergeCell ref="M75:N75"/>
  </mergeCells>
  <pageMargins left="0.75" right="0.75" top="1" bottom="1" header="0.5" footer="0.5"/>
  <pageSetup scale="72" orientation="landscape" cellComments="asDisplayed" r:id="rId1"/>
  <headerFooter alignWithMargins="0">
    <oddHeader>&amp;CSchedule 4
True Up TRR
(Revised 2019 
TO2021 True Up TRR)&amp;RTO2024 Draft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B6F49-057F-479F-81EE-206C49969DD4}">
  <sheetPr>
    <tabColor rgb="FFCCFFCC"/>
  </sheetPr>
  <dimension ref="A1:X110"/>
  <sheetViews>
    <sheetView topLeftCell="A10" zoomScaleNormal="100" workbookViewId="0"/>
  </sheetViews>
  <sheetFormatPr defaultRowHeight="12.5" x14ac:dyDescent="0.25"/>
  <cols>
    <col min="1" max="1" width="4.54296875" style="33" customWidth="1"/>
    <col min="2" max="2" width="2.54296875" style="33" customWidth="1"/>
    <col min="3" max="3" width="8.54296875" style="33" customWidth="1"/>
    <col min="4" max="4" width="32.54296875" style="33" customWidth="1"/>
    <col min="5" max="5" width="14.54296875" style="33" customWidth="1"/>
    <col min="6" max="6" width="15.54296875" style="33" customWidth="1"/>
    <col min="7" max="8" width="14.54296875" style="33" customWidth="1"/>
    <col min="9" max="9" width="20" style="33" customWidth="1"/>
    <col min="10" max="10" width="15.54296875" style="33" customWidth="1"/>
    <col min="11" max="11" width="11" style="33" bestFit="1" customWidth="1"/>
    <col min="12" max="16384" width="8.7265625" style="33"/>
  </cols>
  <sheetData>
    <row r="1" spans="1:24" ht="13" x14ac:dyDescent="0.3">
      <c r="A1" s="32" t="s">
        <v>170</v>
      </c>
      <c r="F1" s="123" t="s">
        <v>171</v>
      </c>
      <c r="G1" s="62"/>
      <c r="H1" s="66"/>
      <c r="I1" s="66"/>
    </row>
    <row r="2" spans="1:24" ht="13" x14ac:dyDescent="0.3">
      <c r="E2" s="72" t="s">
        <v>172</v>
      </c>
      <c r="F2" s="72" t="s">
        <v>173</v>
      </c>
      <c r="G2" s="72" t="s">
        <v>174</v>
      </c>
      <c r="H2" s="72" t="s">
        <v>175</v>
      </c>
      <c r="I2" s="66"/>
    </row>
    <row r="3" spans="1:24" x14ac:dyDescent="0.25">
      <c r="G3" s="66" t="s">
        <v>176</v>
      </c>
    </row>
    <row r="4" spans="1:24" ht="13" x14ac:dyDescent="0.3">
      <c r="E4" s="36" t="s">
        <v>177</v>
      </c>
      <c r="F4" s="116" t="s">
        <v>178</v>
      </c>
      <c r="G4" s="36" t="s">
        <v>179</v>
      </c>
      <c r="I4" s="36"/>
    </row>
    <row r="5" spans="1:24" ht="13" x14ac:dyDescent="0.3">
      <c r="A5" s="37" t="s">
        <v>39</v>
      </c>
      <c r="B5" s="40"/>
      <c r="C5" s="40" t="s">
        <v>180</v>
      </c>
      <c r="D5" s="40" t="s">
        <v>31</v>
      </c>
      <c r="E5" s="40" t="s">
        <v>32</v>
      </c>
      <c r="F5" s="70" t="s">
        <v>33</v>
      </c>
      <c r="G5" s="40" t="s">
        <v>181</v>
      </c>
      <c r="H5" s="40" t="s">
        <v>82</v>
      </c>
      <c r="I5" s="40" t="s">
        <v>42</v>
      </c>
      <c r="K5" s="40"/>
      <c r="L5" s="40"/>
      <c r="M5" s="40"/>
      <c r="N5" s="40"/>
      <c r="O5" s="40"/>
      <c r="P5" s="40"/>
      <c r="Q5" s="40"/>
      <c r="R5" s="40"/>
      <c r="S5" s="40"/>
      <c r="T5" s="40"/>
      <c r="U5" s="40"/>
      <c r="V5" s="40"/>
      <c r="W5" s="40"/>
      <c r="X5" s="40"/>
    </row>
    <row r="6" spans="1:24" ht="13" x14ac:dyDescent="0.3">
      <c r="A6" s="36">
        <v>1</v>
      </c>
      <c r="C6" s="66">
        <v>920</v>
      </c>
      <c r="D6" s="33" t="s">
        <v>182</v>
      </c>
      <c r="E6" s="124">
        <v>413850310</v>
      </c>
      <c r="F6" s="66" t="s">
        <v>183</v>
      </c>
      <c r="G6" s="42">
        <f>D37</f>
        <v>130478539.62525931</v>
      </c>
      <c r="H6" s="42">
        <f t="shared" ref="H6:H19" si="0">E6-G6</f>
        <v>283371770.37474072</v>
      </c>
    </row>
    <row r="7" spans="1:24" ht="13" x14ac:dyDescent="0.3">
      <c r="A7" s="36">
        <f>A6+1</f>
        <v>2</v>
      </c>
      <c r="C7" s="66">
        <v>921</v>
      </c>
      <c r="D7" s="33" t="s">
        <v>184</v>
      </c>
      <c r="E7" s="124">
        <v>250234425</v>
      </c>
      <c r="F7" s="66" t="s">
        <v>185</v>
      </c>
      <c r="G7" s="42">
        <f t="shared" ref="G7:G19" si="1">D38</f>
        <v>2352483.834740696</v>
      </c>
      <c r="H7" s="42">
        <f t="shared" si="0"/>
        <v>247881941.1652593</v>
      </c>
    </row>
    <row r="8" spans="1:24" ht="13" x14ac:dyDescent="0.3">
      <c r="A8" s="36">
        <f>A7+1</f>
        <v>3</v>
      </c>
      <c r="C8" s="66">
        <v>922</v>
      </c>
      <c r="D8" s="33" t="s">
        <v>186</v>
      </c>
      <c r="E8" s="124">
        <v>-225318190</v>
      </c>
      <c r="F8" s="66" t="s">
        <v>187</v>
      </c>
      <c r="G8" s="42">
        <f t="shared" si="1"/>
        <v>-77722052.712449998</v>
      </c>
      <c r="H8" s="42">
        <f t="shared" si="0"/>
        <v>-147596137.28755</v>
      </c>
      <c r="I8" s="66" t="s">
        <v>188</v>
      </c>
    </row>
    <row r="9" spans="1:24" ht="13" x14ac:dyDescent="0.3">
      <c r="A9" s="36">
        <f t="shared" ref="A9:A20" si="2">A8+1</f>
        <v>4</v>
      </c>
      <c r="B9" s="36"/>
      <c r="C9" s="66">
        <v>923</v>
      </c>
      <c r="D9" s="33" t="s">
        <v>189</v>
      </c>
      <c r="E9" s="124">
        <v>59887693</v>
      </c>
      <c r="F9" s="66" t="s">
        <v>190</v>
      </c>
      <c r="G9" s="45">
        <f t="shared" si="1"/>
        <v>9386901.0778677817</v>
      </c>
      <c r="H9" s="45">
        <f t="shared" si="0"/>
        <v>50500791.922132216</v>
      </c>
    </row>
    <row r="10" spans="1:24" ht="13" x14ac:dyDescent="0.3">
      <c r="A10" s="36">
        <f t="shared" si="2"/>
        <v>5</v>
      </c>
      <c r="B10" s="36"/>
      <c r="C10" s="66">
        <v>924</v>
      </c>
      <c r="D10" s="33" t="s">
        <v>191</v>
      </c>
      <c r="E10" s="124">
        <v>15607270</v>
      </c>
      <c r="F10" s="66" t="s">
        <v>192</v>
      </c>
      <c r="G10" s="42">
        <f t="shared" si="1"/>
        <v>0</v>
      </c>
      <c r="H10" s="42">
        <f t="shared" si="0"/>
        <v>15607270</v>
      </c>
    </row>
    <row r="11" spans="1:24" ht="13" x14ac:dyDescent="0.3">
      <c r="A11" s="36">
        <f t="shared" si="2"/>
        <v>6</v>
      </c>
      <c r="B11" s="36"/>
      <c r="C11" s="66">
        <v>925</v>
      </c>
      <c r="D11" s="33" t="s">
        <v>193</v>
      </c>
      <c r="E11" s="124">
        <v>902073996</v>
      </c>
      <c r="F11" s="66" t="s">
        <v>194</v>
      </c>
      <c r="G11" s="42">
        <f t="shared" si="1"/>
        <v>170732327.52000001</v>
      </c>
      <c r="H11" s="42">
        <f t="shared" si="0"/>
        <v>731341668.48000002</v>
      </c>
    </row>
    <row r="12" spans="1:24" ht="13" x14ac:dyDescent="0.3">
      <c r="A12" s="36">
        <f t="shared" si="2"/>
        <v>7</v>
      </c>
      <c r="B12" s="36"/>
      <c r="C12" s="66">
        <v>926</v>
      </c>
      <c r="D12" s="33" t="s">
        <v>195</v>
      </c>
      <c r="E12" s="124">
        <v>82906034</v>
      </c>
      <c r="F12" s="66" t="s">
        <v>196</v>
      </c>
      <c r="G12" s="42">
        <f t="shared" si="1"/>
        <v>2802913.9770550355</v>
      </c>
      <c r="H12" s="42">
        <f t="shared" si="0"/>
        <v>80103120.022944957</v>
      </c>
    </row>
    <row r="13" spans="1:24" ht="13" x14ac:dyDescent="0.3">
      <c r="A13" s="36">
        <f t="shared" si="2"/>
        <v>8</v>
      </c>
      <c r="B13" s="36"/>
      <c r="C13" s="66">
        <v>927</v>
      </c>
      <c r="D13" s="33" t="s">
        <v>197</v>
      </c>
      <c r="E13" s="124">
        <v>104335318</v>
      </c>
      <c r="F13" s="66" t="s">
        <v>198</v>
      </c>
      <c r="G13" s="42">
        <f t="shared" si="1"/>
        <v>104335318</v>
      </c>
      <c r="H13" s="42">
        <f t="shared" si="0"/>
        <v>0</v>
      </c>
    </row>
    <row r="14" spans="1:24" ht="13" x14ac:dyDescent="0.3">
      <c r="A14" s="36">
        <f t="shared" si="2"/>
        <v>9</v>
      </c>
      <c r="B14" s="36"/>
      <c r="C14" s="66">
        <v>928</v>
      </c>
      <c r="D14" s="33" t="s">
        <v>199</v>
      </c>
      <c r="E14" s="124">
        <v>11713250</v>
      </c>
      <c r="F14" s="66" t="s">
        <v>200</v>
      </c>
      <c r="G14" s="42">
        <f t="shared" si="1"/>
        <v>9979027.6099999994</v>
      </c>
      <c r="H14" s="42">
        <f t="shared" si="0"/>
        <v>1734222.3900000006</v>
      </c>
    </row>
    <row r="15" spans="1:24" ht="13" x14ac:dyDescent="0.3">
      <c r="A15" s="36">
        <f t="shared" si="2"/>
        <v>10</v>
      </c>
      <c r="B15" s="36"/>
      <c r="C15" s="66">
        <v>929</v>
      </c>
      <c r="D15" s="33" t="s">
        <v>201</v>
      </c>
      <c r="E15" s="124">
        <v>0</v>
      </c>
      <c r="F15" s="66" t="s">
        <v>202</v>
      </c>
      <c r="G15" s="42">
        <f t="shared" si="1"/>
        <v>0</v>
      </c>
      <c r="H15" s="42">
        <f t="shared" si="0"/>
        <v>0</v>
      </c>
    </row>
    <row r="16" spans="1:24" ht="13" x14ac:dyDescent="0.3">
      <c r="A16" s="36">
        <f t="shared" si="2"/>
        <v>11</v>
      </c>
      <c r="B16" s="36"/>
      <c r="C16" s="66">
        <v>930.1</v>
      </c>
      <c r="D16" s="33" t="s">
        <v>203</v>
      </c>
      <c r="E16" s="124">
        <v>11245961</v>
      </c>
      <c r="F16" s="66" t="s">
        <v>204</v>
      </c>
      <c r="G16" s="42">
        <f t="shared" si="1"/>
        <v>0</v>
      </c>
      <c r="H16" s="42">
        <f t="shared" si="0"/>
        <v>11245961</v>
      </c>
    </row>
    <row r="17" spans="1:8" ht="13" x14ac:dyDescent="0.3">
      <c r="A17" s="36">
        <f t="shared" si="2"/>
        <v>12</v>
      </c>
      <c r="B17" s="36"/>
      <c r="C17" s="66">
        <v>930.2</v>
      </c>
      <c r="D17" s="33" t="s">
        <v>205</v>
      </c>
      <c r="E17" s="124">
        <v>14071912</v>
      </c>
      <c r="F17" s="66" t="s">
        <v>206</v>
      </c>
      <c r="G17" s="42">
        <f t="shared" si="1"/>
        <v>5999239.1899999976</v>
      </c>
      <c r="H17" s="42">
        <f t="shared" si="0"/>
        <v>8072672.8100000024</v>
      </c>
    </row>
    <row r="18" spans="1:8" ht="13" x14ac:dyDescent="0.3">
      <c r="A18" s="36">
        <f t="shared" si="2"/>
        <v>13</v>
      </c>
      <c r="B18" s="36"/>
      <c r="C18" s="66">
        <v>931</v>
      </c>
      <c r="D18" s="33" t="s">
        <v>207</v>
      </c>
      <c r="E18" s="124">
        <v>8581490</v>
      </c>
      <c r="F18" s="66" t="s">
        <v>208</v>
      </c>
      <c r="G18" s="42">
        <f t="shared" si="1"/>
        <v>12016812.699999999</v>
      </c>
      <c r="H18" s="42">
        <f t="shared" si="0"/>
        <v>-3435322.6999999993</v>
      </c>
    </row>
    <row r="19" spans="1:8" ht="13" x14ac:dyDescent="0.3">
      <c r="A19" s="36">
        <f t="shared" si="2"/>
        <v>14</v>
      </c>
      <c r="B19" s="36"/>
      <c r="C19" s="66">
        <v>935</v>
      </c>
      <c r="D19" s="33" t="s">
        <v>209</v>
      </c>
      <c r="E19" s="125">
        <v>26158179</v>
      </c>
      <c r="F19" s="66" t="s">
        <v>210</v>
      </c>
      <c r="G19" s="42">
        <f t="shared" si="1"/>
        <v>769627.75</v>
      </c>
      <c r="H19" s="48">
        <f t="shared" si="0"/>
        <v>25388551.25</v>
      </c>
    </row>
    <row r="20" spans="1:8" ht="13" x14ac:dyDescent="0.3">
      <c r="A20" s="36">
        <f t="shared" si="2"/>
        <v>15</v>
      </c>
      <c r="E20" s="42">
        <f>SUM(E6:E19)</f>
        <v>1675347648</v>
      </c>
      <c r="G20" s="52" t="s">
        <v>211</v>
      </c>
      <c r="H20" s="45">
        <f>SUM(H6:H19)</f>
        <v>1304216509.4275272</v>
      </c>
    </row>
    <row r="22" spans="1:8" ht="13" x14ac:dyDescent="0.3">
      <c r="F22" s="40" t="s">
        <v>32</v>
      </c>
      <c r="G22" s="40" t="s">
        <v>33</v>
      </c>
    </row>
    <row r="23" spans="1:8" ht="13" x14ac:dyDescent="0.3">
      <c r="A23" s="36">
        <f>A20+1</f>
        <v>16</v>
      </c>
      <c r="E23" s="52" t="s">
        <v>212</v>
      </c>
      <c r="F23" s="45">
        <f>H20</f>
        <v>1304216509.4275272</v>
      </c>
      <c r="G23" s="38" t="str">
        <f>"Line "&amp;A20&amp;""</f>
        <v>Line 15</v>
      </c>
    </row>
    <row r="24" spans="1:8" ht="13" x14ac:dyDescent="0.3">
      <c r="A24" s="36">
        <f t="shared" ref="A24:A30" si="3">A23+1</f>
        <v>17</v>
      </c>
      <c r="E24" s="52" t="s">
        <v>213</v>
      </c>
      <c r="F24" s="48">
        <f>E10</f>
        <v>15607270</v>
      </c>
      <c r="G24" s="38" t="str">
        <f>"Line "&amp;A10&amp;""</f>
        <v>Line 5</v>
      </c>
    </row>
    <row r="25" spans="1:8" ht="13" x14ac:dyDescent="0.3">
      <c r="A25" s="36">
        <f t="shared" si="3"/>
        <v>18</v>
      </c>
      <c r="E25" s="52" t="s">
        <v>214</v>
      </c>
      <c r="F25" s="45">
        <f>F23-F24</f>
        <v>1288609239.4275272</v>
      </c>
      <c r="G25" s="38" t="str">
        <f>"Line "&amp;A23&amp;" - Line "&amp;A24&amp;""</f>
        <v>Line 16 - Line 17</v>
      </c>
    </row>
    <row r="26" spans="1:8" ht="13" x14ac:dyDescent="0.3">
      <c r="A26" s="36">
        <f t="shared" si="3"/>
        <v>19</v>
      </c>
      <c r="E26" s="52" t="s">
        <v>215</v>
      </c>
      <c r="F26" s="65">
        <v>6.5680595610890333E-2</v>
      </c>
      <c r="G26" s="38" t="s">
        <v>496</v>
      </c>
    </row>
    <row r="27" spans="1:8" ht="13" x14ac:dyDescent="0.3">
      <c r="A27" s="36">
        <f t="shared" si="3"/>
        <v>20</v>
      </c>
      <c r="E27" s="52" t="s">
        <v>217</v>
      </c>
      <c r="F27" s="45">
        <f>F25*F26</f>
        <v>84636622.355296373</v>
      </c>
      <c r="G27" s="38" t="str">
        <f>"Line "&amp;A25&amp;" * Line "&amp;A26&amp;""</f>
        <v>Line 18 * Line 19</v>
      </c>
    </row>
    <row r="28" spans="1:8" ht="13" x14ac:dyDescent="0.3">
      <c r="A28" s="36">
        <f t="shared" si="3"/>
        <v>21</v>
      </c>
      <c r="E28" s="52" t="s">
        <v>218</v>
      </c>
      <c r="F28" s="50">
        <v>0.18668038449535004</v>
      </c>
      <c r="G28" s="38" t="s">
        <v>497</v>
      </c>
    </row>
    <row r="29" spans="1:8" ht="13" x14ac:dyDescent="0.3">
      <c r="A29" s="36">
        <f t="shared" si="3"/>
        <v>22</v>
      </c>
      <c r="E29" s="52" t="s">
        <v>220</v>
      </c>
      <c r="F29" s="48">
        <f>H10*F28</f>
        <v>2913571.1645227419</v>
      </c>
      <c r="G29" s="38" t="str">
        <f>"Line "&amp;A10&amp;" Col 4 * Line "&amp;A28&amp;""</f>
        <v>Line 5 Col 4 * Line 21</v>
      </c>
    </row>
    <row r="30" spans="1:8" ht="13" x14ac:dyDescent="0.3">
      <c r="A30" s="36">
        <f t="shared" si="3"/>
        <v>23</v>
      </c>
      <c r="E30" s="52" t="s">
        <v>221</v>
      </c>
      <c r="F30" s="45">
        <f>F27+F29</f>
        <v>87550193.519819111</v>
      </c>
      <c r="G30" s="38" t="str">
        <f>"Line "&amp;A27&amp;" + Line "&amp;A29&amp;""</f>
        <v>Line 20 + Line 22</v>
      </c>
    </row>
    <row r="32" spans="1:8" ht="13" x14ac:dyDescent="0.3">
      <c r="B32" s="32" t="s">
        <v>222</v>
      </c>
      <c r="E32" s="72" t="s">
        <v>172</v>
      </c>
      <c r="F32" s="72" t="s">
        <v>173</v>
      </c>
      <c r="G32" s="72" t="s">
        <v>174</v>
      </c>
      <c r="H32" s="72" t="s">
        <v>175</v>
      </c>
    </row>
    <row r="33" spans="1:11" ht="13" x14ac:dyDescent="0.3">
      <c r="B33" s="32"/>
      <c r="C33" s="160" t="s">
        <v>285</v>
      </c>
      <c r="D33" s="161" t="s">
        <v>286</v>
      </c>
      <c r="E33" s="36" t="s">
        <v>223</v>
      </c>
      <c r="F33" s="72"/>
      <c r="G33" s="72"/>
      <c r="H33" s="72"/>
    </row>
    <row r="34" spans="1:11" ht="13" x14ac:dyDescent="0.3">
      <c r="E34" s="36" t="s">
        <v>224</v>
      </c>
    </row>
    <row r="35" spans="1:11" ht="13" x14ac:dyDescent="0.3">
      <c r="D35" s="36" t="s">
        <v>225</v>
      </c>
      <c r="E35" s="36" t="s">
        <v>226</v>
      </c>
      <c r="F35" s="36" t="s">
        <v>227</v>
      </c>
      <c r="G35" s="36"/>
      <c r="H35" s="36"/>
    </row>
    <row r="36" spans="1:11" ht="13" x14ac:dyDescent="0.3">
      <c r="C36" s="40" t="s">
        <v>180</v>
      </c>
      <c r="D36" s="72" t="s">
        <v>228</v>
      </c>
      <c r="E36" s="40" t="s">
        <v>229</v>
      </c>
      <c r="F36" s="40" t="s">
        <v>230</v>
      </c>
      <c r="G36" s="40" t="s">
        <v>231</v>
      </c>
      <c r="H36" s="40" t="s">
        <v>232</v>
      </c>
      <c r="I36" s="40" t="s">
        <v>42</v>
      </c>
    </row>
    <row r="37" spans="1:11" ht="13" x14ac:dyDescent="0.3">
      <c r="A37" s="36">
        <f>A30+1</f>
        <v>24</v>
      </c>
      <c r="C37" s="66">
        <v>920</v>
      </c>
      <c r="D37" s="129">
        <f>SUM(E37:H37)</f>
        <v>130478539.62525931</v>
      </c>
      <c r="E37" s="128">
        <v>-12904549.374740697</v>
      </c>
      <c r="F37" s="128"/>
      <c r="G37" s="42">
        <f>G58</f>
        <v>143383089</v>
      </c>
      <c r="H37" s="128"/>
      <c r="I37" s="38" t="s">
        <v>233</v>
      </c>
    </row>
    <row r="38" spans="1:11" ht="13" x14ac:dyDescent="0.3">
      <c r="A38" s="36">
        <f>A37+1</f>
        <v>25</v>
      </c>
      <c r="C38" s="66">
        <v>921</v>
      </c>
      <c r="D38" s="129">
        <f t="shared" ref="D38:D50" si="4">SUM(E38:H38)</f>
        <v>2352483.834740696</v>
      </c>
      <c r="E38" s="128">
        <v>2352483.834740696</v>
      </c>
      <c r="F38" s="128"/>
      <c r="G38" s="128">
        <v>0</v>
      </c>
      <c r="H38" s="128"/>
      <c r="I38" s="38"/>
    </row>
    <row r="39" spans="1:11" ht="13.5" thickBot="1" x14ac:dyDescent="0.35">
      <c r="A39" s="36">
        <f t="shared" ref="A39:A50" si="5">A38+1</f>
        <v>26</v>
      </c>
      <c r="C39" s="66">
        <v>922</v>
      </c>
      <c r="D39" s="129">
        <f t="shared" si="4"/>
        <v>-77722052.712449998</v>
      </c>
      <c r="E39" s="128">
        <v>-10359095.712450001</v>
      </c>
      <c r="F39" s="128"/>
      <c r="G39" s="128">
        <v>-67362957</v>
      </c>
      <c r="H39" s="128"/>
      <c r="I39" s="38"/>
    </row>
    <row r="40" spans="1:11" ht="13.5" thickBot="1" x14ac:dyDescent="0.35">
      <c r="A40" s="36">
        <f t="shared" si="5"/>
        <v>27</v>
      </c>
      <c r="C40" s="66">
        <v>923</v>
      </c>
      <c r="D40" s="126">
        <f t="shared" si="4"/>
        <v>9386901.0778677817</v>
      </c>
      <c r="E40" s="127">
        <v>9386901.0778677817</v>
      </c>
      <c r="F40" s="128"/>
      <c r="G40" s="128">
        <v>0</v>
      </c>
      <c r="H40" s="128"/>
      <c r="I40" s="38"/>
      <c r="J40" s="40"/>
      <c r="K40" s="40"/>
    </row>
    <row r="41" spans="1:11" ht="13" x14ac:dyDescent="0.3">
      <c r="A41" s="36">
        <f t="shared" si="5"/>
        <v>28</v>
      </c>
      <c r="C41" s="66">
        <v>924</v>
      </c>
      <c r="D41" s="129">
        <f t="shared" si="4"/>
        <v>0</v>
      </c>
      <c r="E41" s="128">
        <v>0</v>
      </c>
      <c r="F41" s="128"/>
      <c r="G41" s="128">
        <v>0</v>
      </c>
      <c r="H41" s="128"/>
      <c r="I41" s="38"/>
      <c r="K41" s="42"/>
    </row>
    <row r="42" spans="1:11" ht="13" x14ac:dyDescent="0.3">
      <c r="A42" s="36">
        <f t="shared" si="5"/>
        <v>29</v>
      </c>
      <c r="C42" s="66">
        <v>925</v>
      </c>
      <c r="D42" s="129">
        <f t="shared" si="4"/>
        <v>170732327.52000001</v>
      </c>
      <c r="E42" s="128">
        <v>170732327.52000001</v>
      </c>
      <c r="F42" s="128"/>
      <c r="G42" s="128">
        <v>0</v>
      </c>
      <c r="H42" s="128"/>
      <c r="I42" s="38" t="s">
        <v>287</v>
      </c>
      <c r="K42" s="42"/>
    </row>
    <row r="43" spans="1:11" ht="13" x14ac:dyDescent="0.3">
      <c r="A43" s="36">
        <f t="shared" si="5"/>
        <v>30</v>
      </c>
      <c r="C43" s="66">
        <v>926</v>
      </c>
      <c r="D43" s="129">
        <f t="shared" si="4"/>
        <v>2802913.9770550355</v>
      </c>
      <c r="E43" s="128">
        <v>14692913.977055036</v>
      </c>
      <c r="F43" s="128"/>
      <c r="G43" s="128">
        <v>0</v>
      </c>
      <c r="H43" s="42">
        <f>E71</f>
        <v>-11890000</v>
      </c>
      <c r="I43" s="38" t="s">
        <v>234</v>
      </c>
      <c r="K43" s="42"/>
    </row>
    <row r="44" spans="1:11" ht="13" x14ac:dyDescent="0.3">
      <c r="A44" s="36">
        <f t="shared" si="5"/>
        <v>31</v>
      </c>
      <c r="C44" s="66">
        <v>927</v>
      </c>
      <c r="D44" s="129">
        <f t="shared" si="4"/>
        <v>104335318</v>
      </c>
      <c r="E44" s="42">
        <v>0</v>
      </c>
      <c r="F44" s="42">
        <f>E13</f>
        <v>104335318</v>
      </c>
      <c r="G44" s="42">
        <v>0</v>
      </c>
      <c r="H44" s="42">
        <v>0</v>
      </c>
      <c r="I44" s="38" t="s">
        <v>235</v>
      </c>
      <c r="K44" s="42"/>
    </row>
    <row r="45" spans="1:11" ht="13" x14ac:dyDescent="0.3">
      <c r="A45" s="36">
        <f t="shared" si="5"/>
        <v>32</v>
      </c>
      <c r="C45" s="66">
        <v>928</v>
      </c>
      <c r="D45" s="129">
        <f t="shared" si="4"/>
        <v>9979027.6099999994</v>
      </c>
      <c r="E45" s="128">
        <v>9979027.6099999994</v>
      </c>
      <c r="F45" s="128"/>
      <c r="G45" s="128">
        <v>0</v>
      </c>
      <c r="H45" s="128"/>
      <c r="I45" s="38"/>
      <c r="K45" s="42"/>
    </row>
    <row r="46" spans="1:11" ht="13" x14ac:dyDescent="0.3">
      <c r="A46" s="36">
        <f t="shared" si="5"/>
        <v>33</v>
      </c>
      <c r="C46" s="66">
        <v>929</v>
      </c>
      <c r="D46" s="129">
        <f t="shared" si="4"/>
        <v>0</v>
      </c>
      <c r="E46" s="128">
        <v>0</v>
      </c>
      <c r="F46" s="128"/>
      <c r="G46" s="128">
        <v>0</v>
      </c>
      <c r="H46" s="128"/>
      <c r="I46" s="38"/>
      <c r="K46" s="42"/>
    </row>
    <row r="47" spans="1:11" ht="13" x14ac:dyDescent="0.3">
      <c r="A47" s="36">
        <f t="shared" si="5"/>
        <v>34</v>
      </c>
      <c r="C47" s="66">
        <v>930.1</v>
      </c>
      <c r="D47" s="129">
        <f t="shared" si="4"/>
        <v>0</v>
      </c>
      <c r="E47" s="128">
        <v>0</v>
      </c>
      <c r="F47" s="128"/>
      <c r="G47" s="128">
        <v>0</v>
      </c>
      <c r="H47" s="128"/>
      <c r="I47" s="38"/>
      <c r="K47" s="42"/>
    </row>
    <row r="48" spans="1:11" ht="13" x14ac:dyDescent="0.3">
      <c r="A48" s="36">
        <f t="shared" si="5"/>
        <v>35</v>
      </c>
      <c r="C48" s="66">
        <v>930.2</v>
      </c>
      <c r="D48" s="129">
        <f t="shared" si="4"/>
        <v>5999239.1899999976</v>
      </c>
      <c r="E48" s="128">
        <v>5999239.1899999976</v>
      </c>
      <c r="F48" s="128"/>
      <c r="G48" s="128">
        <v>0</v>
      </c>
      <c r="H48" s="128"/>
      <c r="I48" s="38"/>
      <c r="J48" s="42"/>
    </row>
    <row r="49" spans="1:10" ht="13" x14ac:dyDescent="0.3">
      <c r="A49" s="36">
        <f t="shared" si="5"/>
        <v>36</v>
      </c>
      <c r="C49" s="66">
        <v>931</v>
      </c>
      <c r="D49" s="129">
        <f t="shared" si="4"/>
        <v>12016812.699999999</v>
      </c>
      <c r="E49" s="128">
        <v>12016812.699999999</v>
      </c>
      <c r="F49" s="128"/>
      <c r="G49" s="128">
        <v>0</v>
      </c>
      <c r="H49" s="128"/>
      <c r="I49" s="38"/>
      <c r="J49" s="42"/>
    </row>
    <row r="50" spans="1:10" ht="13" x14ac:dyDescent="0.3">
      <c r="A50" s="36">
        <f t="shared" si="5"/>
        <v>37</v>
      </c>
      <c r="C50" s="66">
        <v>935</v>
      </c>
      <c r="D50" s="129">
        <f t="shared" si="4"/>
        <v>769627.75</v>
      </c>
      <c r="E50" s="128">
        <v>769627.75</v>
      </c>
      <c r="F50" s="128"/>
      <c r="G50" s="128">
        <v>0</v>
      </c>
      <c r="H50" s="128"/>
      <c r="I50" s="38"/>
    </row>
    <row r="51" spans="1:10" ht="13" x14ac:dyDescent="0.3">
      <c r="A51" s="36"/>
      <c r="C51" s="66"/>
      <c r="D51" s="129"/>
      <c r="E51" s="42"/>
      <c r="F51" s="42"/>
      <c r="G51" s="42"/>
      <c r="H51" s="42"/>
      <c r="I51" s="38"/>
    </row>
    <row r="52" spans="1:10" ht="13" x14ac:dyDescent="0.3">
      <c r="B52" s="32" t="s">
        <v>236</v>
      </c>
    </row>
    <row r="53" spans="1:10" ht="13" x14ac:dyDescent="0.3">
      <c r="B53" s="32"/>
      <c r="C53" s="33" t="s">
        <v>237</v>
      </c>
      <c r="G53" s="36"/>
      <c r="H53" s="36"/>
    </row>
    <row r="54" spans="1:10" ht="13" x14ac:dyDescent="0.3">
      <c r="B54" s="32"/>
      <c r="C54" s="59" t="s">
        <v>238</v>
      </c>
      <c r="D54" s="59"/>
      <c r="E54" s="59"/>
      <c r="G54" s="36"/>
      <c r="H54" s="36"/>
    </row>
    <row r="55" spans="1:10" ht="13" x14ac:dyDescent="0.3">
      <c r="B55" s="32"/>
      <c r="C55" s="160" t="s">
        <v>285</v>
      </c>
      <c r="D55" s="161" t="s">
        <v>286</v>
      </c>
      <c r="G55" s="40" t="s">
        <v>32</v>
      </c>
      <c r="H55" s="40" t="s">
        <v>33</v>
      </c>
    </row>
    <row r="56" spans="1:10" ht="13" x14ac:dyDescent="0.3">
      <c r="A56" s="36"/>
      <c r="B56" s="36" t="s">
        <v>114</v>
      </c>
      <c r="C56" s="162"/>
      <c r="F56" s="52" t="s">
        <v>239</v>
      </c>
      <c r="G56" s="128">
        <v>148050456</v>
      </c>
      <c r="H56" s="38" t="s">
        <v>240</v>
      </c>
    </row>
    <row r="57" spans="1:10" ht="13" x14ac:dyDescent="0.3">
      <c r="A57" s="36"/>
      <c r="B57" s="36" t="s">
        <v>116</v>
      </c>
      <c r="F57" s="52" t="s">
        <v>241</v>
      </c>
      <c r="G57" s="48">
        <f>E61</f>
        <v>4667367</v>
      </c>
      <c r="H57" s="38" t="str">
        <f>"Note 2, "&amp;B61&amp;""</f>
        <v>Note 2, d</v>
      </c>
    </row>
    <row r="58" spans="1:10" ht="13" x14ac:dyDescent="0.3">
      <c r="A58" s="36"/>
      <c r="B58" s="36" t="s">
        <v>119</v>
      </c>
      <c r="F58" s="52" t="s">
        <v>242</v>
      </c>
      <c r="G58" s="42">
        <f>G56-G57</f>
        <v>143383089</v>
      </c>
    </row>
    <row r="59" spans="1:10" ht="13" x14ac:dyDescent="0.3">
      <c r="A59" s="36"/>
      <c r="C59" s="59" t="s">
        <v>243</v>
      </c>
      <c r="D59" s="59"/>
      <c r="E59" s="59"/>
      <c r="G59" s="42"/>
    </row>
    <row r="60" spans="1:10" ht="13" x14ac:dyDescent="0.3">
      <c r="A60" s="36"/>
      <c r="D60" s="39" t="s">
        <v>244</v>
      </c>
      <c r="E60" s="40" t="s">
        <v>32</v>
      </c>
      <c r="F60" s="40" t="s">
        <v>33</v>
      </c>
      <c r="G60" s="42"/>
    </row>
    <row r="61" spans="1:10" ht="13" x14ac:dyDescent="0.3">
      <c r="A61" s="36"/>
      <c r="B61" s="36" t="s">
        <v>121</v>
      </c>
      <c r="D61" s="33" t="s">
        <v>245</v>
      </c>
      <c r="E61" s="117">
        <v>4667367</v>
      </c>
      <c r="F61" s="38" t="s">
        <v>246</v>
      </c>
      <c r="G61" s="42"/>
    </row>
    <row r="62" spans="1:10" ht="13" x14ac:dyDescent="0.3">
      <c r="A62" s="36"/>
      <c r="B62" s="36" t="s">
        <v>125</v>
      </c>
      <c r="D62" s="33" t="s">
        <v>247</v>
      </c>
      <c r="E62" s="117">
        <v>2525320</v>
      </c>
      <c r="F62" s="38" t="s">
        <v>246</v>
      </c>
      <c r="G62" s="42"/>
      <c r="I62" s="118"/>
    </row>
    <row r="63" spans="1:10" ht="13" x14ac:dyDescent="0.3">
      <c r="A63" s="36"/>
      <c r="B63" s="36" t="s">
        <v>127</v>
      </c>
      <c r="D63" s="33" t="s">
        <v>248</v>
      </c>
      <c r="E63" s="119">
        <v>4239356</v>
      </c>
      <c r="F63" s="38" t="s">
        <v>246</v>
      </c>
      <c r="G63" s="42"/>
      <c r="I63" s="42"/>
    </row>
    <row r="64" spans="1:10" ht="13" x14ac:dyDescent="0.3">
      <c r="A64" s="36"/>
      <c r="B64" s="36" t="s">
        <v>129</v>
      </c>
      <c r="D64" s="52" t="s">
        <v>249</v>
      </c>
      <c r="E64" s="42">
        <f>SUM(E61:E63)</f>
        <v>11432043</v>
      </c>
      <c r="F64" s="38" t="str">
        <f>"Sum of "&amp;B61&amp;" to "&amp;B63&amp;""</f>
        <v>Sum of d to f</v>
      </c>
      <c r="G64" s="42"/>
    </row>
    <row r="66" spans="1:7" ht="13" x14ac:dyDescent="0.3">
      <c r="B66" s="32" t="s">
        <v>250</v>
      </c>
    </row>
    <row r="67" spans="1:7" ht="13" x14ac:dyDescent="0.3">
      <c r="E67" s="40" t="s">
        <v>32</v>
      </c>
      <c r="F67" s="39" t="s">
        <v>251</v>
      </c>
    </row>
    <row r="68" spans="1:7" ht="13" x14ac:dyDescent="0.3">
      <c r="A68" s="36"/>
      <c r="B68" s="36" t="s">
        <v>114</v>
      </c>
      <c r="D68" s="52" t="s">
        <v>252</v>
      </c>
      <c r="E68" s="130">
        <v>6329000</v>
      </c>
      <c r="F68" s="38" t="s">
        <v>253</v>
      </c>
    </row>
    <row r="69" spans="1:7" ht="13" x14ac:dyDescent="0.3">
      <c r="A69" s="36"/>
      <c r="B69" s="36" t="s">
        <v>116</v>
      </c>
      <c r="D69" s="52" t="s">
        <v>254</v>
      </c>
      <c r="E69" s="131">
        <v>18219000</v>
      </c>
      <c r="F69" s="38" t="s">
        <v>255</v>
      </c>
    </row>
    <row r="70" spans="1:7" ht="13" x14ac:dyDescent="0.3">
      <c r="A70" s="36"/>
      <c r="B70" s="36" t="s">
        <v>119</v>
      </c>
      <c r="D70" s="52" t="s">
        <v>256</v>
      </c>
      <c r="E70" s="132">
        <v>6329000</v>
      </c>
      <c r="F70" s="38" t="s">
        <v>240</v>
      </c>
    </row>
    <row r="71" spans="1:7" ht="13" x14ac:dyDescent="0.3">
      <c r="A71" s="36"/>
      <c r="B71" s="36" t="s">
        <v>121</v>
      </c>
      <c r="D71" s="52" t="s">
        <v>257</v>
      </c>
      <c r="E71" s="42">
        <f>E70-E69</f>
        <v>-11890000</v>
      </c>
      <c r="F71" s="38" t="str">
        <f>""&amp;B70&amp;" - "&amp;B69&amp;""</f>
        <v>c - b</v>
      </c>
    </row>
    <row r="72" spans="1:7" ht="13" x14ac:dyDescent="0.3">
      <c r="A72" s="36"/>
      <c r="B72" s="32" t="s">
        <v>258</v>
      </c>
      <c r="D72" s="52"/>
      <c r="E72" s="42"/>
      <c r="F72" s="38"/>
    </row>
    <row r="73" spans="1:7" ht="13" x14ac:dyDescent="0.3">
      <c r="A73" s="36"/>
      <c r="B73" s="32"/>
      <c r="C73" s="33" t="str">
        <f>"Amount in Line "&amp;A44&amp;", column 2 equals amount in Line "&amp;A13&amp;", column 1 because all Franchise Requirements Expenses are excluded"</f>
        <v>Amount in Line 31, column 2 equals amount in Line 8, column 1 because all Franchise Requirements Expenses are excluded</v>
      </c>
      <c r="D73" s="52"/>
      <c r="E73" s="42"/>
      <c r="F73" s="38"/>
    </row>
    <row r="74" spans="1:7" ht="13" x14ac:dyDescent="0.3">
      <c r="A74" s="36"/>
      <c r="B74" s="32"/>
      <c r="C74" s="33" t="s">
        <v>259</v>
      </c>
      <c r="D74" s="52"/>
      <c r="E74" s="42"/>
      <c r="F74" s="38"/>
    </row>
    <row r="76" spans="1:7" ht="13" x14ac:dyDescent="0.3">
      <c r="B76" s="32" t="s">
        <v>104</v>
      </c>
    </row>
    <row r="77" spans="1:7" x14ac:dyDescent="0.25">
      <c r="C77" s="33" t="str">
        <f>"1) Enter amounts of A&amp;G expenses from FERC Form 1 in Lines "&amp;A6&amp;" to "&amp;A19&amp;"."</f>
        <v>1) Enter amounts of A&amp;G expenses from FERC Form 1 in Lines 1 to 14.</v>
      </c>
    </row>
    <row r="78" spans="1:7" x14ac:dyDescent="0.25">
      <c r="C78" s="33" t="s">
        <v>260</v>
      </c>
      <c r="G78" s="33" t="str">
        <f>"Column 3, Line "&amp;A37&amp;""</f>
        <v>Column 3, Line 24</v>
      </c>
    </row>
    <row r="79" spans="1:7" x14ac:dyDescent="0.25">
      <c r="C79" s="38" t="str">
        <f>"is calculated in Note 2.  The PBOPs exclusion in Column 4, Line "&amp;A43&amp;" is calculated in Note 3."</f>
        <v>is calculated in Note 2.  The PBOPs exclusion in Column 4, Line 30 is calculated in Note 3.</v>
      </c>
    </row>
    <row r="80" spans="1:7" x14ac:dyDescent="0.25">
      <c r="C80" s="38" t="s">
        <v>261</v>
      </c>
    </row>
    <row r="81" spans="3:7" x14ac:dyDescent="0.25">
      <c r="C81" s="38" t="s">
        <v>262</v>
      </c>
      <c r="D81" s="52"/>
      <c r="E81" s="42"/>
      <c r="F81" s="38"/>
    </row>
    <row r="82" spans="3:7" x14ac:dyDescent="0.25">
      <c r="C82" s="38" t="s">
        <v>263</v>
      </c>
      <c r="D82" s="52"/>
      <c r="E82" s="42"/>
      <c r="F82" s="38"/>
    </row>
    <row r="83" spans="3:7" x14ac:dyDescent="0.25">
      <c r="C83" s="38" t="s">
        <v>264</v>
      </c>
    </row>
    <row r="84" spans="3:7" x14ac:dyDescent="0.25">
      <c r="C84" s="38" t="s">
        <v>265</v>
      </c>
    </row>
    <row r="85" spans="3:7" x14ac:dyDescent="0.25">
      <c r="C85" s="38" t="s">
        <v>266</v>
      </c>
    </row>
    <row r="86" spans="3:7" x14ac:dyDescent="0.25">
      <c r="C86" s="38" t="s">
        <v>267</v>
      </c>
    </row>
    <row r="87" spans="3:7" x14ac:dyDescent="0.25">
      <c r="C87" s="38" t="s">
        <v>268</v>
      </c>
    </row>
    <row r="88" spans="3:7" x14ac:dyDescent="0.25">
      <c r="C88" s="38" t="s">
        <v>269</v>
      </c>
      <c r="E88" s="133"/>
      <c r="F88" s="133"/>
      <c r="G88" s="133"/>
    </row>
    <row r="89" spans="3:7" x14ac:dyDescent="0.25">
      <c r="C89" s="134" t="s">
        <v>270</v>
      </c>
      <c r="E89" s="133"/>
      <c r="F89" s="133"/>
      <c r="G89" s="133"/>
    </row>
    <row r="90" spans="3:7" x14ac:dyDescent="0.25">
      <c r="C90" s="134" t="s">
        <v>271</v>
      </c>
      <c r="E90" s="133"/>
      <c r="F90" s="133"/>
      <c r="G90" s="133"/>
    </row>
    <row r="91" spans="3:7" x14ac:dyDescent="0.25">
      <c r="C91" s="134" t="s">
        <v>272</v>
      </c>
      <c r="E91" s="133"/>
      <c r="F91" s="133"/>
      <c r="G91" s="133"/>
    </row>
    <row r="92" spans="3:7" hidden="1" x14ac:dyDescent="0.25">
      <c r="C92" s="38" t="s">
        <v>273</v>
      </c>
      <c r="E92" s="133"/>
      <c r="F92" s="133"/>
      <c r="G92" s="133"/>
    </row>
    <row r="93" spans="3:7" hidden="1" x14ac:dyDescent="0.25">
      <c r="C93" s="134" t="s">
        <v>274</v>
      </c>
      <c r="E93" s="133"/>
      <c r="F93" s="133"/>
      <c r="G93" s="133"/>
    </row>
    <row r="94" spans="3:7" hidden="1" x14ac:dyDescent="0.25">
      <c r="C94" s="134" t="s">
        <v>275</v>
      </c>
      <c r="E94" s="133"/>
      <c r="F94" s="133"/>
      <c r="G94" s="133"/>
    </row>
    <row r="95" spans="3:7" hidden="1" x14ac:dyDescent="0.25">
      <c r="C95" s="134" t="s">
        <v>276</v>
      </c>
      <c r="E95" s="133"/>
      <c r="F95" s="133"/>
      <c r="G95" s="133"/>
    </row>
    <row r="96" spans="3:7" hidden="1" x14ac:dyDescent="0.25">
      <c r="C96" s="134" t="s">
        <v>277</v>
      </c>
      <c r="E96" s="133"/>
      <c r="F96" s="133"/>
      <c r="G96" s="133"/>
    </row>
    <row r="97" spans="3:10" ht="13" hidden="1" x14ac:dyDescent="0.3">
      <c r="C97" s="68" t="s">
        <v>278</v>
      </c>
      <c r="D97" s="59"/>
      <c r="E97" s="59"/>
      <c r="F97" s="59"/>
      <c r="G97" s="59"/>
      <c r="H97" s="59"/>
      <c r="I97" s="59"/>
      <c r="J97" s="59"/>
    </row>
    <row r="98" spans="3:10" hidden="1" x14ac:dyDescent="0.25">
      <c r="C98" s="33" t="s">
        <v>279</v>
      </c>
    </row>
    <row r="99" spans="3:10" hidden="1" x14ac:dyDescent="0.25">
      <c r="C99" s="68" t="s">
        <v>280</v>
      </c>
      <c r="D99" s="59"/>
      <c r="E99" s="59"/>
      <c r="F99" s="59"/>
      <c r="G99" s="59"/>
      <c r="H99" s="59"/>
      <c r="I99" s="59"/>
    </row>
    <row r="100" spans="3:10" hidden="1" x14ac:dyDescent="0.25">
      <c r="C100" s="33" t="str">
        <f>"4) Determine the PBOPs exclusion.  The authorized amount of PBOPs expense (line "&amp;B68&amp;") may only be revised"</f>
        <v>4) Determine the PBOPs exclusion.  The authorized amount of PBOPs expense (line a) may only be revised</v>
      </c>
    </row>
    <row r="101" spans="3:10" hidden="1" x14ac:dyDescent="0.25">
      <c r="C101" s="33" t="s">
        <v>281</v>
      </c>
    </row>
    <row r="102" spans="3:10" hidden="1" x14ac:dyDescent="0.25">
      <c r="C102" s="33" t="s">
        <v>282</v>
      </c>
    </row>
    <row r="103" spans="3:10" hidden="1" x14ac:dyDescent="0.25">
      <c r="C103" s="33" t="s">
        <v>283</v>
      </c>
      <c r="I103" s="62" t="s">
        <v>288</v>
      </c>
      <c r="J103" s="62"/>
    </row>
    <row r="104" spans="3:10" hidden="1" x14ac:dyDescent="0.25">
      <c r="C104" s="33" t="s">
        <v>284</v>
      </c>
    </row>
    <row r="105" spans="3:10" x14ac:dyDescent="0.25">
      <c r="C105" s="33" t="s">
        <v>289</v>
      </c>
    </row>
    <row r="106" spans="3:10" x14ac:dyDescent="0.25">
      <c r="C106" s="33" t="s">
        <v>290</v>
      </c>
    </row>
    <row r="107" spans="3:10" x14ac:dyDescent="0.25">
      <c r="C107" s="33" t="s">
        <v>291</v>
      </c>
    </row>
    <row r="108" spans="3:10" x14ac:dyDescent="0.25">
      <c r="C108" s="33" t="s">
        <v>292</v>
      </c>
    </row>
    <row r="109" spans="3:10" x14ac:dyDescent="0.25">
      <c r="C109" s="33" t="s">
        <v>293</v>
      </c>
    </row>
    <row r="110" spans="3:10" hidden="1" x14ac:dyDescent="0.25">
      <c r="C110" s="163"/>
    </row>
  </sheetData>
  <pageMargins left="0.75" right="0.75" top="1" bottom="1" header="0.5" footer="0.5"/>
  <pageSetup scale="68" orientation="landscape" cellComments="asDisplayed" r:id="rId1"/>
  <headerFooter alignWithMargins="0">
    <oddHeader>&amp;CSchedule 20
Administrative and General Expenses
(Revised 2019 
TO2021 True Up TRR)&amp;RTO2024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sheetPr>
    <tabColor rgb="FFFFFFCC"/>
  </sheetPr>
  <dimension ref="A2:H17"/>
  <sheetViews>
    <sheetView zoomScaleNormal="100" workbookViewId="0">
      <selection activeCell="E8" sqref="A8:G8"/>
    </sheetView>
  </sheetViews>
  <sheetFormatPr defaultColWidth="9.1796875" defaultRowHeight="14.5" x14ac:dyDescent="0.35"/>
  <cols>
    <col min="1" max="2" width="9.1796875" style="29"/>
    <col min="3" max="3" width="18.54296875" style="29" customWidth="1"/>
    <col min="4" max="4" width="14.26953125" style="29" bestFit="1" customWidth="1"/>
    <col min="5" max="5" width="12.54296875" style="29" customWidth="1"/>
    <col min="6" max="6" width="12" style="29" customWidth="1"/>
    <col min="7" max="7" width="13.81640625" style="29" customWidth="1"/>
    <col min="8" max="16384" width="9.1796875" style="29"/>
  </cols>
  <sheetData>
    <row r="2" spans="1:8" ht="21" customHeight="1" x14ac:dyDescent="0.35"/>
    <row r="3" spans="1:8" ht="15" customHeight="1" x14ac:dyDescent="0.35">
      <c r="A3" s="327" t="s">
        <v>302</v>
      </c>
      <c r="B3" s="327"/>
      <c r="C3" s="327"/>
      <c r="D3" s="327"/>
      <c r="E3" s="327"/>
      <c r="F3" s="327"/>
      <c r="G3" s="327"/>
    </row>
    <row r="4" spans="1:8" ht="15" customHeight="1" x14ac:dyDescent="0.35">
      <c r="A4" s="327"/>
      <c r="B4" s="327"/>
      <c r="C4" s="327"/>
      <c r="D4" s="327"/>
      <c r="E4" s="327"/>
      <c r="F4" s="327"/>
      <c r="G4" s="327"/>
    </row>
    <row r="5" spans="1:8" x14ac:dyDescent="0.35">
      <c r="A5" s="328" t="s">
        <v>31</v>
      </c>
      <c r="B5" s="328"/>
      <c r="C5" s="328"/>
      <c r="D5" s="89" t="s">
        <v>32</v>
      </c>
      <c r="E5" s="329" t="s">
        <v>33</v>
      </c>
      <c r="F5" s="329"/>
      <c r="G5" s="329"/>
      <c r="H5" s="30"/>
    </row>
    <row r="6" spans="1:8" ht="49.5" customHeight="1" x14ac:dyDescent="0.35">
      <c r="A6" s="336" t="s">
        <v>428</v>
      </c>
      <c r="B6" s="330"/>
      <c r="C6" s="331"/>
      <c r="D6" s="31">
        <f>'WP-2020 TO2022 Sch4-TUTRR'!E73</f>
        <v>1237091728.5470107</v>
      </c>
      <c r="E6" s="332" t="s">
        <v>444</v>
      </c>
      <c r="F6" s="332"/>
      <c r="G6" s="332"/>
    </row>
    <row r="7" spans="1:8" ht="50.25" customHeight="1" x14ac:dyDescent="0.35">
      <c r="A7" s="336" t="s">
        <v>429</v>
      </c>
      <c r="B7" s="318"/>
      <c r="C7" s="319"/>
      <c r="D7" s="31">
        <f>'WP-2020 TO2022 Sch4-TUTRR'!J71</f>
        <v>1237122830.6833048</v>
      </c>
      <c r="E7" s="332" t="s">
        <v>406</v>
      </c>
      <c r="F7" s="332"/>
      <c r="G7" s="332"/>
    </row>
    <row r="8" spans="1:8" x14ac:dyDescent="0.35">
      <c r="A8" s="322" t="s">
        <v>34</v>
      </c>
      <c r="B8" s="322"/>
      <c r="C8" s="323"/>
      <c r="D8" s="298">
        <f>D6-D7</f>
        <v>-31102.136294126511</v>
      </c>
      <c r="E8" s="324"/>
      <c r="F8" s="324"/>
      <c r="G8" s="324"/>
    </row>
    <row r="11" spans="1:8" x14ac:dyDescent="0.35">
      <c r="A11" s="121" t="s">
        <v>141</v>
      </c>
    </row>
    <row r="12" spans="1:8" ht="28" customHeight="1" x14ac:dyDescent="0.35">
      <c r="A12" s="344" t="s">
        <v>445</v>
      </c>
      <c r="B12" s="345"/>
      <c r="C12" s="345"/>
      <c r="D12" s="345"/>
      <c r="E12" s="345"/>
      <c r="F12" s="345"/>
      <c r="G12" s="345"/>
      <c r="H12" s="120"/>
    </row>
    <row r="13" spans="1:8" x14ac:dyDescent="0.35">
      <c r="A13" s="364" t="s">
        <v>404</v>
      </c>
      <c r="B13" s="301"/>
      <c r="C13" s="301"/>
      <c r="D13" s="301"/>
      <c r="E13" s="301"/>
      <c r="F13" s="301"/>
      <c r="G13" s="301"/>
      <c r="H13" s="30"/>
    </row>
    <row r="16" spans="1:8" x14ac:dyDescent="0.35">
      <c r="A16" s="210"/>
    </row>
    <row r="17" spans="1:1" x14ac:dyDescent="0.35">
      <c r="A17" s="210"/>
    </row>
  </sheetData>
  <mergeCells count="11">
    <mergeCell ref="A13:G13"/>
    <mergeCell ref="A3:G4"/>
    <mergeCell ref="A5:C5"/>
    <mergeCell ref="E5:G5"/>
    <mergeCell ref="A6:C6"/>
    <mergeCell ref="A8:C8"/>
    <mergeCell ref="E8:G8"/>
    <mergeCell ref="E6:G6"/>
    <mergeCell ref="A12:G12"/>
    <mergeCell ref="A7:C7"/>
    <mergeCell ref="E7:G7"/>
  </mergeCells>
  <phoneticPr fontId="72" type="noConversion"/>
  <pageMargins left="0.7" right="0.7" top="0.75" bottom="0.75" header="0.3" footer="0.3"/>
  <pageSetup orientation="portrait" r:id="rId1"/>
  <headerFooter>
    <oddHeader>&amp;RTO2024 Draft Annual Update
Attachment 4
WP-Schedule 3-One Time Adj Prior Period
Page &amp;P of &amp;N</oddHeader>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3A03E-BF81-4FFA-ACDE-053110CB933A}">
  <sheetPr>
    <tabColor rgb="FFFFFFCC"/>
  </sheetPr>
  <dimension ref="A1:P172"/>
  <sheetViews>
    <sheetView zoomScaleNormal="100" workbookViewId="0"/>
  </sheetViews>
  <sheetFormatPr defaultRowHeight="12.5" x14ac:dyDescent="0.25"/>
  <cols>
    <col min="1" max="2" width="4.54296875" style="33" customWidth="1"/>
    <col min="3" max="3" width="18.54296875" style="33" customWidth="1"/>
    <col min="4" max="4" width="10.453125" style="33" bestFit="1" customWidth="1"/>
    <col min="5" max="7" width="15.54296875" style="33" customWidth="1"/>
    <col min="8" max="8" width="24.54296875" style="33" customWidth="1"/>
    <col min="9" max="9" width="4.54296875" style="33" customWidth="1"/>
    <col min="10" max="10" width="15.54296875" style="33" customWidth="1"/>
    <col min="11" max="11" width="2.54296875" style="33" customWidth="1"/>
    <col min="12" max="12" width="23.54296875" style="33" bestFit="1" customWidth="1"/>
    <col min="13" max="13" width="9" style="33" customWidth="1"/>
    <col min="14" max="14" width="4.08984375" style="33" customWidth="1"/>
    <col min="15" max="16" width="8.7265625" style="33"/>
    <col min="17" max="17" width="3.54296875" style="33" customWidth="1"/>
    <col min="18" max="16384" width="8.7265625" style="33"/>
  </cols>
  <sheetData>
    <row r="1" spans="1:14" ht="13" x14ac:dyDescent="0.3">
      <c r="A1" s="32" t="s">
        <v>35</v>
      </c>
    </row>
    <row r="3" spans="1:14" ht="13" x14ac:dyDescent="0.3">
      <c r="B3" s="34" t="s">
        <v>36</v>
      </c>
      <c r="L3" s="36"/>
    </row>
    <row r="4" spans="1:14" ht="13" x14ac:dyDescent="0.3">
      <c r="B4" s="35"/>
      <c r="F4" s="36" t="s">
        <v>37</v>
      </c>
      <c r="G4" s="36"/>
      <c r="H4" s="36" t="s">
        <v>38</v>
      </c>
      <c r="L4" s="36"/>
      <c r="N4" s="36"/>
    </row>
    <row r="5" spans="1:14" ht="13" x14ac:dyDescent="0.3">
      <c r="A5" s="37" t="s">
        <v>39</v>
      </c>
      <c r="B5" s="38"/>
      <c r="C5" s="39" t="s">
        <v>40</v>
      </c>
      <c r="F5" s="40" t="s">
        <v>41</v>
      </c>
      <c r="G5" s="40" t="s">
        <v>42</v>
      </c>
      <c r="H5" s="40" t="s">
        <v>43</v>
      </c>
      <c r="J5" s="40" t="s">
        <v>32</v>
      </c>
      <c r="L5" s="40"/>
      <c r="N5" s="40"/>
    </row>
    <row r="6" spans="1:14" ht="13" x14ac:dyDescent="0.3">
      <c r="A6" s="36">
        <v>1</v>
      </c>
      <c r="C6" s="41" t="s">
        <v>44</v>
      </c>
      <c r="F6" s="33" t="s">
        <v>45</v>
      </c>
      <c r="H6" s="41" t="s">
        <v>454</v>
      </c>
      <c r="J6" s="42">
        <v>9465884220.0723038</v>
      </c>
      <c r="L6" s="42"/>
      <c r="N6" s="42"/>
    </row>
    <row r="7" spans="1:14" ht="13" x14ac:dyDescent="0.3">
      <c r="A7" s="36">
        <f>A6+1</f>
        <v>2</v>
      </c>
      <c r="C7" s="41" t="s">
        <v>46</v>
      </c>
      <c r="F7" s="33" t="s">
        <v>47</v>
      </c>
      <c r="H7" s="41" t="s">
        <v>455</v>
      </c>
      <c r="J7" s="42">
        <v>332996256.84061587</v>
      </c>
      <c r="L7" s="42"/>
      <c r="N7" s="42"/>
    </row>
    <row r="8" spans="1:14" ht="13" x14ac:dyDescent="0.3">
      <c r="A8" s="36">
        <f>A7+1</f>
        <v>3</v>
      </c>
      <c r="C8" s="41" t="s">
        <v>48</v>
      </c>
      <c r="F8" s="33" t="s">
        <v>47</v>
      </c>
      <c r="H8" s="33" t="s">
        <v>456</v>
      </c>
      <c r="J8" s="42">
        <v>9942155</v>
      </c>
      <c r="L8" s="42"/>
      <c r="N8" s="42"/>
    </row>
    <row r="9" spans="1:14" ht="13" x14ac:dyDescent="0.3">
      <c r="A9" s="36">
        <f>A8+1</f>
        <v>4</v>
      </c>
      <c r="C9" s="41" t="s">
        <v>49</v>
      </c>
      <c r="F9" s="33" t="s">
        <v>47</v>
      </c>
      <c r="H9" s="33" t="s">
        <v>457</v>
      </c>
      <c r="J9" s="42">
        <v>0</v>
      </c>
      <c r="L9" s="42"/>
      <c r="N9" s="42"/>
    </row>
    <row r="10" spans="1:14" ht="13" x14ac:dyDescent="0.3">
      <c r="A10" s="36"/>
      <c r="C10" s="41"/>
      <c r="J10" s="42"/>
      <c r="L10" s="42"/>
      <c r="N10" s="42"/>
    </row>
    <row r="11" spans="1:14" ht="13" x14ac:dyDescent="0.3">
      <c r="A11" s="36"/>
      <c r="C11" s="43" t="s">
        <v>50</v>
      </c>
      <c r="J11" s="42"/>
      <c r="L11" s="42"/>
      <c r="N11" s="42"/>
    </row>
    <row r="12" spans="1:14" ht="13" x14ac:dyDescent="0.3">
      <c r="A12" s="36">
        <f>A9+1</f>
        <v>5</v>
      </c>
      <c r="C12" s="38" t="s">
        <v>51</v>
      </c>
      <c r="F12" s="33" t="s">
        <v>45</v>
      </c>
      <c r="H12" s="41" t="s">
        <v>458</v>
      </c>
      <c r="J12" s="42">
        <v>26347686.132242225</v>
      </c>
      <c r="L12" s="42"/>
      <c r="N12" s="42"/>
    </row>
    <row r="13" spans="1:14" ht="13" x14ac:dyDescent="0.3">
      <c r="A13" s="36">
        <f>A12+1</f>
        <v>6</v>
      </c>
      <c r="C13" s="38" t="s">
        <v>52</v>
      </c>
      <c r="F13" s="33" t="s">
        <v>45</v>
      </c>
      <c r="H13" s="41" t="s">
        <v>459</v>
      </c>
      <c r="J13" s="42">
        <v>17295289.478393741</v>
      </c>
      <c r="L13" s="42"/>
      <c r="N13" s="42"/>
    </row>
    <row r="14" spans="1:14" ht="13" x14ac:dyDescent="0.3">
      <c r="A14" s="36">
        <f>A13+1</f>
        <v>7</v>
      </c>
      <c r="C14" s="38" t="s">
        <v>53</v>
      </c>
      <c r="F14" s="33" t="s">
        <v>144</v>
      </c>
      <c r="H14" s="33" t="s">
        <v>460</v>
      </c>
      <c r="J14" s="44">
        <v>38001449.182828672</v>
      </c>
      <c r="L14" s="48"/>
      <c r="N14" s="48"/>
    </row>
    <row r="15" spans="1:14" ht="13" x14ac:dyDescent="0.3">
      <c r="A15" s="36">
        <f>A14+1</f>
        <v>8</v>
      </c>
      <c r="C15" s="38" t="s">
        <v>54</v>
      </c>
      <c r="H15" s="33" t="str">
        <f>"Line "&amp;A12&amp;" + Line "&amp;A13&amp;" + Line "&amp;A14&amp;""</f>
        <v>Line 5 + Line 6 + Line 7</v>
      </c>
      <c r="J15" s="45">
        <f>SUM(J12:J14)</f>
        <v>81644424.793464631</v>
      </c>
      <c r="L15" s="42"/>
      <c r="N15" s="42"/>
    </row>
    <row r="16" spans="1:14" ht="13" x14ac:dyDescent="0.3">
      <c r="A16" s="36"/>
      <c r="C16" s="38"/>
      <c r="J16" s="42"/>
      <c r="L16" s="42"/>
      <c r="N16" s="42"/>
    </row>
    <row r="17" spans="1:14" ht="13" x14ac:dyDescent="0.3">
      <c r="A17" s="36"/>
      <c r="C17" s="46" t="s">
        <v>55</v>
      </c>
      <c r="J17" s="42"/>
      <c r="L17" s="42"/>
      <c r="N17" s="42"/>
    </row>
    <row r="18" spans="1:14" ht="13" x14ac:dyDescent="0.3">
      <c r="A18" s="36">
        <f>A15+1</f>
        <v>9</v>
      </c>
      <c r="C18" s="38" t="s">
        <v>56</v>
      </c>
      <c r="F18" s="33" t="s">
        <v>45</v>
      </c>
      <c r="G18" s="33" t="s">
        <v>57</v>
      </c>
      <c r="H18" s="41" t="s">
        <v>476</v>
      </c>
      <c r="J18" s="42">
        <v>-1985745438.4659734</v>
      </c>
      <c r="L18" s="42"/>
      <c r="N18" s="42"/>
    </row>
    <row r="19" spans="1:14" ht="13" x14ac:dyDescent="0.3">
      <c r="A19" s="36">
        <f>A18+1</f>
        <v>10</v>
      </c>
      <c r="C19" s="38" t="s">
        <v>58</v>
      </c>
      <c r="F19" s="33" t="s">
        <v>47</v>
      </c>
      <c r="G19" s="33" t="s">
        <v>57</v>
      </c>
      <c r="H19" s="41" t="s">
        <v>477</v>
      </c>
      <c r="J19" s="42">
        <v>0</v>
      </c>
      <c r="L19" s="42"/>
      <c r="N19" s="42"/>
    </row>
    <row r="20" spans="1:14" ht="13" x14ac:dyDescent="0.3">
      <c r="A20" s="36">
        <f>A19+1</f>
        <v>11</v>
      </c>
      <c r="C20" s="38" t="s">
        <v>59</v>
      </c>
      <c r="D20" s="47"/>
      <c r="F20" s="33" t="s">
        <v>47</v>
      </c>
      <c r="G20" s="33" t="s">
        <v>57</v>
      </c>
      <c r="H20" s="41" t="s">
        <v>478</v>
      </c>
      <c r="J20" s="48">
        <v>-123470471.96471</v>
      </c>
      <c r="L20" s="48"/>
      <c r="N20" s="48"/>
    </row>
    <row r="21" spans="1:14" ht="13" x14ac:dyDescent="0.3">
      <c r="A21" s="36">
        <f>A20+1</f>
        <v>12</v>
      </c>
      <c r="C21" s="49" t="s">
        <v>60</v>
      </c>
      <c r="D21" s="47"/>
      <c r="H21" s="33" t="str">
        <f>"Line "&amp;A18&amp;" + Line "&amp;A19&amp;" + Line "&amp;A20&amp;""</f>
        <v>Line 9 + Line 10 + Line 11</v>
      </c>
      <c r="J21" s="42">
        <f>SUM(J18:J20)</f>
        <v>-2109215910.4306834</v>
      </c>
      <c r="L21" s="42"/>
      <c r="N21" s="42"/>
    </row>
    <row r="22" spans="1:14" ht="13" x14ac:dyDescent="0.3">
      <c r="A22" s="36"/>
      <c r="J22" s="42"/>
      <c r="L22" s="42"/>
      <c r="N22" s="42"/>
    </row>
    <row r="23" spans="1:14" ht="13" x14ac:dyDescent="0.3">
      <c r="A23" s="36">
        <f>A21+1</f>
        <v>13</v>
      </c>
      <c r="C23" s="41" t="s">
        <v>61</v>
      </c>
      <c r="F23" s="41" t="s">
        <v>47</v>
      </c>
      <c r="H23" s="41" t="s">
        <v>498</v>
      </c>
      <c r="J23" s="42">
        <v>-1575979468.9464378</v>
      </c>
      <c r="L23" s="42"/>
      <c r="N23" s="42"/>
    </row>
    <row r="24" spans="1:14" ht="13" x14ac:dyDescent="0.3">
      <c r="A24" s="36">
        <f>A23+1</f>
        <v>14</v>
      </c>
      <c r="C24" s="41" t="s">
        <v>62</v>
      </c>
      <c r="F24" s="33" t="s">
        <v>45</v>
      </c>
      <c r="H24" s="41" t="s">
        <v>493</v>
      </c>
      <c r="J24" s="42">
        <v>792332585.2238462</v>
      </c>
      <c r="L24" s="42"/>
      <c r="N24" s="42"/>
    </row>
    <row r="25" spans="1:14" ht="13" x14ac:dyDescent="0.3">
      <c r="A25" s="36">
        <f>A24+1</f>
        <v>15</v>
      </c>
      <c r="C25" s="41" t="s">
        <v>63</v>
      </c>
      <c r="F25" s="33" t="s">
        <v>47</v>
      </c>
      <c r="G25" s="33" t="s">
        <v>57</v>
      </c>
      <c r="H25" s="41" t="s">
        <v>481</v>
      </c>
      <c r="J25" s="42">
        <v>-27970499.5</v>
      </c>
      <c r="L25" s="42"/>
      <c r="N25" s="42"/>
    </row>
    <row r="26" spans="1:14" ht="13" x14ac:dyDescent="0.3">
      <c r="A26" s="36">
        <f t="shared" ref="A26:A27" si="0">A25+1</f>
        <v>16</v>
      </c>
      <c r="C26" s="41" t="s">
        <v>64</v>
      </c>
      <c r="H26" s="33" t="s">
        <v>482</v>
      </c>
      <c r="J26" s="42">
        <v>-241192828.59585106</v>
      </c>
      <c r="L26" s="42"/>
      <c r="N26" s="42"/>
    </row>
    <row r="27" spans="1:14" ht="13" x14ac:dyDescent="0.3">
      <c r="A27" s="36">
        <f t="shared" si="0"/>
        <v>17</v>
      </c>
      <c r="C27" s="41" t="s">
        <v>65</v>
      </c>
      <c r="F27" s="33" t="s">
        <v>47</v>
      </c>
      <c r="H27" s="41" t="s">
        <v>483</v>
      </c>
      <c r="J27" s="42">
        <v>0</v>
      </c>
      <c r="L27" s="42"/>
      <c r="N27" s="42"/>
    </row>
    <row r="28" spans="1:14" ht="13" x14ac:dyDescent="0.3">
      <c r="A28" s="36"/>
      <c r="C28" s="41"/>
      <c r="N28" s="42"/>
    </row>
    <row r="29" spans="1:14" ht="13" x14ac:dyDescent="0.3">
      <c r="A29" s="36">
        <f>A27+1</f>
        <v>18</v>
      </c>
      <c r="C29" s="33" t="s">
        <v>66</v>
      </c>
      <c r="H29" s="33" t="str">
        <f>"L"&amp;A6&amp;"+L"&amp;A7&amp;"+L"&amp;A8&amp;"+L"&amp;A9&amp;"+L"&amp;A15&amp;"+L"&amp;A21&amp;"+"</f>
        <v>L1+L2+L3+L4+L8+L12+</v>
      </c>
      <c r="J29" s="45">
        <f>J6+ J7+J8+J9+J15+J21+J23+J24+J25+J26+J27</f>
        <v>6728440934.4572592</v>
      </c>
      <c r="L29" s="42"/>
      <c r="N29" s="42"/>
    </row>
    <row r="30" spans="1:14" ht="13" x14ac:dyDescent="0.3">
      <c r="A30" s="36"/>
      <c r="H30" s="33" t="str">
        <f>"L"&amp;A23&amp;"+L"&amp;A24&amp;"+L"&amp;A25&amp;"+L"&amp;A26&amp;"+L"&amp;A27&amp;""</f>
        <v>L13+L14+L15+L16+L17</v>
      </c>
      <c r="J30" s="42"/>
      <c r="L30" s="42"/>
      <c r="N30" s="42"/>
    </row>
    <row r="31" spans="1:14" ht="13" x14ac:dyDescent="0.3">
      <c r="A31" s="36"/>
      <c r="B31" s="32" t="s">
        <v>67</v>
      </c>
      <c r="J31" s="42"/>
      <c r="L31" s="42"/>
      <c r="N31" s="42"/>
    </row>
    <row r="32" spans="1:14" ht="13" x14ac:dyDescent="0.3">
      <c r="A32" s="37" t="s">
        <v>39</v>
      </c>
      <c r="C32" s="32"/>
      <c r="J32" s="42"/>
      <c r="L32" s="42"/>
      <c r="N32" s="42"/>
    </row>
    <row r="33" spans="1:14" ht="13" x14ac:dyDescent="0.3">
      <c r="A33" s="36">
        <f>A29+1</f>
        <v>19</v>
      </c>
      <c r="C33" s="33" t="s">
        <v>68</v>
      </c>
      <c r="G33" s="33" t="s">
        <v>69</v>
      </c>
      <c r="H33" s="33" t="str">
        <f>"Instruction 1, Line "&amp;B98&amp;""</f>
        <v>Instruction 1, Line j</v>
      </c>
      <c r="J33" s="50">
        <f>E98</f>
        <v>7.3079585284127238E-2</v>
      </c>
      <c r="L33" s="50"/>
      <c r="M33" s="50"/>
      <c r="N33" s="42"/>
    </row>
    <row r="34" spans="1:14" ht="13" x14ac:dyDescent="0.3">
      <c r="A34" s="36">
        <f>A33+1</f>
        <v>20</v>
      </c>
      <c r="C34" s="33" t="s">
        <v>70</v>
      </c>
      <c r="H34" s="33" t="str">
        <f>"Line "&amp;A29&amp;" * Line "&amp;A33&amp;""</f>
        <v>Line 18 * Line 19</v>
      </c>
      <c r="J34" s="45">
        <f>J29*J33</f>
        <v>491711673.09888202</v>
      </c>
      <c r="L34" s="42"/>
      <c r="N34" s="42"/>
    </row>
    <row r="35" spans="1:14" ht="13" x14ac:dyDescent="0.3">
      <c r="A35" s="36"/>
      <c r="B35" s="38"/>
      <c r="N35" s="42"/>
    </row>
    <row r="36" spans="1:14" ht="13" x14ac:dyDescent="0.3">
      <c r="A36" s="36"/>
      <c r="B36" s="32" t="s">
        <v>71</v>
      </c>
      <c r="N36" s="42"/>
    </row>
    <row r="37" spans="1:14" ht="13" x14ac:dyDescent="0.3">
      <c r="A37" s="36"/>
      <c r="B37" s="38"/>
      <c r="N37" s="42"/>
    </row>
    <row r="38" spans="1:14" ht="13" x14ac:dyDescent="0.3">
      <c r="A38" s="36">
        <f>A34+1</f>
        <v>21</v>
      </c>
      <c r="C38" s="33" t="s">
        <v>72</v>
      </c>
      <c r="J38" s="45">
        <f>(((J29*J42) + J45) *(J43/(1-J43)))+(J44/(1-J43))</f>
        <v>115795723.49589862</v>
      </c>
      <c r="L38" s="42"/>
      <c r="N38" s="42"/>
    </row>
    <row r="39" spans="1:14" ht="13" x14ac:dyDescent="0.3">
      <c r="A39" s="36"/>
      <c r="N39" s="42"/>
    </row>
    <row r="40" spans="1:14" ht="13" x14ac:dyDescent="0.3">
      <c r="A40" s="36"/>
      <c r="D40" s="33" t="s">
        <v>73</v>
      </c>
      <c r="N40" s="42"/>
    </row>
    <row r="41" spans="1:14" ht="13" x14ac:dyDescent="0.3">
      <c r="A41" s="36">
        <f>A38+1</f>
        <v>22</v>
      </c>
      <c r="D41" s="38" t="s">
        <v>74</v>
      </c>
      <c r="H41" s="33" t="str">
        <f>"Line "&amp;A29&amp;""</f>
        <v>Line 18</v>
      </c>
      <c r="J41" s="45">
        <f>J29</f>
        <v>6728440934.4572592</v>
      </c>
      <c r="L41" s="42"/>
      <c r="N41" s="42"/>
    </row>
    <row r="42" spans="1:14" ht="13" x14ac:dyDescent="0.3">
      <c r="A42" s="36">
        <f>A41+1</f>
        <v>23</v>
      </c>
      <c r="D42" s="38" t="s">
        <v>75</v>
      </c>
      <c r="G42" s="33" t="s">
        <v>76</v>
      </c>
      <c r="H42" s="33" t="str">
        <f>"Instruction 1, Line "&amp;B103&amp;""</f>
        <v>Instruction 1, Line k</v>
      </c>
      <c r="J42" s="50">
        <f>E103</f>
        <v>5.2391182605339905E-2</v>
      </c>
      <c r="L42" s="50"/>
      <c r="M42" s="50"/>
      <c r="N42" s="42"/>
    </row>
    <row r="43" spans="1:14" ht="13" x14ac:dyDescent="0.3">
      <c r="A43" s="36">
        <f>A42+1</f>
        <v>24</v>
      </c>
      <c r="D43" s="38" t="s">
        <v>77</v>
      </c>
      <c r="H43" s="33" t="s">
        <v>461</v>
      </c>
      <c r="J43" s="50">
        <v>0.27983599999999997</v>
      </c>
      <c r="L43" s="50"/>
      <c r="M43" s="50"/>
      <c r="N43" s="42"/>
    </row>
    <row r="44" spans="1:14" ht="13" x14ac:dyDescent="0.3">
      <c r="A44" s="36">
        <f>A43+1</f>
        <v>25</v>
      </c>
      <c r="D44" s="38" t="s">
        <v>78</v>
      </c>
      <c r="H44" s="33" t="s">
        <v>462</v>
      </c>
      <c r="J44" s="42">
        <v>-16481293</v>
      </c>
      <c r="L44" s="42"/>
      <c r="N44" s="42"/>
    </row>
    <row r="45" spans="1:14" ht="13" x14ac:dyDescent="0.3">
      <c r="A45" s="36">
        <f>A44+1</f>
        <v>26</v>
      </c>
      <c r="D45" s="38" t="s">
        <v>79</v>
      </c>
      <c r="H45" s="33" t="s">
        <v>463</v>
      </c>
      <c r="J45" s="42">
        <v>4388079</v>
      </c>
      <c r="L45" s="42"/>
      <c r="N45" s="42"/>
    </row>
    <row r="46" spans="1:14" ht="13" x14ac:dyDescent="0.3">
      <c r="A46" s="36"/>
      <c r="B46" s="38"/>
      <c r="N46" s="42"/>
    </row>
    <row r="47" spans="1:14" ht="13" x14ac:dyDescent="0.3">
      <c r="A47" s="36"/>
      <c r="B47" s="32" t="s">
        <v>80</v>
      </c>
      <c r="N47" s="42"/>
    </row>
    <row r="48" spans="1:14" ht="13" x14ac:dyDescent="0.3">
      <c r="A48" s="36">
        <f>A45+1</f>
        <v>27</v>
      </c>
      <c r="B48" s="38"/>
      <c r="C48" s="33" t="s">
        <v>81</v>
      </c>
      <c r="H48" s="33" t="s">
        <v>464</v>
      </c>
      <c r="J48" s="42">
        <v>126658024.02530475</v>
      </c>
      <c r="L48" s="42"/>
      <c r="N48" s="42"/>
    </row>
    <row r="49" spans="1:14" ht="13" x14ac:dyDescent="0.3">
      <c r="A49" s="36">
        <f t="shared" ref="A49:A59" si="1">A48+1</f>
        <v>28</v>
      </c>
      <c r="B49" s="38"/>
      <c r="C49" s="33" t="s">
        <v>82</v>
      </c>
      <c r="H49" s="33" t="s">
        <v>465</v>
      </c>
      <c r="J49" s="45">
        <v>177353569.43732461</v>
      </c>
      <c r="L49" s="42"/>
      <c r="N49" s="42"/>
    </row>
    <row r="50" spans="1:14" ht="13" x14ac:dyDescent="0.3">
      <c r="A50" s="36">
        <f>A49+1</f>
        <v>29</v>
      </c>
      <c r="B50" s="38"/>
      <c r="C50" s="33" t="s">
        <v>83</v>
      </c>
      <c r="H50" s="33" t="s">
        <v>466</v>
      </c>
      <c r="J50" s="42">
        <v>2371003</v>
      </c>
      <c r="L50" s="42"/>
      <c r="N50" s="42"/>
    </row>
    <row r="51" spans="1:14" ht="13" x14ac:dyDescent="0.3">
      <c r="A51" s="36">
        <f t="shared" si="1"/>
        <v>30</v>
      </c>
      <c r="B51" s="38"/>
      <c r="C51" s="33" t="s">
        <v>84</v>
      </c>
      <c r="H51" s="33" t="s">
        <v>467</v>
      </c>
      <c r="J51" s="42">
        <v>274400278.25405085</v>
      </c>
      <c r="L51" s="42"/>
      <c r="N51" s="42"/>
    </row>
    <row r="52" spans="1:14" ht="13" x14ac:dyDescent="0.3">
      <c r="A52" s="36">
        <f t="shared" si="1"/>
        <v>31</v>
      </c>
      <c r="B52" s="38"/>
      <c r="C52" s="33" t="s">
        <v>85</v>
      </c>
      <c r="H52" s="33" t="s">
        <v>468</v>
      </c>
      <c r="J52" s="42">
        <v>0</v>
      </c>
      <c r="L52" s="42"/>
      <c r="N52" s="42"/>
    </row>
    <row r="53" spans="1:14" ht="13" x14ac:dyDescent="0.3">
      <c r="A53" s="36">
        <f t="shared" si="1"/>
        <v>32</v>
      </c>
      <c r="B53" s="38"/>
      <c r="C53" s="33" t="s">
        <v>86</v>
      </c>
      <c r="H53" s="33" t="s">
        <v>469</v>
      </c>
      <c r="J53" s="42">
        <v>71871386.440174356</v>
      </c>
      <c r="L53" s="42"/>
      <c r="N53" s="42"/>
    </row>
    <row r="54" spans="1:14" ht="13" x14ac:dyDescent="0.3">
      <c r="A54" s="36">
        <f t="shared" si="1"/>
        <v>33</v>
      </c>
      <c r="B54" s="38"/>
      <c r="C54" s="33" t="s">
        <v>87</v>
      </c>
      <c r="H54" s="33" t="s">
        <v>470</v>
      </c>
      <c r="J54" s="45">
        <v>-48068461.467533454</v>
      </c>
      <c r="L54" s="42"/>
      <c r="N54" s="42"/>
    </row>
    <row r="55" spans="1:14" ht="13" x14ac:dyDescent="0.3">
      <c r="A55" s="36">
        <f t="shared" si="1"/>
        <v>34</v>
      </c>
      <c r="B55" s="38"/>
      <c r="C55" s="33" t="s">
        <v>88</v>
      </c>
      <c r="H55" s="33" t="str">
        <f>"Line "&amp;A34&amp;""</f>
        <v>Line 20</v>
      </c>
      <c r="J55" s="45">
        <f>J34</f>
        <v>491711673.09888202</v>
      </c>
      <c r="L55" s="42"/>
      <c r="N55" s="42"/>
    </row>
    <row r="56" spans="1:14" ht="13" x14ac:dyDescent="0.3">
      <c r="A56" s="36">
        <f t="shared" si="1"/>
        <v>35</v>
      </c>
      <c r="B56" s="38"/>
      <c r="C56" s="33" t="s">
        <v>89</v>
      </c>
      <c r="H56" s="33" t="str">
        <f>"Line "&amp;A38&amp;""</f>
        <v>Line 21</v>
      </c>
      <c r="J56" s="45">
        <f>J38</f>
        <v>115795723.49589862</v>
      </c>
      <c r="L56" s="42"/>
      <c r="N56" s="42"/>
    </row>
    <row r="57" spans="1:14" ht="13" x14ac:dyDescent="0.3">
      <c r="A57" s="36">
        <f t="shared" si="1"/>
        <v>36</v>
      </c>
      <c r="B57" s="38"/>
      <c r="C57" s="33" t="s">
        <v>90</v>
      </c>
      <c r="H57" s="33" t="s">
        <v>471</v>
      </c>
      <c r="J57" s="42">
        <v>0</v>
      </c>
      <c r="L57" s="42"/>
      <c r="N57" s="42"/>
    </row>
    <row r="58" spans="1:14" ht="13" x14ac:dyDescent="0.3">
      <c r="A58" s="36">
        <f t="shared" si="1"/>
        <v>37</v>
      </c>
      <c r="B58" s="38"/>
      <c r="C58" s="51" t="s">
        <v>91</v>
      </c>
      <c r="D58" s="51"/>
      <c r="H58" s="33" t="s">
        <v>472</v>
      </c>
      <c r="J58" s="48">
        <v>0</v>
      </c>
      <c r="L58" s="48"/>
      <c r="N58" s="48"/>
    </row>
    <row r="59" spans="1:14" ht="13" x14ac:dyDescent="0.3">
      <c r="A59" s="36">
        <f t="shared" si="1"/>
        <v>38</v>
      </c>
      <c r="B59" s="38"/>
      <c r="C59" s="33" t="s">
        <v>92</v>
      </c>
      <c r="H59" s="33" t="str">
        <f>"Sum Line "&amp;A48&amp;" to Line "&amp;A58&amp;""</f>
        <v>Sum Line 27 to Line 37</v>
      </c>
      <c r="J59" s="45">
        <f>SUM(J48:J58)</f>
        <v>1212093196.284102</v>
      </c>
      <c r="L59" s="42"/>
      <c r="N59" s="42"/>
    </row>
    <row r="60" spans="1:14" ht="13" x14ac:dyDescent="0.3">
      <c r="A60" s="36"/>
      <c r="B60" s="38"/>
      <c r="J60" s="42"/>
      <c r="L60" s="42"/>
      <c r="N60" s="42"/>
    </row>
    <row r="61" spans="1:14" ht="12.75" customHeight="1" x14ac:dyDescent="0.3">
      <c r="A61" s="36">
        <f>A59+1</f>
        <v>39</v>
      </c>
      <c r="B61" s="38"/>
      <c r="C61" s="33" t="s">
        <v>93</v>
      </c>
      <c r="H61" s="33" t="s">
        <v>484</v>
      </c>
      <c r="J61" s="42">
        <v>25971819.935195774</v>
      </c>
      <c r="L61" s="42"/>
      <c r="N61" s="42"/>
    </row>
    <row r="62" spans="1:14" ht="12.75" customHeight="1" x14ac:dyDescent="0.3">
      <c r="A62" s="36" t="s">
        <v>148</v>
      </c>
      <c r="B62" s="38"/>
      <c r="C62" s="33" t="s">
        <v>149</v>
      </c>
      <c r="H62" s="33" t="s">
        <v>150</v>
      </c>
      <c r="J62" s="42">
        <f>-J61</f>
        <v>-25971819.935195774</v>
      </c>
      <c r="L62" s="42"/>
      <c r="N62" s="42"/>
    </row>
    <row r="63" spans="1:14" ht="13" x14ac:dyDescent="0.3">
      <c r="A63" s="36"/>
      <c r="B63" s="38"/>
      <c r="J63" s="42"/>
      <c r="L63" s="42"/>
      <c r="N63" s="42"/>
    </row>
    <row r="64" spans="1:14" ht="13" x14ac:dyDescent="0.3">
      <c r="A64" s="36">
        <f>A61+1</f>
        <v>40</v>
      </c>
      <c r="B64" s="38"/>
      <c r="C64" s="33" t="s">
        <v>94</v>
      </c>
      <c r="H64" s="33" t="str">
        <f>"Sum of Lines "&amp;A59&amp;" to "&amp;A62&amp;""</f>
        <v>Sum of Lines 38 to 39a</v>
      </c>
      <c r="J64" s="45">
        <f>J59+J61+J62</f>
        <v>1212093196.284102</v>
      </c>
      <c r="L64" s="42"/>
      <c r="N64" s="42"/>
    </row>
    <row r="65" spans="1:16" ht="13" x14ac:dyDescent="0.3">
      <c r="A65" s="36"/>
      <c r="B65" s="38"/>
      <c r="J65" s="42"/>
    </row>
    <row r="66" spans="1:16" ht="13" x14ac:dyDescent="0.3">
      <c r="A66" s="36"/>
      <c r="B66" s="34" t="s">
        <v>95</v>
      </c>
      <c r="J66" s="42"/>
      <c r="N66" s="36"/>
      <c r="P66" s="164"/>
    </row>
    <row r="67" spans="1:16" ht="13.5" thickBot="1" x14ac:dyDescent="0.35">
      <c r="A67" s="37" t="s">
        <v>39</v>
      </c>
      <c r="B67" s="41"/>
      <c r="G67" s="39" t="s">
        <v>96</v>
      </c>
      <c r="N67" s="40"/>
    </row>
    <row r="68" spans="1:16" ht="13" x14ac:dyDescent="0.3">
      <c r="A68" s="36">
        <f>A64+1</f>
        <v>41</v>
      </c>
      <c r="B68" s="41"/>
      <c r="D68" s="52" t="s">
        <v>97</v>
      </c>
      <c r="E68" s="45">
        <f>J64</f>
        <v>1212093196.284102</v>
      </c>
      <c r="G68" s="33" t="str">
        <f>"Line "&amp;A64&amp;""</f>
        <v>Line 40</v>
      </c>
      <c r="J68" s="53" t="s">
        <v>98</v>
      </c>
      <c r="N68" s="42"/>
    </row>
    <row r="69" spans="1:16" ht="13" x14ac:dyDescent="0.3">
      <c r="A69" s="36">
        <f>A68+1</f>
        <v>42</v>
      </c>
      <c r="B69" s="41"/>
      <c r="D69" s="52" t="s">
        <v>99</v>
      </c>
      <c r="E69" s="54">
        <v>9.2480778683301876E-3</v>
      </c>
      <c r="G69" s="33" t="s">
        <v>485</v>
      </c>
      <c r="J69" s="55" t="s">
        <v>303</v>
      </c>
      <c r="N69" s="50"/>
    </row>
    <row r="70" spans="1:16" ht="13" x14ac:dyDescent="0.3">
      <c r="A70" s="36">
        <f>A69+1</f>
        <v>43</v>
      </c>
      <c r="B70" s="41"/>
      <c r="D70" s="52" t="s">
        <v>100</v>
      </c>
      <c r="E70" s="45">
        <f>E68*E69</f>
        <v>11209532.262908602</v>
      </c>
      <c r="G70" s="33" t="str">
        <f>"Line "&amp;A68&amp;" * Line "&amp;A69&amp;""</f>
        <v>Line 41 * Line 42</v>
      </c>
      <c r="J70" s="56">
        <f>E73</f>
        <v>1237091728.5470107</v>
      </c>
      <c r="N70" s="42"/>
    </row>
    <row r="71" spans="1:16" ht="28" customHeight="1" x14ac:dyDescent="0.3">
      <c r="A71" s="36">
        <f>A70+1</f>
        <v>44</v>
      </c>
      <c r="B71" s="41"/>
      <c r="D71" s="52" t="s">
        <v>101</v>
      </c>
      <c r="E71" s="277">
        <v>1.1376187938578282E-2</v>
      </c>
      <c r="G71" s="33" t="s">
        <v>485</v>
      </c>
      <c r="J71" s="57">
        <v>1237122830.6833048</v>
      </c>
      <c r="K71" s="360" t="s">
        <v>407</v>
      </c>
      <c r="L71" s="361"/>
      <c r="M71" s="361"/>
      <c r="N71" s="50"/>
    </row>
    <row r="72" spans="1:16" ht="13.5" thickBot="1" x14ac:dyDescent="0.35">
      <c r="A72" s="36">
        <f>A71+1</f>
        <v>45</v>
      </c>
      <c r="B72" s="41"/>
      <c r="D72" s="52" t="s">
        <v>102</v>
      </c>
      <c r="E72" s="45">
        <f>E68*E71</f>
        <v>13789000</v>
      </c>
      <c r="G72" s="33" t="str">
        <f>"Line "&amp;A68&amp;" * Line "&amp;A71&amp;""</f>
        <v>Line 41 * Line 44</v>
      </c>
      <c r="J72" s="58">
        <f>J70-J71</f>
        <v>-31102.136294126511</v>
      </c>
      <c r="N72" s="42"/>
    </row>
    <row r="73" spans="1:16" ht="13" x14ac:dyDescent="0.3">
      <c r="A73" s="36">
        <f>A72+1</f>
        <v>46</v>
      </c>
      <c r="B73" s="41"/>
      <c r="D73" s="52" t="s">
        <v>103</v>
      </c>
      <c r="E73" s="45">
        <f>E68+E70+E72</f>
        <v>1237091728.5470107</v>
      </c>
      <c r="G73" s="33" t="str">
        <f>"L "&amp;A68&amp;" + L "&amp;A70&amp;" + L "&amp;A72&amp;""</f>
        <v>L 41 + L 43 + L 45</v>
      </c>
      <c r="L73" s="42"/>
      <c r="N73" s="42"/>
    </row>
    <row r="74" spans="1:16" ht="13" x14ac:dyDescent="0.3">
      <c r="B74" s="34" t="s">
        <v>104</v>
      </c>
      <c r="D74" s="52"/>
      <c r="E74" s="42"/>
      <c r="H74" s="59"/>
      <c r="L74" s="165"/>
    </row>
    <row r="75" spans="1:16" ht="13" x14ac:dyDescent="0.3">
      <c r="A75" s="36"/>
      <c r="B75" s="33" t="s">
        <v>145</v>
      </c>
      <c r="C75" s="34"/>
      <c r="D75" s="52"/>
      <c r="E75" s="42"/>
      <c r="L75" s="90" t="s">
        <v>408</v>
      </c>
      <c r="M75" s="279">
        <v>-31452.708923339844</v>
      </c>
    </row>
    <row r="76" spans="1:16" ht="13" x14ac:dyDescent="0.3">
      <c r="A76" s="36"/>
      <c r="B76" s="33" t="s">
        <v>146</v>
      </c>
      <c r="C76" s="34"/>
      <c r="D76" s="52"/>
      <c r="E76" s="42"/>
      <c r="L76" s="122" t="s">
        <v>409</v>
      </c>
      <c r="M76" s="280">
        <f>J72-M75</f>
        <v>350.57262921333313</v>
      </c>
    </row>
    <row r="77" spans="1:16" ht="13" x14ac:dyDescent="0.3">
      <c r="A77" s="36"/>
      <c r="B77" s="41" t="s">
        <v>105</v>
      </c>
      <c r="D77" s="52"/>
      <c r="E77" s="42"/>
      <c r="L77" s="278" t="s">
        <v>169</v>
      </c>
      <c r="M77" s="281">
        <f>SUM(M75:M76)</f>
        <v>-31102.136294126511</v>
      </c>
    </row>
    <row r="78" spans="1:16" ht="13" x14ac:dyDescent="0.3">
      <c r="A78" s="36"/>
      <c r="B78" s="41" t="s">
        <v>106</v>
      </c>
      <c r="D78" s="52"/>
      <c r="E78" s="42"/>
      <c r="L78" s="90"/>
      <c r="M78" s="73"/>
    </row>
    <row r="79" spans="1:16" ht="13" x14ac:dyDescent="0.3">
      <c r="A79" s="36"/>
      <c r="L79" s="91"/>
      <c r="O79" s="43"/>
    </row>
    <row r="80" spans="1:16" ht="13" x14ac:dyDescent="0.3">
      <c r="A80" s="36"/>
      <c r="B80" s="33" t="s">
        <v>107</v>
      </c>
      <c r="L80" s="48"/>
      <c r="M80" s="43"/>
      <c r="N80" s="43"/>
    </row>
    <row r="81" spans="1:12" ht="13" x14ac:dyDescent="0.3">
      <c r="A81" s="36"/>
      <c r="C81" s="33" t="s">
        <v>108</v>
      </c>
      <c r="L81" s="42"/>
    </row>
    <row r="82" spans="1:12" ht="13" x14ac:dyDescent="0.3">
      <c r="A82" s="36"/>
      <c r="J82" s="36" t="s">
        <v>109</v>
      </c>
    </row>
    <row r="83" spans="1:12" ht="13" x14ac:dyDescent="0.3">
      <c r="A83" s="36"/>
      <c r="E83" s="40" t="s">
        <v>110</v>
      </c>
      <c r="F83" s="39" t="s">
        <v>96</v>
      </c>
      <c r="G83" s="40" t="s">
        <v>111</v>
      </c>
      <c r="H83" s="40" t="s">
        <v>112</v>
      </c>
      <c r="J83" s="40" t="s">
        <v>113</v>
      </c>
    </row>
    <row r="84" spans="1:12" ht="13" x14ac:dyDescent="0.3">
      <c r="B84" s="60" t="s">
        <v>114</v>
      </c>
      <c r="C84" s="33" t="s">
        <v>115</v>
      </c>
      <c r="E84" s="155">
        <v>0.10299999999999999</v>
      </c>
      <c r="F84" s="33" t="s">
        <v>118</v>
      </c>
      <c r="G84" s="78">
        <v>43831</v>
      </c>
      <c r="H84" s="78">
        <v>44196</v>
      </c>
      <c r="J84" s="156">
        <v>365</v>
      </c>
    </row>
    <row r="85" spans="1:12" ht="13" x14ac:dyDescent="0.3">
      <c r="B85" s="60" t="s">
        <v>116</v>
      </c>
      <c r="C85" s="33" t="s">
        <v>117</v>
      </c>
      <c r="E85" s="155"/>
      <c r="F85" s="33" t="s">
        <v>147</v>
      </c>
      <c r="G85" s="78"/>
      <c r="H85" s="78"/>
      <c r="J85" s="156"/>
    </row>
    <row r="86" spans="1:12" ht="13" x14ac:dyDescent="0.3">
      <c r="B86" s="60" t="s">
        <v>119</v>
      </c>
      <c r="E86" s="63"/>
      <c r="G86" s="64"/>
      <c r="H86" s="64"/>
      <c r="I86" s="52" t="s">
        <v>120</v>
      </c>
      <c r="J86" s="66">
        <f>SUM(J84:J85)</f>
        <v>365</v>
      </c>
    </row>
    <row r="87" spans="1:12" ht="13" x14ac:dyDescent="0.3">
      <c r="B87" s="60" t="s">
        <v>121</v>
      </c>
      <c r="C87" s="33" t="s">
        <v>122</v>
      </c>
      <c r="E87" s="61">
        <f>((E84*J84) + (E85* J85)) / J86</f>
        <v>0.10299999999999999</v>
      </c>
      <c r="F87" s="33" t="s">
        <v>123</v>
      </c>
    </row>
    <row r="88" spans="1:12" ht="13" x14ac:dyDescent="0.3">
      <c r="A88" s="36"/>
    </row>
    <row r="89" spans="1:12" ht="13" x14ac:dyDescent="0.3">
      <c r="A89" s="36"/>
      <c r="B89" s="33" t="s">
        <v>124</v>
      </c>
    </row>
    <row r="90" spans="1:12" ht="13" x14ac:dyDescent="0.3">
      <c r="A90" s="36"/>
      <c r="E90" s="39" t="s">
        <v>96</v>
      </c>
    </row>
    <row r="91" spans="1:12" ht="13" x14ac:dyDescent="0.3">
      <c r="B91" s="60" t="s">
        <v>125</v>
      </c>
      <c r="C91" s="33" t="s">
        <v>126</v>
      </c>
      <c r="E91" s="157" t="s">
        <v>166</v>
      </c>
      <c r="F91" s="62"/>
      <c r="G91" s="62"/>
      <c r="H91" s="62"/>
      <c r="I91" s="62"/>
      <c r="J91" s="62"/>
    </row>
    <row r="92" spans="1:12" ht="13" x14ac:dyDescent="0.3">
      <c r="B92" s="60" t="s">
        <v>127</v>
      </c>
      <c r="C92" s="33" t="s">
        <v>128</v>
      </c>
      <c r="E92" s="157" t="s">
        <v>167</v>
      </c>
      <c r="F92" s="62"/>
      <c r="G92" s="62"/>
      <c r="H92" s="62"/>
      <c r="I92" s="62"/>
      <c r="J92" s="62"/>
    </row>
    <row r="93" spans="1:12" x14ac:dyDescent="0.25">
      <c r="E93" s="64"/>
    </row>
    <row r="94" spans="1:12" ht="13" x14ac:dyDescent="0.3">
      <c r="E94" s="40" t="s">
        <v>110</v>
      </c>
      <c r="F94" s="39" t="s">
        <v>96</v>
      </c>
    </row>
    <row r="95" spans="1:12" ht="13" x14ac:dyDescent="0.3">
      <c r="B95" s="60" t="s">
        <v>129</v>
      </c>
      <c r="C95" s="33" t="s">
        <v>130</v>
      </c>
      <c r="E95" s="158">
        <v>2.0688402678787333E-2</v>
      </c>
      <c r="F95" s="33" t="s">
        <v>473</v>
      </c>
    </row>
    <row r="96" spans="1:12" ht="13" x14ac:dyDescent="0.3">
      <c r="B96" s="60" t="s">
        <v>131</v>
      </c>
      <c r="C96" s="33" t="s">
        <v>132</v>
      </c>
      <c r="E96" s="158">
        <v>3.4661826053399079E-3</v>
      </c>
      <c r="F96" s="33" t="s">
        <v>474</v>
      </c>
    </row>
    <row r="97" spans="1:10" ht="13" x14ac:dyDescent="0.3">
      <c r="B97" s="60" t="s">
        <v>133</v>
      </c>
      <c r="C97" s="33" t="s">
        <v>134</v>
      </c>
      <c r="E97" s="159">
        <v>4.8924999999999996E-2</v>
      </c>
      <c r="F97" s="33" t="s">
        <v>475</v>
      </c>
    </row>
    <row r="98" spans="1:10" ht="13" x14ac:dyDescent="0.3">
      <c r="B98" s="36" t="s">
        <v>135</v>
      </c>
      <c r="C98" s="38" t="s">
        <v>68</v>
      </c>
      <c r="E98" s="158">
        <f>SUM(E95:E97)</f>
        <v>7.3079585284127238E-2</v>
      </c>
      <c r="F98" s="42" t="str">
        <f>"Sum of Lines "&amp;B95&amp;" to "&amp;B97&amp;""</f>
        <v>Sum of Lines g to i</v>
      </c>
      <c r="G98" s="66"/>
      <c r="J98" s="67"/>
    </row>
    <row r="99" spans="1:10" ht="13" x14ac:dyDescent="0.3">
      <c r="A99" s="36"/>
      <c r="C99" s="68"/>
      <c r="D99" s="69"/>
      <c r="E99" s="42"/>
      <c r="F99" s="42"/>
      <c r="G99" s="66"/>
      <c r="H99" s="42"/>
      <c r="J99" s="67"/>
    </row>
    <row r="100" spans="1:10" ht="13" x14ac:dyDescent="0.3">
      <c r="A100" s="36"/>
      <c r="B100" s="33" t="s">
        <v>136</v>
      </c>
    </row>
    <row r="101" spans="1:10" ht="13" x14ac:dyDescent="0.3">
      <c r="A101" s="36"/>
    </row>
    <row r="102" spans="1:10" ht="13" x14ac:dyDescent="0.3">
      <c r="A102" s="36"/>
      <c r="E102" s="40" t="s">
        <v>110</v>
      </c>
      <c r="F102" s="39" t="s">
        <v>96</v>
      </c>
    </row>
    <row r="103" spans="1:10" ht="13" x14ac:dyDescent="0.3">
      <c r="B103" s="60" t="s">
        <v>137</v>
      </c>
      <c r="E103" s="158">
        <f>E96+E97</f>
        <v>5.2391182605339905E-2</v>
      </c>
      <c r="F103" s="42" t="str">
        <f>"Sum of Lines "&amp;B96&amp;" to "&amp;B97&amp;""</f>
        <v>Sum of Lines h to i</v>
      </c>
    </row>
    <row r="104" spans="1:10" ht="13" x14ac:dyDescent="0.3">
      <c r="A104" s="36"/>
      <c r="E104" s="50"/>
      <c r="F104" s="42"/>
    </row>
    <row r="105" spans="1:10" ht="13" x14ac:dyDescent="0.3">
      <c r="A105" s="36"/>
      <c r="B105" s="37" t="s">
        <v>152</v>
      </c>
      <c r="E105" s="66"/>
      <c r="F105" s="66"/>
      <c r="G105" s="66"/>
      <c r="H105" s="42"/>
    </row>
    <row r="106" spans="1:10" ht="13" x14ac:dyDescent="0.3">
      <c r="A106" s="36"/>
      <c r="B106" s="33" t="s">
        <v>153</v>
      </c>
    </row>
    <row r="107" spans="1:10" ht="13" x14ac:dyDescent="0.3">
      <c r="A107" s="36"/>
      <c r="B107" s="38" t="s">
        <v>168</v>
      </c>
      <c r="D107" s="36"/>
      <c r="E107" s="36"/>
      <c r="F107" s="36"/>
      <c r="G107" s="36"/>
      <c r="H107" s="36"/>
    </row>
    <row r="108" spans="1:10" ht="13" x14ac:dyDescent="0.3">
      <c r="A108" s="36"/>
      <c r="B108" s="41"/>
      <c r="D108" s="36"/>
      <c r="E108" s="36"/>
      <c r="F108" s="36"/>
      <c r="G108" s="36"/>
      <c r="H108" s="36"/>
    </row>
    <row r="109" spans="1:10" ht="13" x14ac:dyDescent="0.3">
      <c r="A109" s="36"/>
      <c r="C109" s="70"/>
      <c r="D109" s="70"/>
      <c r="E109" s="40"/>
      <c r="F109" s="40"/>
      <c r="G109" s="40"/>
      <c r="H109" s="40"/>
    </row>
    <row r="110" spans="1:10" ht="13" x14ac:dyDescent="0.3">
      <c r="A110" s="36"/>
    </row>
    <row r="111" spans="1:10" ht="13" x14ac:dyDescent="0.3">
      <c r="A111" s="36"/>
    </row>
    <row r="112" spans="1:10" ht="13" x14ac:dyDescent="0.3">
      <c r="A112" s="36"/>
    </row>
    <row r="113" spans="1:10" ht="13" x14ac:dyDescent="0.3">
      <c r="A113" s="36"/>
      <c r="C113" s="68"/>
      <c r="E113" s="42"/>
      <c r="F113" s="42"/>
      <c r="H113" s="42"/>
      <c r="J113" s="67"/>
    </row>
    <row r="114" spans="1:10" ht="13" x14ac:dyDescent="0.3">
      <c r="A114" s="36"/>
      <c r="C114" s="68"/>
      <c r="E114" s="42"/>
      <c r="F114" s="42"/>
      <c r="H114" s="42"/>
      <c r="J114" s="67"/>
    </row>
    <row r="115" spans="1:10" ht="13" x14ac:dyDescent="0.3">
      <c r="A115" s="37"/>
      <c r="C115" s="68"/>
      <c r="E115" s="42"/>
      <c r="F115" s="42"/>
      <c r="H115" s="42"/>
      <c r="J115" s="67"/>
    </row>
    <row r="116" spans="1:10" ht="13" x14ac:dyDescent="0.3">
      <c r="A116" s="36"/>
      <c r="D116" s="71"/>
      <c r="E116" s="42"/>
      <c r="F116" s="42"/>
      <c r="H116" s="42"/>
      <c r="J116" s="67"/>
    </row>
    <row r="117" spans="1:10" ht="13" x14ac:dyDescent="0.3">
      <c r="A117" s="36"/>
      <c r="C117" s="68"/>
      <c r="D117" s="52"/>
      <c r="E117" s="48"/>
      <c r="F117" s="42"/>
      <c r="H117" s="42"/>
      <c r="J117" s="67"/>
    </row>
    <row r="118" spans="1:10" ht="13" x14ac:dyDescent="0.3">
      <c r="A118" s="36"/>
      <c r="C118" s="68"/>
      <c r="D118" s="52"/>
      <c r="E118" s="42"/>
      <c r="F118" s="42"/>
      <c r="H118" s="42"/>
      <c r="J118" s="67"/>
    </row>
    <row r="119" spans="1:10" ht="13" x14ac:dyDescent="0.3">
      <c r="A119" s="36"/>
    </row>
    <row r="120" spans="1:10" ht="13" x14ac:dyDescent="0.3">
      <c r="A120" s="36"/>
      <c r="B120" s="32"/>
    </row>
    <row r="121" spans="1:10" ht="13" x14ac:dyDescent="0.3">
      <c r="A121" s="36"/>
    </row>
    <row r="122" spans="1:10" ht="13" x14ac:dyDescent="0.3">
      <c r="A122" s="36"/>
    </row>
    <row r="123" spans="1:10" ht="13" x14ac:dyDescent="0.3">
      <c r="A123" s="36"/>
      <c r="F123" s="36"/>
    </row>
    <row r="124" spans="1:10" ht="13" x14ac:dyDescent="0.3">
      <c r="A124" s="36"/>
      <c r="F124" s="36"/>
    </row>
    <row r="125" spans="1:10" ht="13" x14ac:dyDescent="0.3">
      <c r="A125" s="36"/>
      <c r="D125" s="36"/>
      <c r="E125" s="36"/>
      <c r="F125" s="36"/>
      <c r="H125" s="36"/>
    </row>
    <row r="126" spans="1:10" ht="13" x14ac:dyDescent="0.3">
      <c r="A126" s="36"/>
      <c r="D126" s="36"/>
      <c r="E126" s="36"/>
      <c r="F126" s="36"/>
      <c r="G126" s="36"/>
      <c r="H126" s="60"/>
    </row>
    <row r="127" spans="1:10" ht="13" x14ac:dyDescent="0.3">
      <c r="A127" s="37"/>
      <c r="C127" s="70"/>
      <c r="D127" s="70"/>
      <c r="E127" s="40"/>
      <c r="F127" s="72"/>
      <c r="G127" s="40"/>
      <c r="H127" s="60"/>
    </row>
    <row r="128" spans="1:10" ht="13" x14ac:dyDescent="0.3">
      <c r="A128" s="36"/>
      <c r="C128" s="68"/>
      <c r="D128" s="69"/>
      <c r="E128" s="42"/>
      <c r="F128" s="42"/>
      <c r="G128" s="61"/>
      <c r="H128" s="42"/>
    </row>
    <row r="129" spans="1:8" ht="13" x14ac:dyDescent="0.3">
      <c r="A129" s="36"/>
      <c r="C129" s="68"/>
      <c r="D129" s="69"/>
      <c r="E129" s="42"/>
      <c r="F129" s="42"/>
      <c r="G129" s="61"/>
      <c r="H129" s="42"/>
    </row>
    <row r="130" spans="1:8" ht="13" x14ac:dyDescent="0.3">
      <c r="A130" s="36"/>
      <c r="C130" s="68"/>
      <c r="D130" s="69"/>
      <c r="E130" s="42"/>
      <c r="F130" s="42"/>
      <c r="G130" s="61"/>
      <c r="H130" s="42"/>
    </row>
    <row r="131" spans="1:8" ht="13" x14ac:dyDescent="0.3">
      <c r="A131" s="36"/>
      <c r="C131" s="68"/>
      <c r="D131" s="69"/>
      <c r="E131" s="42"/>
      <c r="F131" s="42"/>
      <c r="G131" s="61"/>
      <c r="H131" s="42"/>
    </row>
    <row r="132" spans="1:8" ht="13" x14ac:dyDescent="0.3">
      <c r="A132" s="36"/>
      <c r="C132" s="68"/>
      <c r="D132" s="69"/>
      <c r="E132" s="42"/>
      <c r="F132" s="42"/>
      <c r="G132" s="61"/>
      <c r="H132" s="42"/>
    </row>
    <row r="133" spans="1:8" ht="13" x14ac:dyDescent="0.3">
      <c r="A133" s="36"/>
      <c r="C133" s="68"/>
      <c r="D133" s="69"/>
      <c r="E133" s="42"/>
      <c r="F133" s="42"/>
      <c r="G133" s="61"/>
      <c r="H133" s="42"/>
    </row>
    <row r="134" spans="1:8" ht="13" x14ac:dyDescent="0.3">
      <c r="A134" s="36"/>
      <c r="C134" s="68"/>
      <c r="D134" s="69"/>
      <c r="E134" s="42"/>
      <c r="F134" s="42"/>
      <c r="G134" s="61"/>
      <c r="H134" s="42"/>
    </row>
    <row r="135" spans="1:8" ht="13" x14ac:dyDescent="0.3">
      <c r="A135" s="36"/>
      <c r="C135" s="68"/>
      <c r="D135" s="69"/>
      <c r="E135" s="42"/>
      <c r="F135" s="42"/>
      <c r="G135" s="61"/>
      <c r="H135" s="42"/>
    </row>
    <row r="136" spans="1:8" ht="13" x14ac:dyDescent="0.3">
      <c r="A136" s="36"/>
      <c r="C136" s="68"/>
      <c r="D136" s="69"/>
      <c r="E136" s="42"/>
      <c r="F136" s="42"/>
      <c r="G136" s="61"/>
      <c r="H136" s="42"/>
    </row>
    <row r="137" spans="1:8" ht="13" x14ac:dyDescent="0.3">
      <c r="A137" s="36"/>
      <c r="C137" s="68"/>
      <c r="D137" s="69"/>
      <c r="E137" s="42"/>
      <c r="F137" s="42"/>
      <c r="G137" s="61"/>
      <c r="H137" s="42"/>
    </row>
    <row r="138" spans="1:8" ht="13" x14ac:dyDescent="0.3">
      <c r="A138" s="36"/>
      <c r="C138" s="68"/>
      <c r="D138" s="69"/>
      <c r="E138" s="42"/>
      <c r="F138" s="42"/>
      <c r="G138" s="61"/>
      <c r="H138" s="42"/>
    </row>
    <row r="139" spans="1:8" ht="13" x14ac:dyDescent="0.3">
      <c r="A139" s="36"/>
      <c r="C139" s="68"/>
      <c r="D139" s="69"/>
      <c r="E139" s="42"/>
      <c r="F139" s="42"/>
      <c r="G139" s="61"/>
      <c r="H139" s="48"/>
    </row>
    <row r="140" spans="1:8" ht="13" x14ac:dyDescent="0.3">
      <c r="A140" s="36"/>
      <c r="H140" s="42"/>
    </row>
    <row r="141" spans="1:8" ht="13" x14ac:dyDescent="0.3">
      <c r="A141" s="36"/>
      <c r="C141" s="68"/>
      <c r="D141" s="69"/>
      <c r="F141" s="73"/>
      <c r="G141" s="61"/>
      <c r="H141" s="73"/>
    </row>
    <row r="142" spans="1:8" ht="13" x14ac:dyDescent="0.3">
      <c r="A142" s="36"/>
      <c r="B142" s="32"/>
      <c r="C142" s="68"/>
      <c r="D142" s="69"/>
      <c r="F142" s="73"/>
      <c r="G142" s="61"/>
      <c r="H142" s="73"/>
    </row>
    <row r="143" spans="1:8" ht="13" x14ac:dyDescent="0.3">
      <c r="A143" s="37"/>
      <c r="B143" s="32"/>
      <c r="C143" s="68"/>
      <c r="D143" s="69"/>
      <c r="F143" s="73"/>
      <c r="G143" s="61"/>
      <c r="H143" s="73"/>
    </row>
    <row r="144" spans="1:8" ht="13" x14ac:dyDescent="0.3">
      <c r="A144" s="36"/>
      <c r="C144" s="68"/>
      <c r="D144" s="74"/>
      <c r="E144" s="42"/>
      <c r="F144" s="75"/>
      <c r="G144" s="61"/>
      <c r="H144" s="73"/>
    </row>
    <row r="145" spans="1:8" ht="13" x14ac:dyDescent="0.3">
      <c r="A145" s="36"/>
      <c r="C145" s="68"/>
      <c r="D145" s="52"/>
      <c r="E145" s="42"/>
      <c r="F145" s="75"/>
      <c r="G145" s="61"/>
      <c r="H145" s="73"/>
    </row>
    <row r="146" spans="1:8" ht="13" x14ac:dyDescent="0.3">
      <c r="A146" s="36"/>
      <c r="C146" s="68"/>
      <c r="D146" s="52"/>
      <c r="E146" s="48"/>
      <c r="F146" s="75"/>
      <c r="G146" s="61"/>
      <c r="H146" s="73"/>
    </row>
    <row r="147" spans="1:8" ht="13" x14ac:dyDescent="0.3">
      <c r="A147" s="36"/>
      <c r="C147" s="68"/>
      <c r="D147" s="74"/>
      <c r="E147" s="42"/>
      <c r="F147" s="73"/>
      <c r="G147" s="61"/>
      <c r="H147" s="73"/>
    </row>
    <row r="148" spans="1:8" ht="13" x14ac:dyDescent="0.3">
      <c r="A148" s="36"/>
      <c r="C148" s="68"/>
      <c r="D148" s="69"/>
      <c r="F148" s="73"/>
      <c r="G148" s="61"/>
      <c r="H148" s="73"/>
    </row>
    <row r="149" spans="1:8" ht="13" x14ac:dyDescent="0.3">
      <c r="A149" s="36"/>
    </row>
    <row r="150" spans="1:8" ht="13" x14ac:dyDescent="0.3">
      <c r="A150" s="36"/>
    </row>
    <row r="151" spans="1:8" ht="13" x14ac:dyDescent="0.3">
      <c r="A151" s="36"/>
    </row>
    <row r="152" spans="1:8" ht="13" x14ac:dyDescent="0.3">
      <c r="A152" s="36"/>
      <c r="B152" s="32"/>
    </row>
    <row r="153" spans="1:8" ht="13" x14ac:dyDescent="0.3">
      <c r="A153" s="36"/>
    </row>
    <row r="154" spans="1:8" ht="13" x14ac:dyDescent="0.3">
      <c r="A154" s="36"/>
    </row>
    <row r="155" spans="1:8" ht="13" x14ac:dyDescent="0.3">
      <c r="A155" s="36"/>
    </row>
    <row r="156" spans="1:8" ht="13" x14ac:dyDescent="0.3">
      <c r="A156" s="36"/>
    </row>
    <row r="157" spans="1:8" ht="13" x14ac:dyDescent="0.3">
      <c r="A157" s="36"/>
      <c r="B157" s="32"/>
    </row>
    <row r="158" spans="1:8" ht="13" x14ac:dyDescent="0.3">
      <c r="A158" s="36"/>
    </row>
    <row r="159" spans="1:8" ht="13" x14ac:dyDescent="0.3">
      <c r="A159" s="37"/>
      <c r="C159" s="70"/>
      <c r="D159" s="40"/>
    </row>
    <row r="160" spans="1:8" ht="13" x14ac:dyDescent="0.3">
      <c r="A160" s="36"/>
      <c r="C160" s="68"/>
      <c r="D160" s="76"/>
      <c r="F160" s="50"/>
    </row>
    <row r="161" spans="1:6" ht="13" x14ac:dyDescent="0.3">
      <c r="A161" s="36"/>
      <c r="C161" s="68"/>
      <c r="D161" s="76"/>
      <c r="F161" s="50"/>
    </row>
    <row r="162" spans="1:6" ht="13" x14ac:dyDescent="0.3">
      <c r="A162" s="36"/>
      <c r="C162" s="68"/>
      <c r="D162" s="76"/>
      <c r="F162" s="50"/>
    </row>
    <row r="163" spans="1:6" ht="13" x14ac:dyDescent="0.3">
      <c r="A163" s="36"/>
      <c r="C163" s="68"/>
      <c r="D163" s="76"/>
      <c r="F163" s="50"/>
    </row>
    <row r="164" spans="1:6" ht="13" x14ac:dyDescent="0.3">
      <c r="A164" s="36"/>
      <c r="C164" s="68"/>
      <c r="D164" s="76"/>
      <c r="F164" s="50"/>
    </row>
    <row r="165" spans="1:6" ht="13" x14ac:dyDescent="0.3">
      <c r="A165" s="36"/>
      <c r="C165" s="68"/>
      <c r="D165" s="76"/>
      <c r="F165" s="50"/>
    </row>
    <row r="166" spans="1:6" ht="13" x14ac:dyDescent="0.3">
      <c r="A166" s="36"/>
      <c r="C166" s="68"/>
      <c r="D166" s="76"/>
      <c r="F166" s="50"/>
    </row>
    <row r="167" spans="1:6" ht="13" x14ac:dyDescent="0.3">
      <c r="A167" s="36"/>
      <c r="C167" s="68"/>
      <c r="D167" s="76"/>
      <c r="F167" s="50"/>
    </row>
    <row r="168" spans="1:6" ht="13" x14ac:dyDescent="0.3">
      <c r="A168" s="36"/>
      <c r="C168" s="68"/>
      <c r="D168" s="76"/>
      <c r="F168" s="50"/>
    </row>
    <row r="169" spans="1:6" ht="13" x14ac:dyDescent="0.3">
      <c r="A169" s="36"/>
      <c r="C169" s="68"/>
      <c r="D169" s="76"/>
      <c r="F169" s="50"/>
    </row>
    <row r="170" spans="1:6" ht="13" x14ac:dyDescent="0.3">
      <c r="A170" s="36"/>
      <c r="C170" s="68"/>
      <c r="D170" s="76"/>
      <c r="F170" s="50"/>
    </row>
    <row r="171" spans="1:6" ht="13" x14ac:dyDescent="0.3">
      <c r="A171" s="36"/>
      <c r="C171" s="68"/>
      <c r="D171" s="77"/>
      <c r="F171" s="65"/>
    </row>
    <row r="172" spans="1:6" ht="13" x14ac:dyDescent="0.3">
      <c r="A172" s="36"/>
      <c r="C172" s="71"/>
      <c r="D172" s="76"/>
    </row>
  </sheetData>
  <mergeCells count="1">
    <mergeCell ref="K71:M71"/>
  </mergeCells>
  <pageMargins left="0.75" right="0.75" top="1" bottom="1" header="0.5" footer="0.5"/>
  <pageSetup scale="64" orientation="landscape" cellComments="asDisplayed" r:id="rId1"/>
  <headerFooter alignWithMargins="0">
    <oddHeader>&amp;CSchedule 4
True Up TRR
(Revised 2020 True Up TRR)&amp;RTO2024 Draft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07369-A948-41AF-A2DF-0A30A3B92CB5}">
  <sheetPr>
    <tabColor rgb="FFFFFFCC"/>
  </sheetPr>
  <dimension ref="A1:X110"/>
  <sheetViews>
    <sheetView zoomScaleNormal="100" zoomScalePageLayoutView="80" workbookViewId="0"/>
  </sheetViews>
  <sheetFormatPr defaultRowHeight="12.5" x14ac:dyDescent="0.25"/>
  <cols>
    <col min="1" max="1" width="4.54296875" style="33" customWidth="1"/>
    <col min="2" max="2" width="2.54296875" style="33" customWidth="1"/>
    <col min="3" max="3" width="8.54296875" style="33" customWidth="1"/>
    <col min="4" max="4" width="32.54296875" style="33" customWidth="1"/>
    <col min="5" max="5" width="14.54296875" style="33" customWidth="1"/>
    <col min="6" max="6" width="15.54296875" style="33" customWidth="1"/>
    <col min="7" max="8" width="14.54296875" style="33" customWidth="1"/>
    <col min="9" max="9" width="20" style="33" customWidth="1"/>
    <col min="10" max="10" width="15.54296875" style="33" customWidth="1"/>
    <col min="11" max="11" width="11" style="33" bestFit="1" customWidth="1"/>
    <col min="12" max="16384" width="8.7265625" style="33"/>
  </cols>
  <sheetData>
    <row r="1" spans="1:24" ht="13" x14ac:dyDescent="0.3">
      <c r="A1" s="32" t="s">
        <v>170</v>
      </c>
      <c r="F1" s="123" t="s">
        <v>171</v>
      </c>
      <c r="G1" s="62"/>
      <c r="H1" s="66"/>
      <c r="I1" s="66"/>
    </row>
    <row r="2" spans="1:24" ht="13" x14ac:dyDescent="0.3">
      <c r="E2" s="72" t="s">
        <v>172</v>
      </c>
      <c r="F2" s="72" t="s">
        <v>173</v>
      </c>
      <c r="G2" s="72" t="s">
        <v>174</v>
      </c>
      <c r="H2" s="72" t="s">
        <v>175</v>
      </c>
      <c r="I2" s="66"/>
    </row>
    <row r="3" spans="1:24" x14ac:dyDescent="0.25">
      <c r="G3" s="66" t="s">
        <v>176</v>
      </c>
    </row>
    <row r="4" spans="1:24" ht="13" x14ac:dyDescent="0.3">
      <c r="E4" s="36" t="s">
        <v>177</v>
      </c>
      <c r="F4" s="116" t="s">
        <v>178</v>
      </c>
      <c r="G4" s="36" t="s">
        <v>179</v>
      </c>
      <c r="I4" s="36"/>
    </row>
    <row r="5" spans="1:24" ht="13" x14ac:dyDescent="0.3">
      <c r="A5" s="37" t="s">
        <v>39</v>
      </c>
      <c r="B5" s="40"/>
      <c r="C5" s="40" t="s">
        <v>180</v>
      </c>
      <c r="D5" s="40" t="s">
        <v>31</v>
      </c>
      <c r="E5" s="40" t="s">
        <v>32</v>
      </c>
      <c r="F5" s="70" t="s">
        <v>33</v>
      </c>
      <c r="G5" s="40" t="s">
        <v>181</v>
      </c>
      <c r="H5" s="40" t="s">
        <v>82</v>
      </c>
      <c r="I5" s="40" t="s">
        <v>42</v>
      </c>
      <c r="K5" s="40"/>
      <c r="L5" s="40"/>
      <c r="M5" s="40"/>
      <c r="N5" s="40"/>
      <c r="O5" s="40"/>
      <c r="P5" s="40"/>
      <c r="Q5" s="40"/>
      <c r="R5" s="40"/>
      <c r="S5" s="40"/>
      <c r="T5" s="40"/>
      <c r="U5" s="40"/>
      <c r="V5" s="40"/>
      <c r="W5" s="40"/>
      <c r="X5" s="40"/>
    </row>
    <row r="6" spans="1:24" ht="13" x14ac:dyDescent="0.3">
      <c r="A6" s="36">
        <v>1</v>
      </c>
      <c r="C6" s="66">
        <v>920</v>
      </c>
      <c r="D6" s="33" t="s">
        <v>182</v>
      </c>
      <c r="E6" s="124">
        <v>512818190</v>
      </c>
      <c r="F6" s="66" t="s">
        <v>183</v>
      </c>
      <c r="G6" s="42">
        <f>D37</f>
        <v>228036741.6356445</v>
      </c>
      <c r="H6" s="42">
        <f t="shared" ref="H6:H19" si="0">E6-G6</f>
        <v>284781448.3643555</v>
      </c>
    </row>
    <row r="7" spans="1:24" ht="13" x14ac:dyDescent="0.3">
      <c r="A7" s="36">
        <f>A6+1</f>
        <v>2</v>
      </c>
      <c r="C7" s="66">
        <v>921</v>
      </c>
      <c r="D7" s="33" t="s">
        <v>184</v>
      </c>
      <c r="E7" s="124">
        <v>259355778</v>
      </c>
      <c r="F7" s="66" t="s">
        <v>185</v>
      </c>
      <c r="G7" s="42">
        <f t="shared" ref="G7:G19" si="1">D38</f>
        <v>274716.09000000003</v>
      </c>
      <c r="H7" s="42">
        <f t="shared" si="0"/>
        <v>259081061.91</v>
      </c>
    </row>
    <row r="8" spans="1:24" ht="13" x14ac:dyDescent="0.3">
      <c r="A8" s="36">
        <f>A7+1</f>
        <v>3</v>
      </c>
      <c r="C8" s="66">
        <v>922</v>
      </c>
      <c r="D8" s="33" t="s">
        <v>186</v>
      </c>
      <c r="E8" s="124">
        <v>-223403958</v>
      </c>
      <c r="F8" s="66" t="s">
        <v>187</v>
      </c>
      <c r="G8" s="42">
        <f t="shared" si="1"/>
        <v>-110501926.69585</v>
      </c>
      <c r="H8" s="42">
        <f t="shared" si="0"/>
        <v>-112902031.30415</v>
      </c>
      <c r="I8" s="66" t="s">
        <v>188</v>
      </c>
    </row>
    <row r="9" spans="1:24" ht="13" x14ac:dyDescent="0.3">
      <c r="A9" s="36">
        <f t="shared" ref="A9:A20" si="2">A8+1</f>
        <v>4</v>
      </c>
      <c r="B9" s="36"/>
      <c r="C9" s="66">
        <v>923</v>
      </c>
      <c r="D9" s="33" t="s">
        <v>189</v>
      </c>
      <c r="E9" s="124">
        <v>49255741</v>
      </c>
      <c r="F9" s="66" t="s">
        <v>190</v>
      </c>
      <c r="G9" s="45">
        <f t="shared" si="1"/>
        <v>3361641.58</v>
      </c>
      <c r="H9" s="45">
        <f t="shared" si="0"/>
        <v>45894099.420000002</v>
      </c>
    </row>
    <row r="10" spans="1:24" ht="13" x14ac:dyDescent="0.3">
      <c r="A10" s="36">
        <f t="shared" si="2"/>
        <v>5</v>
      </c>
      <c r="B10" s="36"/>
      <c r="C10" s="66">
        <v>924</v>
      </c>
      <c r="D10" s="33" t="s">
        <v>191</v>
      </c>
      <c r="E10" s="124">
        <v>20441370</v>
      </c>
      <c r="F10" s="66" t="s">
        <v>192</v>
      </c>
      <c r="G10" s="42">
        <f t="shared" si="1"/>
        <v>0</v>
      </c>
      <c r="H10" s="42">
        <f t="shared" si="0"/>
        <v>20441370</v>
      </c>
    </row>
    <row r="11" spans="1:24" ht="13" x14ac:dyDescent="0.3">
      <c r="A11" s="36">
        <f t="shared" si="2"/>
        <v>6</v>
      </c>
      <c r="B11" s="36"/>
      <c r="C11" s="66">
        <v>925</v>
      </c>
      <c r="D11" s="33" t="s">
        <v>193</v>
      </c>
      <c r="E11" s="124">
        <v>2255479067</v>
      </c>
      <c r="F11" s="66" t="s">
        <v>194</v>
      </c>
      <c r="G11" s="42">
        <f t="shared" si="1"/>
        <v>366619885.74000001</v>
      </c>
      <c r="H11" s="42">
        <f t="shared" si="0"/>
        <v>1888859181.26</v>
      </c>
    </row>
    <row r="12" spans="1:24" ht="13" x14ac:dyDescent="0.3">
      <c r="A12" s="36">
        <f t="shared" si="2"/>
        <v>7</v>
      </c>
      <c r="B12" s="36"/>
      <c r="C12" s="66">
        <v>926</v>
      </c>
      <c r="D12" s="33" t="s">
        <v>195</v>
      </c>
      <c r="E12" s="124">
        <v>78787907</v>
      </c>
      <c r="F12" s="66" t="s">
        <v>196</v>
      </c>
      <c r="G12" s="42">
        <f t="shared" si="1"/>
        <v>8094298.4458499998</v>
      </c>
      <c r="H12" s="42">
        <f t="shared" si="0"/>
        <v>70693608.55415</v>
      </c>
    </row>
    <row r="13" spans="1:24" ht="13" x14ac:dyDescent="0.3">
      <c r="A13" s="36">
        <f t="shared" si="2"/>
        <v>8</v>
      </c>
      <c r="B13" s="36"/>
      <c r="C13" s="66">
        <v>927</v>
      </c>
      <c r="D13" s="33" t="s">
        <v>197</v>
      </c>
      <c r="E13" s="124">
        <v>113495974</v>
      </c>
      <c r="F13" s="66" t="s">
        <v>198</v>
      </c>
      <c r="G13" s="42">
        <f t="shared" si="1"/>
        <v>113495974</v>
      </c>
      <c r="H13" s="42">
        <f t="shared" si="0"/>
        <v>0</v>
      </c>
    </row>
    <row r="14" spans="1:24" ht="13" x14ac:dyDescent="0.3">
      <c r="A14" s="36">
        <f t="shared" si="2"/>
        <v>9</v>
      </c>
      <c r="B14" s="36"/>
      <c r="C14" s="66">
        <v>928</v>
      </c>
      <c r="D14" s="33" t="s">
        <v>199</v>
      </c>
      <c r="E14" s="124">
        <v>11842729</v>
      </c>
      <c r="F14" s="66" t="s">
        <v>200</v>
      </c>
      <c r="G14" s="42">
        <f t="shared" si="1"/>
        <v>10887496.710000001</v>
      </c>
      <c r="H14" s="42">
        <f t="shared" si="0"/>
        <v>955232.28999999911</v>
      </c>
    </row>
    <row r="15" spans="1:24" ht="13" x14ac:dyDescent="0.3">
      <c r="A15" s="36">
        <f t="shared" si="2"/>
        <v>10</v>
      </c>
      <c r="B15" s="36"/>
      <c r="C15" s="66">
        <v>929</v>
      </c>
      <c r="D15" s="33" t="s">
        <v>201</v>
      </c>
      <c r="E15" s="124">
        <v>0</v>
      </c>
      <c r="F15" s="66" t="s">
        <v>202</v>
      </c>
      <c r="G15" s="42">
        <f t="shared" si="1"/>
        <v>0</v>
      </c>
      <c r="H15" s="42">
        <f t="shared" si="0"/>
        <v>0</v>
      </c>
    </row>
    <row r="16" spans="1:24" ht="13" x14ac:dyDescent="0.3">
      <c r="A16" s="36">
        <f t="shared" si="2"/>
        <v>11</v>
      </c>
      <c r="B16" s="36"/>
      <c r="C16" s="66">
        <v>930.1</v>
      </c>
      <c r="D16" s="33" t="s">
        <v>203</v>
      </c>
      <c r="E16" s="124">
        <v>14923247</v>
      </c>
      <c r="F16" s="66" t="s">
        <v>204</v>
      </c>
      <c r="G16" s="42">
        <f t="shared" si="1"/>
        <v>0</v>
      </c>
      <c r="H16" s="42">
        <f t="shared" si="0"/>
        <v>14923247</v>
      </c>
    </row>
    <row r="17" spans="1:8" ht="13" x14ac:dyDescent="0.3">
      <c r="A17" s="36">
        <f t="shared" si="2"/>
        <v>12</v>
      </c>
      <c r="B17" s="36"/>
      <c r="C17" s="66">
        <v>930.2</v>
      </c>
      <c r="D17" s="33" t="s">
        <v>205</v>
      </c>
      <c r="E17" s="124">
        <v>38904934</v>
      </c>
      <c r="F17" s="66" t="s">
        <v>206</v>
      </c>
      <c r="G17" s="42">
        <f t="shared" si="1"/>
        <v>36338171.140000001</v>
      </c>
      <c r="H17" s="42">
        <f t="shared" si="0"/>
        <v>2566762.8599999994</v>
      </c>
    </row>
    <row r="18" spans="1:8" ht="13" x14ac:dyDescent="0.3">
      <c r="A18" s="36">
        <f t="shared" si="2"/>
        <v>13</v>
      </c>
      <c r="B18" s="36"/>
      <c r="C18" s="66">
        <v>931</v>
      </c>
      <c r="D18" s="33" t="s">
        <v>207</v>
      </c>
      <c r="E18" s="124">
        <v>9432312</v>
      </c>
      <c r="F18" s="66" t="s">
        <v>208</v>
      </c>
      <c r="G18" s="42">
        <f t="shared" si="1"/>
        <v>0</v>
      </c>
      <c r="H18" s="42">
        <f t="shared" si="0"/>
        <v>9432312</v>
      </c>
    </row>
    <row r="19" spans="1:8" ht="13" x14ac:dyDescent="0.3">
      <c r="A19" s="36">
        <f t="shared" si="2"/>
        <v>14</v>
      </c>
      <c r="B19" s="36"/>
      <c r="C19" s="66">
        <v>935</v>
      </c>
      <c r="D19" s="33" t="s">
        <v>209</v>
      </c>
      <c r="E19" s="125">
        <v>22574402</v>
      </c>
      <c r="F19" s="66" t="s">
        <v>210</v>
      </c>
      <c r="G19" s="42">
        <f t="shared" si="1"/>
        <v>536097.97</v>
      </c>
      <c r="H19" s="48">
        <f t="shared" si="0"/>
        <v>22038304.030000001</v>
      </c>
    </row>
    <row r="20" spans="1:8" ht="13" x14ac:dyDescent="0.3">
      <c r="A20" s="36">
        <f t="shared" si="2"/>
        <v>15</v>
      </c>
      <c r="E20" s="42">
        <f>SUM(E6:E19)</f>
        <v>3163907693</v>
      </c>
      <c r="G20" s="52" t="s">
        <v>211</v>
      </c>
      <c r="H20" s="42">
        <f>SUM(H6:H19)</f>
        <v>2506764596.384356</v>
      </c>
    </row>
    <row r="22" spans="1:8" ht="13" x14ac:dyDescent="0.3">
      <c r="F22" s="40" t="s">
        <v>32</v>
      </c>
      <c r="G22" s="40" t="s">
        <v>33</v>
      </c>
    </row>
    <row r="23" spans="1:8" ht="13" x14ac:dyDescent="0.3">
      <c r="A23" s="36">
        <f>A20+1</f>
        <v>16</v>
      </c>
      <c r="E23" s="52" t="s">
        <v>212</v>
      </c>
      <c r="F23" s="45">
        <f>H20</f>
        <v>2506764596.384356</v>
      </c>
      <c r="G23" s="38" t="str">
        <f>"Line "&amp;A20&amp;""</f>
        <v>Line 15</v>
      </c>
    </row>
    <row r="24" spans="1:8" ht="13" x14ac:dyDescent="0.3">
      <c r="A24" s="36">
        <f t="shared" ref="A24:A30" si="3">A23+1</f>
        <v>17</v>
      </c>
      <c r="E24" s="52" t="s">
        <v>213</v>
      </c>
      <c r="F24" s="48">
        <f>E10</f>
        <v>20441370</v>
      </c>
      <c r="G24" s="38" t="str">
        <f>"Line "&amp;A10&amp;""</f>
        <v>Line 5</v>
      </c>
    </row>
    <row r="25" spans="1:8" ht="13" x14ac:dyDescent="0.3">
      <c r="A25" s="36">
        <f t="shared" si="3"/>
        <v>18</v>
      </c>
      <c r="E25" s="52" t="s">
        <v>214</v>
      </c>
      <c r="F25" s="45">
        <f>F23-F24</f>
        <v>2486323226.384356</v>
      </c>
      <c r="G25" s="38" t="str">
        <f>"Line "&amp;A23&amp;" - Line "&amp;A24&amp;""</f>
        <v>Line 16 - Line 17</v>
      </c>
    </row>
    <row r="26" spans="1:8" ht="13" x14ac:dyDescent="0.3">
      <c r="A26" s="36">
        <f t="shared" si="3"/>
        <v>19</v>
      </c>
      <c r="E26" s="52" t="s">
        <v>215</v>
      </c>
      <c r="F26" s="65">
        <v>6.982260642173875E-2</v>
      </c>
      <c r="G26" s="38" t="s">
        <v>496</v>
      </c>
    </row>
    <row r="27" spans="1:8" ht="13" x14ac:dyDescent="0.3">
      <c r="A27" s="36">
        <f t="shared" si="3"/>
        <v>20</v>
      </c>
      <c r="E27" s="52" t="s">
        <v>217</v>
      </c>
      <c r="F27" s="45">
        <f>F25*F26</f>
        <v>173601568.07306254</v>
      </c>
      <c r="G27" s="38" t="str">
        <f>"Line "&amp;A25&amp;" * Line "&amp;A26&amp;""</f>
        <v>Line 18 * Line 19</v>
      </c>
    </row>
    <row r="28" spans="1:8" ht="13" x14ac:dyDescent="0.3">
      <c r="A28" s="36">
        <f t="shared" si="3"/>
        <v>21</v>
      </c>
      <c r="E28" s="52" t="s">
        <v>218</v>
      </c>
      <c r="F28" s="50">
        <v>0.18354940810043915</v>
      </c>
      <c r="G28" s="38" t="s">
        <v>497</v>
      </c>
    </row>
    <row r="29" spans="1:8" ht="13" x14ac:dyDescent="0.3">
      <c r="A29" s="36">
        <f t="shared" si="3"/>
        <v>22</v>
      </c>
      <c r="E29" s="52" t="s">
        <v>220</v>
      </c>
      <c r="F29" s="48">
        <f>H10*F28</f>
        <v>3752001.3642620738</v>
      </c>
      <c r="G29" s="38" t="str">
        <f>"Line "&amp;A10&amp;" Col 4 * Line "&amp;A28&amp;""</f>
        <v>Line 5 Col 4 * Line 21</v>
      </c>
    </row>
    <row r="30" spans="1:8" ht="13" x14ac:dyDescent="0.3">
      <c r="A30" s="36">
        <f t="shared" si="3"/>
        <v>23</v>
      </c>
      <c r="E30" s="52" t="s">
        <v>221</v>
      </c>
      <c r="F30" s="45">
        <f>F27+F29</f>
        <v>177353569.43732461</v>
      </c>
      <c r="G30" s="38" t="str">
        <f>"Line "&amp;A27&amp;" + Line "&amp;A29&amp;""</f>
        <v>Line 20 + Line 22</v>
      </c>
    </row>
    <row r="32" spans="1:8" ht="13" x14ac:dyDescent="0.3">
      <c r="B32" s="32" t="s">
        <v>222</v>
      </c>
      <c r="E32" s="72" t="s">
        <v>172</v>
      </c>
      <c r="F32" s="72" t="s">
        <v>173</v>
      </c>
      <c r="G32" s="72" t="s">
        <v>174</v>
      </c>
      <c r="H32" s="72" t="s">
        <v>175</v>
      </c>
    </row>
    <row r="33" spans="1:11" ht="13" x14ac:dyDescent="0.3">
      <c r="B33" s="32"/>
      <c r="C33" s="160" t="s">
        <v>285</v>
      </c>
      <c r="D33" s="62" t="s">
        <v>305</v>
      </c>
      <c r="E33" s="36" t="s">
        <v>223</v>
      </c>
      <c r="F33" s="72"/>
      <c r="G33" s="72"/>
      <c r="H33" s="72"/>
    </row>
    <row r="34" spans="1:11" ht="13" x14ac:dyDescent="0.3">
      <c r="E34" s="36" t="s">
        <v>224</v>
      </c>
    </row>
    <row r="35" spans="1:11" ht="13" x14ac:dyDescent="0.3">
      <c r="D35" s="36" t="s">
        <v>225</v>
      </c>
      <c r="E35" s="36" t="s">
        <v>226</v>
      </c>
      <c r="F35" s="36" t="s">
        <v>227</v>
      </c>
      <c r="G35" s="36"/>
      <c r="H35" s="36"/>
    </row>
    <row r="36" spans="1:11" ht="13" x14ac:dyDescent="0.3">
      <c r="C36" s="40" t="s">
        <v>180</v>
      </c>
      <c r="D36" s="72" t="s">
        <v>228</v>
      </c>
      <c r="E36" s="40" t="s">
        <v>229</v>
      </c>
      <c r="F36" s="40" t="s">
        <v>230</v>
      </c>
      <c r="G36" s="40" t="s">
        <v>231</v>
      </c>
      <c r="H36" s="40" t="s">
        <v>232</v>
      </c>
      <c r="I36" s="40" t="s">
        <v>42</v>
      </c>
    </row>
    <row r="37" spans="1:11" ht="13" x14ac:dyDescent="0.3">
      <c r="A37" s="36">
        <f>A30+1</f>
        <v>24</v>
      </c>
      <c r="C37" s="66">
        <v>920</v>
      </c>
      <c r="D37" s="129">
        <f>SUM(E37:H37)</f>
        <v>228036741.6356445</v>
      </c>
      <c r="E37" s="128">
        <v>5732204.0700000003</v>
      </c>
      <c r="F37" s="128"/>
      <c r="G37" s="42">
        <f>G58</f>
        <v>222304537.5656445</v>
      </c>
      <c r="H37" s="128"/>
      <c r="I37" s="38" t="s">
        <v>233</v>
      </c>
    </row>
    <row r="38" spans="1:11" ht="13" x14ac:dyDescent="0.3">
      <c r="A38" s="36">
        <f>A37+1</f>
        <v>25</v>
      </c>
      <c r="C38" s="66">
        <v>921</v>
      </c>
      <c r="D38" s="129">
        <f t="shared" ref="D38:D50" si="4">SUM(E38:H38)</f>
        <v>274716.09000000003</v>
      </c>
      <c r="E38" s="128">
        <v>274716.09000000003</v>
      </c>
      <c r="F38" s="128"/>
      <c r="G38" s="128">
        <v>0</v>
      </c>
      <c r="H38" s="128"/>
      <c r="I38" s="38"/>
    </row>
    <row r="39" spans="1:11" ht="13.5" thickBot="1" x14ac:dyDescent="0.35">
      <c r="A39" s="36">
        <f t="shared" ref="A39:A50" si="5">A38+1</f>
        <v>26</v>
      </c>
      <c r="C39" s="66">
        <v>922</v>
      </c>
      <c r="D39" s="129">
        <f t="shared" si="4"/>
        <v>-110501926.69585</v>
      </c>
      <c r="E39" s="128">
        <v>-11947057.69585</v>
      </c>
      <c r="F39" s="128"/>
      <c r="G39" s="128">
        <v>-98554869</v>
      </c>
      <c r="H39" s="128"/>
      <c r="I39" s="38"/>
    </row>
    <row r="40" spans="1:11" ht="13.5" thickBot="1" x14ac:dyDescent="0.35">
      <c r="A40" s="36">
        <f t="shared" si="5"/>
        <v>27</v>
      </c>
      <c r="C40" s="66">
        <v>923</v>
      </c>
      <c r="D40" s="126">
        <f t="shared" si="4"/>
        <v>3361641.58</v>
      </c>
      <c r="E40" s="127">
        <v>3361641.58</v>
      </c>
      <c r="F40" s="128"/>
      <c r="G40" s="128">
        <v>0</v>
      </c>
      <c r="H40" s="128"/>
      <c r="I40" s="38"/>
      <c r="J40" s="40"/>
      <c r="K40" s="40"/>
    </row>
    <row r="41" spans="1:11" ht="13" x14ac:dyDescent="0.3">
      <c r="A41" s="36">
        <f t="shared" si="5"/>
        <v>28</v>
      </c>
      <c r="C41" s="66">
        <v>924</v>
      </c>
      <c r="D41" s="129">
        <f t="shared" si="4"/>
        <v>0</v>
      </c>
      <c r="E41" s="128">
        <v>0</v>
      </c>
      <c r="F41" s="128"/>
      <c r="G41" s="128">
        <v>0</v>
      </c>
      <c r="H41" s="128"/>
      <c r="I41" s="38"/>
      <c r="K41" s="42"/>
    </row>
    <row r="42" spans="1:11" ht="13" x14ac:dyDescent="0.3">
      <c r="A42" s="36">
        <f t="shared" si="5"/>
        <v>29</v>
      </c>
      <c r="C42" s="66">
        <v>925</v>
      </c>
      <c r="D42" s="129">
        <f t="shared" si="4"/>
        <v>366619885.74000001</v>
      </c>
      <c r="E42" s="128">
        <v>366619885.74000001</v>
      </c>
      <c r="F42" s="128"/>
      <c r="G42" s="128">
        <v>0</v>
      </c>
      <c r="H42" s="128"/>
      <c r="I42" s="38" t="s">
        <v>287</v>
      </c>
      <c r="K42" s="42"/>
    </row>
    <row r="43" spans="1:11" ht="13" x14ac:dyDescent="0.3">
      <c r="A43" s="36">
        <f t="shared" si="5"/>
        <v>30</v>
      </c>
      <c r="C43" s="66">
        <v>926</v>
      </c>
      <c r="D43" s="129">
        <f t="shared" si="4"/>
        <v>8094298.4458499998</v>
      </c>
      <c r="E43" s="128">
        <v>14423298.44585</v>
      </c>
      <c r="F43" s="128"/>
      <c r="G43" s="128">
        <v>0</v>
      </c>
      <c r="H43" s="42">
        <f>E71</f>
        <v>-6329000</v>
      </c>
      <c r="I43" s="38" t="s">
        <v>234</v>
      </c>
      <c r="K43" s="42"/>
    </row>
    <row r="44" spans="1:11" ht="13" x14ac:dyDescent="0.3">
      <c r="A44" s="36">
        <f t="shared" si="5"/>
        <v>31</v>
      </c>
      <c r="C44" s="66">
        <v>927</v>
      </c>
      <c r="D44" s="129">
        <f t="shared" si="4"/>
        <v>113495974</v>
      </c>
      <c r="E44" s="42">
        <v>0</v>
      </c>
      <c r="F44" s="42">
        <f>E13</f>
        <v>113495974</v>
      </c>
      <c r="G44" s="42">
        <v>0</v>
      </c>
      <c r="H44" s="42">
        <v>0</v>
      </c>
      <c r="I44" s="38" t="s">
        <v>235</v>
      </c>
      <c r="K44" s="42"/>
    </row>
    <row r="45" spans="1:11" ht="13" x14ac:dyDescent="0.3">
      <c r="A45" s="36">
        <f t="shared" si="5"/>
        <v>32</v>
      </c>
      <c r="C45" s="66">
        <v>928</v>
      </c>
      <c r="D45" s="129">
        <f t="shared" si="4"/>
        <v>10887496.710000001</v>
      </c>
      <c r="E45" s="128">
        <v>10887496.710000001</v>
      </c>
      <c r="F45" s="128"/>
      <c r="G45" s="128">
        <v>0</v>
      </c>
      <c r="H45" s="128"/>
      <c r="I45" s="38"/>
      <c r="K45" s="42"/>
    </row>
    <row r="46" spans="1:11" ht="13" x14ac:dyDescent="0.3">
      <c r="A46" s="36">
        <f t="shared" si="5"/>
        <v>33</v>
      </c>
      <c r="C46" s="66">
        <v>929</v>
      </c>
      <c r="D46" s="129">
        <f t="shared" si="4"/>
        <v>0</v>
      </c>
      <c r="E46" s="128">
        <v>0</v>
      </c>
      <c r="F46" s="128"/>
      <c r="G46" s="128">
        <v>0</v>
      </c>
      <c r="H46" s="128"/>
      <c r="I46" s="38"/>
      <c r="K46" s="42"/>
    </row>
    <row r="47" spans="1:11" ht="13" x14ac:dyDescent="0.3">
      <c r="A47" s="36">
        <f t="shared" si="5"/>
        <v>34</v>
      </c>
      <c r="C47" s="66">
        <v>930.1</v>
      </c>
      <c r="D47" s="129">
        <f t="shared" si="4"/>
        <v>0</v>
      </c>
      <c r="E47" s="128">
        <v>0</v>
      </c>
      <c r="F47" s="128"/>
      <c r="G47" s="128">
        <v>0</v>
      </c>
      <c r="H47" s="128"/>
      <c r="I47" s="38"/>
      <c r="K47" s="42"/>
    </row>
    <row r="48" spans="1:11" ht="13" x14ac:dyDescent="0.3">
      <c r="A48" s="36">
        <f t="shared" si="5"/>
        <v>35</v>
      </c>
      <c r="C48" s="66">
        <v>930.2</v>
      </c>
      <c r="D48" s="129">
        <f t="shared" si="4"/>
        <v>36338171.140000001</v>
      </c>
      <c r="E48" s="128">
        <v>36338171.140000001</v>
      </c>
      <c r="F48" s="128"/>
      <c r="G48" s="128">
        <v>0</v>
      </c>
      <c r="H48" s="128"/>
      <c r="I48" s="38"/>
      <c r="J48" s="42"/>
    </row>
    <row r="49" spans="1:10" ht="13" x14ac:dyDescent="0.3">
      <c r="A49" s="36">
        <f t="shared" si="5"/>
        <v>36</v>
      </c>
      <c r="C49" s="66">
        <v>931</v>
      </c>
      <c r="D49" s="129">
        <f t="shared" si="4"/>
        <v>0</v>
      </c>
      <c r="E49" s="128">
        <v>0</v>
      </c>
      <c r="F49" s="128"/>
      <c r="G49" s="128">
        <v>0</v>
      </c>
      <c r="H49" s="128"/>
      <c r="I49" s="38"/>
      <c r="J49" s="42"/>
    </row>
    <row r="50" spans="1:10" ht="13" x14ac:dyDescent="0.3">
      <c r="A50" s="36">
        <f t="shared" si="5"/>
        <v>37</v>
      </c>
      <c r="C50" s="66">
        <v>935</v>
      </c>
      <c r="D50" s="129">
        <f t="shared" si="4"/>
        <v>536097.97</v>
      </c>
      <c r="E50" s="128">
        <v>536097.97</v>
      </c>
      <c r="F50" s="128"/>
      <c r="G50" s="128">
        <v>0</v>
      </c>
      <c r="H50" s="128"/>
      <c r="I50" s="38"/>
    </row>
    <row r="51" spans="1:10" ht="13" x14ac:dyDescent="0.3">
      <c r="A51" s="36"/>
      <c r="C51" s="66"/>
      <c r="D51" s="129"/>
      <c r="E51" s="42"/>
      <c r="F51" s="42"/>
      <c r="G51" s="42"/>
      <c r="H51" s="42"/>
      <c r="I51" s="38"/>
    </row>
    <row r="52" spans="1:10" ht="13" x14ac:dyDescent="0.3">
      <c r="B52" s="32" t="s">
        <v>236</v>
      </c>
    </row>
    <row r="53" spans="1:10" ht="13" x14ac:dyDescent="0.3">
      <c r="B53" s="32"/>
      <c r="C53" s="33" t="s">
        <v>237</v>
      </c>
      <c r="G53" s="36"/>
      <c r="H53" s="36"/>
    </row>
    <row r="54" spans="1:10" ht="13" x14ac:dyDescent="0.3">
      <c r="B54" s="32"/>
      <c r="C54" s="59" t="s">
        <v>238</v>
      </c>
      <c r="D54" s="59"/>
      <c r="E54" s="59"/>
      <c r="G54" s="36"/>
      <c r="H54" s="36"/>
    </row>
    <row r="55" spans="1:10" ht="13" x14ac:dyDescent="0.3">
      <c r="B55" s="32"/>
      <c r="C55" s="160" t="s">
        <v>285</v>
      </c>
      <c r="D55" s="62" t="s">
        <v>305</v>
      </c>
      <c r="G55" s="40" t="s">
        <v>32</v>
      </c>
      <c r="H55" s="40" t="s">
        <v>33</v>
      </c>
    </row>
    <row r="56" spans="1:10" ht="13" x14ac:dyDescent="0.3">
      <c r="A56" s="36"/>
      <c r="B56" s="36" t="s">
        <v>114</v>
      </c>
      <c r="C56" s="162"/>
      <c r="F56" s="52" t="s">
        <v>239</v>
      </c>
      <c r="G56" s="128">
        <v>216604107.38</v>
      </c>
      <c r="H56" s="38" t="s">
        <v>240</v>
      </c>
    </row>
    <row r="57" spans="1:10" ht="13" x14ac:dyDescent="0.3">
      <c r="A57" s="36"/>
      <c r="B57" s="36" t="s">
        <v>116</v>
      </c>
      <c r="F57" s="52" t="s">
        <v>241</v>
      </c>
      <c r="G57" s="48">
        <f>E61</f>
        <v>-5700430.1856445111</v>
      </c>
      <c r="H57" s="38" t="str">
        <f>"Note 2, "&amp;B61&amp;""</f>
        <v>Note 2, d</v>
      </c>
    </row>
    <row r="58" spans="1:10" ht="13" x14ac:dyDescent="0.3">
      <c r="A58" s="36"/>
      <c r="B58" s="36" t="s">
        <v>119</v>
      </c>
      <c r="F58" s="52" t="s">
        <v>242</v>
      </c>
      <c r="G58" s="42">
        <f>G56-G57</f>
        <v>222304537.5656445</v>
      </c>
    </row>
    <row r="59" spans="1:10" ht="13" x14ac:dyDescent="0.3">
      <c r="A59" s="36"/>
      <c r="C59" s="59" t="s">
        <v>243</v>
      </c>
      <c r="D59" s="59"/>
      <c r="E59" s="59"/>
      <c r="G59" s="42"/>
    </row>
    <row r="60" spans="1:10" ht="13" x14ac:dyDescent="0.3">
      <c r="A60" s="36"/>
      <c r="D60" s="39" t="s">
        <v>244</v>
      </c>
      <c r="E60" s="40" t="s">
        <v>32</v>
      </c>
      <c r="F60" s="40" t="s">
        <v>33</v>
      </c>
      <c r="G60" s="42"/>
    </row>
    <row r="61" spans="1:10" ht="13" x14ac:dyDescent="0.3">
      <c r="A61" s="36"/>
      <c r="B61" s="36" t="s">
        <v>121</v>
      </c>
      <c r="D61" s="33" t="s">
        <v>245</v>
      </c>
      <c r="E61" s="117">
        <v>-5700430.1856445111</v>
      </c>
      <c r="F61" s="38" t="s">
        <v>246</v>
      </c>
      <c r="G61" s="42"/>
    </row>
    <row r="62" spans="1:10" ht="13" x14ac:dyDescent="0.3">
      <c r="A62" s="36"/>
      <c r="B62" s="36" t="s">
        <v>125</v>
      </c>
      <c r="D62" s="33" t="s">
        <v>247</v>
      </c>
      <c r="E62" s="117">
        <v>-2569165.2078082524</v>
      </c>
      <c r="F62" s="38" t="s">
        <v>246</v>
      </c>
      <c r="G62" s="42"/>
      <c r="I62" s="118"/>
    </row>
    <row r="63" spans="1:10" ht="13" x14ac:dyDescent="0.3">
      <c r="A63" s="36"/>
      <c r="B63" s="36" t="s">
        <v>127</v>
      </c>
      <c r="D63" s="33" t="s">
        <v>248</v>
      </c>
      <c r="E63" s="119">
        <v>-9126423.6065472364</v>
      </c>
      <c r="F63" s="38" t="s">
        <v>246</v>
      </c>
      <c r="G63" s="42"/>
      <c r="I63" s="42"/>
    </row>
    <row r="64" spans="1:10" ht="13" x14ac:dyDescent="0.3">
      <c r="A64" s="36"/>
      <c r="B64" s="36" t="s">
        <v>129</v>
      </c>
      <c r="D64" s="52" t="s">
        <v>249</v>
      </c>
      <c r="E64" s="42">
        <f>SUM(E61:E63)</f>
        <v>-17396019</v>
      </c>
      <c r="F64" s="38" t="str">
        <f>"Sum of "&amp;B61&amp;" to "&amp;B63&amp;""</f>
        <v>Sum of d to f</v>
      </c>
      <c r="G64" s="42"/>
    </row>
    <row r="66" spans="1:7" ht="13" x14ac:dyDescent="0.3">
      <c r="B66" s="32" t="s">
        <v>250</v>
      </c>
    </row>
    <row r="67" spans="1:7" ht="13" x14ac:dyDescent="0.3">
      <c r="E67" s="40" t="s">
        <v>32</v>
      </c>
      <c r="F67" s="39" t="s">
        <v>251</v>
      </c>
    </row>
    <row r="68" spans="1:7" ht="13" x14ac:dyDescent="0.3">
      <c r="A68" s="36"/>
      <c r="B68" s="36" t="s">
        <v>114</v>
      </c>
      <c r="D68" s="52" t="s">
        <v>252</v>
      </c>
      <c r="E68" s="130">
        <v>0</v>
      </c>
      <c r="F68" s="38" t="s">
        <v>253</v>
      </c>
    </row>
    <row r="69" spans="1:7" ht="13" x14ac:dyDescent="0.3">
      <c r="A69" s="36"/>
      <c r="B69" s="36" t="s">
        <v>116</v>
      </c>
      <c r="D69" s="52" t="s">
        <v>254</v>
      </c>
      <c r="E69" s="131">
        <v>6329000</v>
      </c>
      <c r="F69" s="38" t="s">
        <v>255</v>
      </c>
    </row>
    <row r="70" spans="1:7" ht="13" x14ac:dyDescent="0.3">
      <c r="A70" s="36"/>
      <c r="B70" s="36" t="s">
        <v>119</v>
      </c>
      <c r="D70" s="52" t="s">
        <v>256</v>
      </c>
      <c r="E70" s="132">
        <v>0</v>
      </c>
      <c r="F70" s="38" t="s">
        <v>240</v>
      </c>
    </row>
    <row r="71" spans="1:7" ht="13" x14ac:dyDescent="0.3">
      <c r="A71" s="36"/>
      <c r="B71" s="36" t="s">
        <v>121</v>
      </c>
      <c r="D71" s="52" t="s">
        <v>257</v>
      </c>
      <c r="E71" s="42">
        <f>E70-E69</f>
        <v>-6329000</v>
      </c>
      <c r="F71" s="38" t="str">
        <f>""&amp;B70&amp;" - "&amp;B69&amp;""</f>
        <v>c - b</v>
      </c>
    </row>
    <row r="72" spans="1:7" ht="13" x14ac:dyDescent="0.3">
      <c r="A72" s="36"/>
      <c r="B72" s="32" t="s">
        <v>258</v>
      </c>
      <c r="D72" s="52"/>
      <c r="E72" s="42"/>
      <c r="F72" s="38"/>
    </row>
    <row r="73" spans="1:7" ht="13" x14ac:dyDescent="0.3">
      <c r="A73" s="36"/>
      <c r="B73" s="32"/>
      <c r="C73" s="33" t="str">
        <f>"Amount in Line "&amp;A44&amp;", column 2 equals amount in Line "&amp;A13&amp;", column 1 because all Franchise Requirements Expenses are excluded"</f>
        <v>Amount in Line 31, column 2 equals amount in Line 8, column 1 because all Franchise Requirements Expenses are excluded</v>
      </c>
      <c r="D73" s="52"/>
      <c r="E73" s="42"/>
      <c r="F73" s="38"/>
    </row>
    <row r="74" spans="1:7" ht="13" x14ac:dyDescent="0.3">
      <c r="A74" s="36"/>
      <c r="B74" s="32"/>
      <c r="C74" s="33" t="s">
        <v>259</v>
      </c>
      <c r="D74" s="52"/>
      <c r="E74" s="42"/>
      <c r="F74" s="38"/>
    </row>
    <row r="76" spans="1:7" ht="13" x14ac:dyDescent="0.3">
      <c r="B76" s="32" t="s">
        <v>104</v>
      </c>
    </row>
    <row r="77" spans="1:7" x14ac:dyDescent="0.25">
      <c r="C77" s="33" t="str">
        <f>"1) Enter amounts of A&amp;G expenses from FERC Form 1 in Lines "&amp;A6&amp;" to "&amp;A19&amp;"."</f>
        <v>1) Enter amounts of A&amp;G expenses from FERC Form 1 in Lines 1 to 14.</v>
      </c>
    </row>
    <row r="78" spans="1:7" x14ac:dyDescent="0.25">
      <c r="C78" s="33" t="s">
        <v>260</v>
      </c>
      <c r="G78" s="33" t="str">
        <f>"Column 3, Line "&amp;A37&amp;""</f>
        <v>Column 3, Line 24</v>
      </c>
    </row>
    <row r="79" spans="1:7" x14ac:dyDescent="0.25">
      <c r="C79" s="38" t="str">
        <f>"is calculated in Note 2.  The PBOPs exclusion in Column 4, Line "&amp;A43&amp;" is calculated in Note 3."</f>
        <v>is calculated in Note 2.  The PBOPs exclusion in Column 4, Line 30 is calculated in Note 3.</v>
      </c>
    </row>
    <row r="80" spans="1:7" x14ac:dyDescent="0.25">
      <c r="C80" s="38" t="s">
        <v>261</v>
      </c>
    </row>
    <row r="81" spans="3:7" x14ac:dyDescent="0.25">
      <c r="C81" s="38" t="s">
        <v>262</v>
      </c>
      <c r="D81" s="52"/>
      <c r="E81" s="42"/>
      <c r="F81" s="38"/>
    </row>
    <row r="82" spans="3:7" x14ac:dyDescent="0.25">
      <c r="C82" s="38" t="s">
        <v>263</v>
      </c>
      <c r="D82" s="52"/>
      <c r="E82" s="42"/>
      <c r="F82" s="38"/>
    </row>
    <row r="83" spans="3:7" x14ac:dyDescent="0.25">
      <c r="C83" s="38" t="s">
        <v>264</v>
      </c>
    </row>
    <row r="84" spans="3:7" x14ac:dyDescent="0.25">
      <c r="C84" s="38" t="s">
        <v>265</v>
      </c>
    </row>
    <row r="85" spans="3:7" x14ac:dyDescent="0.25">
      <c r="C85" s="38" t="s">
        <v>266</v>
      </c>
    </row>
    <row r="86" spans="3:7" x14ac:dyDescent="0.25">
      <c r="C86" s="38" t="s">
        <v>267</v>
      </c>
    </row>
    <row r="87" spans="3:7" x14ac:dyDescent="0.25">
      <c r="C87" s="38" t="s">
        <v>268</v>
      </c>
    </row>
    <row r="88" spans="3:7" x14ac:dyDescent="0.25">
      <c r="C88" s="38" t="s">
        <v>269</v>
      </c>
      <c r="E88" s="133"/>
      <c r="F88" s="133"/>
      <c r="G88" s="133"/>
    </row>
    <row r="89" spans="3:7" x14ac:dyDescent="0.25">
      <c r="C89" s="134" t="s">
        <v>270</v>
      </c>
      <c r="E89" s="133"/>
      <c r="F89" s="133"/>
      <c r="G89" s="133"/>
    </row>
    <row r="90" spans="3:7" x14ac:dyDescent="0.25">
      <c r="C90" s="134" t="s">
        <v>271</v>
      </c>
      <c r="E90" s="133"/>
      <c r="F90" s="133"/>
      <c r="G90" s="133"/>
    </row>
    <row r="91" spans="3:7" x14ac:dyDescent="0.25">
      <c r="C91" s="134" t="s">
        <v>272</v>
      </c>
      <c r="E91" s="133"/>
      <c r="F91" s="133"/>
      <c r="G91" s="133"/>
    </row>
    <row r="92" spans="3:7" x14ac:dyDescent="0.25">
      <c r="C92" s="38" t="s">
        <v>273</v>
      </c>
      <c r="E92" s="133"/>
      <c r="F92" s="133"/>
      <c r="G92" s="133"/>
    </row>
    <row r="93" spans="3:7" x14ac:dyDescent="0.25">
      <c r="C93" s="134" t="s">
        <v>274</v>
      </c>
      <c r="E93" s="133"/>
      <c r="F93" s="133"/>
      <c r="G93" s="133"/>
    </row>
    <row r="94" spans="3:7" x14ac:dyDescent="0.25">
      <c r="C94" s="134" t="s">
        <v>275</v>
      </c>
      <c r="E94" s="133"/>
      <c r="F94" s="133"/>
      <c r="G94" s="133"/>
    </row>
    <row r="95" spans="3:7" x14ac:dyDescent="0.25">
      <c r="C95" s="134" t="s">
        <v>276</v>
      </c>
      <c r="E95" s="133"/>
      <c r="F95" s="133"/>
      <c r="G95" s="133"/>
    </row>
    <row r="96" spans="3:7" x14ac:dyDescent="0.25">
      <c r="C96" s="134" t="s">
        <v>277</v>
      </c>
      <c r="E96" s="133"/>
      <c r="F96" s="133"/>
      <c r="G96" s="133"/>
    </row>
    <row r="97" spans="3:10" ht="13" x14ac:dyDescent="0.3">
      <c r="C97" s="68" t="s">
        <v>278</v>
      </c>
      <c r="D97" s="59"/>
      <c r="E97" s="59"/>
      <c r="F97" s="59"/>
      <c r="G97" s="59"/>
      <c r="H97" s="59"/>
      <c r="I97" s="59"/>
      <c r="J97" s="59"/>
    </row>
    <row r="98" spans="3:10" x14ac:dyDescent="0.25">
      <c r="C98" s="33" t="s">
        <v>279</v>
      </c>
    </row>
    <row r="99" spans="3:10" x14ac:dyDescent="0.25">
      <c r="C99" s="68" t="s">
        <v>280</v>
      </c>
      <c r="D99" s="59"/>
      <c r="E99" s="59"/>
      <c r="F99" s="59"/>
      <c r="G99" s="59"/>
      <c r="H99" s="59"/>
      <c r="I99" s="59"/>
    </row>
    <row r="100" spans="3:10" x14ac:dyDescent="0.25">
      <c r="C100" s="33" t="str">
        <f>"4) Determine the PBOPs exclusion.  The authorized amount of PBOPs expense (line "&amp;B68&amp;") may only be revised"</f>
        <v>4) Determine the PBOPs exclusion.  The authorized amount of PBOPs expense (line a) may only be revised</v>
      </c>
    </row>
    <row r="101" spans="3:10" x14ac:dyDescent="0.25">
      <c r="C101" s="33" t="s">
        <v>281</v>
      </c>
    </row>
    <row r="102" spans="3:10" x14ac:dyDescent="0.25">
      <c r="C102" s="33" t="s">
        <v>282</v>
      </c>
    </row>
    <row r="103" spans="3:10" x14ac:dyDescent="0.25">
      <c r="C103" s="33" t="s">
        <v>283</v>
      </c>
      <c r="I103" s="62" t="s">
        <v>306</v>
      </c>
      <c r="J103" s="62"/>
    </row>
    <row r="104" spans="3:10" x14ac:dyDescent="0.25">
      <c r="C104" s="33" t="s">
        <v>284</v>
      </c>
    </row>
    <row r="105" spans="3:10" x14ac:dyDescent="0.25">
      <c r="C105" s="33" t="s">
        <v>289</v>
      </c>
    </row>
    <row r="106" spans="3:10" x14ac:dyDescent="0.25">
      <c r="C106" s="33" t="s">
        <v>290</v>
      </c>
    </row>
    <row r="107" spans="3:10" x14ac:dyDescent="0.25">
      <c r="C107" s="33" t="s">
        <v>291</v>
      </c>
    </row>
    <row r="108" spans="3:10" x14ac:dyDescent="0.25">
      <c r="C108" s="33" t="s">
        <v>292</v>
      </c>
    </row>
    <row r="109" spans="3:10" x14ac:dyDescent="0.25">
      <c r="C109" s="33" t="s">
        <v>293</v>
      </c>
    </row>
    <row r="110" spans="3:10" x14ac:dyDescent="0.25">
      <c r="C110" s="163"/>
    </row>
  </sheetData>
  <pageMargins left="0.75" right="0.75" top="1" bottom="1" header="0.5" footer="0.5"/>
  <pageSetup scale="68" orientation="landscape" cellComments="asDisplayed" r:id="rId1"/>
  <headerFooter alignWithMargins="0">
    <oddHeader>&amp;CSchedule 20
Administrative and General Expenses
(Revised 2020 True Up TRR)&amp;RTO2024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350A3-74F4-4CC9-8737-9C3BAEA9FEC0}">
  <sheetPr>
    <tabColor rgb="FFFFFFCC"/>
  </sheetPr>
  <dimension ref="A1:I42"/>
  <sheetViews>
    <sheetView zoomScaleNormal="100" workbookViewId="0"/>
  </sheetViews>
  <sheetFormatPr defaultRowHeight="12.5" x14ac:dyDescent="0.25"/>
  <cols>
    <col min="1" max="1" width="4.54296875" style="33" customWidth="1"/>
    <col min="2" max="2" width="3.54296875" style="33" customWidth="1"/>
    <col min="3" max="6" width="10.54296875" style="33" customWidth="1"/>
    <col min="7" max="7" width="9.453125" style="33" bestFit="1" customWidth="1"/>
    <col min="8" max="8" width="4.54296875" style="33" customWidth="1"/>
    <col min="9" max="9" width="35.54296875" style="33" customWidth="1"/>
    <col min="10" max="16384" width="8.7265625" style="33"/>
  </cols>
  <sheetData>
    <row r="1" spans="1:9" ht="13" x14ac:dyDescent="0.3">
      <c r="A1" s="32" t="s">
        <v>310</v>
      </c>
    </row>
    <row r="2" spans="1:9" ht="13" x14ac:dyDescent="0.3">
      <c r="C2" s="282"/>
      <c r="D2" s="32" t="s">
        <v>285</v>
      </c>
      <c r="E2" s="62" t="s">
        <v>311</v>
      </c>
      <c r="F2" s="161"/>
    </row>
    <row r="3" spans="1:9" ht="13" x14ac:dyDescent="0.3">
      <c r="B3" s="32" t="s">
        <v>312</v>
      </c>
      <c r="I3" s="62" t="s">
        <v>171</v>
      </c>
    </row>
    <row r="4" spans="1:9" ht="13" x14ac:dyDescent="0.3">
      <c r="B4" s="32"/>
    </row>
    <row r="5" spans="1:9" ht="13" x14ac:dyDescent="0.3">
      <c r="E5" s="36" t="s">
        <v>313</v>
      </c>
    </row>
    <row r="6" spans="1:9" ht="13" x14ac:dyDescent="0.3">
      <c r="A6" s="39" t="s">
        <v>308</v>
      </c>
      <c r="C6" s="40" t="s">
        <v>111</v>
      </c>
      <c r="D6" s="40" t="s">
        <v>112</v>
      </c>
      <c r="E6" s="39" t="s">
        <v>314</v>
      </c>
      <c r="G6" s="40" t="s">
        <v>315</v>
      </c>
      <c r="I6" s="39" t="s">
        <v>316</v>
      </c>
    </row>
    <row r="7" spans="1:9" ht="13" x14ac:dyDescent="0.3">
      <c r="A7" s="36">
        <v>1</v>
      </c>
      <c r="C7" s="283">
        <v>2020</v>
      </c>
      <c r="D7" s="156" t="s">
        <v>317</v>
      </c>
      <c r="E7" s="156">
        <v>366</v>
      </c>
      <c r="G7" s="284">
        <v>9.2480778683301876E-3</v>
      </c>
      <c r="I7" s="285" t="s">
        <v>318</v>
      </c>
    </row>
    <row r="8" spans="1:9" ht="13" x14ac:dyDescent="0.3">
      <c r="A8" s="36">
        <v>2</v>
      </c>
      <c r="C8" s="62"/>
      <c r="D8" s="62"/>
      <c r="E8" s="62"/>
      <c r="G8" s="62"/>
      <c r="I8" s="62"/>
    </row>
    <row r="10" spans="1:9" ht="13" x14ac:dyDescent="0.3">
      <c r="B10" s="32" t="s">
        <v>319</v>
      </c>
    </row>
    <row r="11" spans="1:9" ht="13" x14ac:dyDescent="0.3">
      <c r="B11" s="32"/>
    </row>
    <row r="12" spans="1:9" ht="13" x14ac:dyDescent="0.3">
      <c r="E12" s="36" t="s">
        <v>313</v>
      </c>
    </row>
    <row r="13" spans="1:9" ht="13.5" thickBot="1" x14ac:dyDescent="0.35">
      <c r="C13" s="40" t="s">
        <v>111</v>
      </c>
      <c r="D13" s="40" t="s">
        <v>112</v>
      </c>
      <c r="E13" s="39" t="s">
        <v>314</v>
      </c>
      <c r="G13" s="40" t="s">
        <v>320</v>
      </c>
      <c r="I13" s="39" t="s">
        <v>316</v>
      </c>
    </row>
    <row r="14" spans="1:9" ht="13.5" thickBot="1" x14ac:dyDescent="0.35">
      <c r="A14" s="36">
        <v>3</v>
      </c>
      <c r="C14" s="283">
        <v>2020</v>
      </c>
      <c r="D14" s="156" t="s">
        <v>317</v>
      </c>
      <c r="E14" s="156">
        <v>366</v>
      </c>
      <c r="G14" s="286">
        <v>1.1376187938578282E-2</v>
      </c>
      <c r="I14" s="62" t="s">
        <v>321</v>
      </c>
    </row>
    <row r="15" spans="1:9" ht="13" x14ac:dyDescent="0.3">
      <c r="A15" s="36">
        <v>4</v>
      </c>
      <c r="C15" s="283"/>
      <c r="D15" s="62"/>
      <c r="E15" s="62"/>
      <c r="G15" s="287"/>
      <c r="I15" s="62"/>
    </row>
    <row r="18" spans="1:9" ht="13" x14ac:dyDescent="0.3">
      <c r="B18" s="32" t="s">
        <v>322</v>
      </c>
    </row>
    <row r="19" spans="1:9" ht="13" x14ac:dyDescent="0.3">
      <c r="B19" s="32"/>
    </row>
    <row r="20" spans="1:9" ht="13" x14ac:dyDescent="0.3">
      <c r="C20" s="36" t="s">
        <v>323</v>
      </c>
      <c r="D20" s="36"/>
      <c r="E20" s="36"/>
    </row>
    <row r="21" spans="1:9" ht="13" x14ac:dyDescent="0.3">
      <c r="C21" s="40" t="s">
        <v>17</v>
      </c>
      <c r="D21" s="40" t="s">
        <v>315</v>
      </c>
      <c r="E21" s="40" t="s">
        <v>320</v>
      </c>
      <c r="I21" s="39" t="s">
        <v>42</v>
      </c>
    </row>
    <row r="22" spans="1:9" ht="13" x14ac:dyDescent="0.3">
      <c r="A22" s="36">
        <v>5</v>
      </c>
      <c r="C22" s="156">
        <v>2020</v>
      </c>
      <c r="D22" s="277">
        <f>E41</f>
        <v>9.2480778683301876E-3</v>
      </c>
      <c r="E22" s="277">
        <f>E42</f>
        <v>1.1376187938578282E-2</v>
      </c>
      <c r="I22" s="33" t="s">
        <v>324</v>
      </c>
    </row>
    <row r="24" spans="1:9" ht="13" x14ac:dyDescent="0.3">
      <c r="B24" s="32" t="s">
        <v>152</v>
      </c>
    </row>
    <row r="25" spans="1:9" x14ac:dyDescent="0.25">
      <c r="B25" s="33" t="s">
        <v>325</v>
      </c>
    </row>
    <row r="26" spans="1:9" x14ac:dyDescent="0.25">
      <c r="B26" s="33" t="s">
        <v>326</v>
      </c>
    </row>
    <row r="28" spans="1:9" ht="13" x14ac:dyDescent="0.3">
      <c r="B28" s="32" t="s">
        <v>104</v>
      </c>
    </row>
    <row r="29" spans="1:9" x14ac:dyDescent="0.25">
      <c r="B29" s="33" t="s">
        <v>327</v>
      </c>
    </row>
    <row r="30" spans="1:9" x14ac:dyDescent="0.25">
      <c r="B30" s="33" t="s">
        <v>328</v>
      </c>
    </row>
    <row r="31" spans="1:9" x14ac:dyDescent="0.25">
      <c r="B31" s="33" t="s">
        <v>329</v>
      </c>
    </row>
    <row r="32" spans="1:9" x14ac:dyDescent="0.25">
      <c r="B32" s="33" t="s">
        <v>330</v>
      </c>
    </row>
    <row r="33" spans="2:7" x14ac:dyDescent="0.25">
      <c r="B33" s="33" t="s">
        <v>331</v>
      </c>
    </row>
    <row r="34" spans="2:7" x14ac:dyDescent="0.25">
      <c r="B34" s="33" t="s">
        <v>332</v>
      </c>
    </row>
    <row r="35" spans="2:7" x14ac:dyDescent="0.25">
      <c r="B35" s="33" t="s">
        <v>333</v>
      </c>
    </row>
    <row r="36" spans="2:7" x14ac:dyDescent="0.25">
      <c r="B36" s="33" t="s">
        <v>334</v>
      </c>
    </row>
    <row r="37" spans="2:7" x14ac:dyDescent="0.25">
      <c r="B37" s="33" t="s">
        <v>335</v>
      </c>
    </row>
    <row r="38" spans="2:7" x14ac:dyDescent="0.25">
      <c r="B38" s="33" t="s">
        <v>336</v>
      </c>
    </row>
    <row r="40" spans="2:7" ht="13" x14ac:dyDescent="0.3">
      <c r="E40" s="40" t="s">
        <v>337</v>
      </c>
      <c r="G40" s="39" t="s">
        <v>37</v>
      </c>
    </row>
    <row r="41" spans="2:7" x14ac:dyDescent="0.25">
      <c r="D41" s="52" t="s">
        <v>338</v>
      </c>
      <c r="E41" s="277">
        <f>((G7*E7) + (G8*E8))/(E7+E8)</f>
        <v>9.2480778683301876E-3</v>
      </c>
      <c r="G41" s="288" t="s">
        <v>339</v>
      </c>
    </row>
    <row r="42" spans="2:7" x14ac:dyDescent="0.25">
      <c r="D42" s="52" t="s">
        <v>340</v>
      </c>
      <c r="E42" s="277">
        <f>((G14*E14) + (G15*E15))/(E14+E15)</f>
        <v>1.1376187938578282E-2</v>
      </c>
      <c r="G42" s="288" t="s">
        <v>341</v>
      </c>
    </row>
  </sheetData>
  <pageMargins left="0.75" right="0.75" top="1" bottom="1" header="0.5" footer="0.5"/>
  <pageSetup scale="82" orientation="portrait" cellComments="asDisplayed" r:id="rId1"/>
  <headerFooter alignWithMargins="0">
    <oddHeader>&amp;CSchedule 28
FF and U
(Revised 2020 True Up TRR)&amp;RTO2024 Draft Annual Update
Attachment 4
WP-Schedule 3-One Time Adj Prior Period
Page &amp;P of &amp;N</oddHeader>
    <oddFooter>&amp;R&amp;A</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312D5-73FF-4D0B-AD7F-4D0172634FD2}">
  <sheetPr>
    <tabColor rgb="FFFFCC99"/>
  </sheetPr>
  <dimension ref="A2:H17"/>
  <sheetViews>
    <sheetView zoomScaleNormal="100" workbookViewId="0"/>
  </sheetViews>
  <sheetFormatPr defaultColWidth="9.1796875" defaultRowHeight="14.5" x14ac:dyDescent="0.35"/>
  <cols>
    <col min="1" max="2" width="9.1796875" style="29"/>
    <col min="3" max="3" width="18.54296875" style="29" customWidth="1"/>
    <col min="4" max="4" width="14.26953125" style="29" bestFit="1" customWidth="1"/>
    <col min="5" max="5" width="12.54296875" style="29" customWidth="1"/>
    <col min="6" max="6" width="12" style="29" customWidth="1"/>
    <col min="7" max="7" width="13.81640625" style="29" customWidth="1"/>
    <col min="8" max="16384" width="9.1796875" style="29"/>
  </cols>
  <sheetData>
    <row r="2" spans="1:8" ht="21" customHeight="1" x14ac:dyDescent="0.35"/>
    <row r="3" spans="1:8" ht="15" customHeight="1" x14ac:dyDescent="0.35">
      <c r="A3" s="327" t="s">
        <v>410</v>
      </c>
      <c r="B3" s="327"/>
      <c r="C3" s="327"/>
      <c r="D3" s="327"/>
      <c r="E3" s="327"/>
      <c r="F3" s="327"/>
      <c r="G3" s="327"/>
    </row>
    <row r="4" spans="1:8" ht="15" customHeight="1" x14ac:dyDescent="0.35">
      <c r="A4" s="327"/>
      <c r="B4" s="327"/>
      <c r="C4" s="327"/>
      <c r="D4" s="327"/>
      <c r="E4" s="327"/>
      <c r="F4" s="327"/>
      <c r="G4" s="327"/>
    </row>
    <row r="5" spans="1:8" x14ac:dyDescent="0.35">
      <c r="A5" s="328" t="s">
        <v>31</v>
      </c>
      <c r="B5" s="328"/>
      <c r="C5" s="328"/>
      <c r="D5" s="266" t="s">
        <v>32</v>
      </c>
      <c r="E5" s="329" t="s">
        <v>33</v>
      </c>
      <c r="F5" s="329"/>
      <c r="G5" s="329"/>
      <c r="H5" s="30"/>
    </row>
    <row r="6" spans="1:8" ht="49.5" customHeight="1" x14ac:dyDescent="0.35">
      <c r="A6" s="336" t="s">
        <v>411</v>
      </c>
      <c r="B6" s="330"/>
      <c r="C6" s="331"/>
      <c r="D6" s="31">
        <f>'WP-2021 TO2023 Sch4-TUTRR'!E74</f>
        <v>1233990856.5096664</v>
      </c>
      <c r="E6" s="332" t="s">
        <v>446</v>
      </c>
      <c r="F6" s="332"/>
      <c r="G6" s="332"/>
    </row>
    <row r="7" spans="1:8" ht="50.25" customHeight="1" x14ac:dyDescent="0.35">
      <c r="A7" s="336" t="s">
        <v>412</v>
      </c>
      <c r="B7" s="318"/>
      <c r="C7" s="319"/>
      <c r="D7" s="31">
        <f>'WP-2021 TO2023 Sch4-TUTRR'!J71</f>
        <v>1234012536.9533474</v>
      </c>
      <c r="E7" s="332" t="s">
        <v>449</v>
      </c>
      <c r="F7" s="332"/>
      <c r="G7" s="332"/>
    </row>
    <row r="8" spans="1:8" x14ac:dyDescent="0.35">
      <c r="A8" s="322" t="s">
        <v>34</v>
      </c>
      <c r="B8" s="322"/>
      <c r="C8" s="323"/>
      <c r="D8" s="298">
        <f>D6-D7</f>
        <v>-21680.443681001663</v>
      </c>
      <c r="E8" s="324"/>
      <c r="F8" s="324"/>
      <c r="G8" s="324"/>
    </row>
    <row r="11" spans="1:8" x14ac:dyDescent="0.35">
      <c r="A11" s="121" t="s">
        <v>141</v>
      </c>
    </row>
    <row r="12" spans="1:8" ht="28" customHeight="1" x14ac:dyDescent="0.35">
      <c r="A12" s="344" t="s">
        <v>445</v>
      </c>
      <c r="B12" s="345"/>
      <c r="C12" s="345"/>
      <c r="D12" s="345"/>
      <c r="E12" s="345"/>
      <c r="F12" s="345"/>
      <c r="G12" s="345"/>
      <c r="H12" s="120"/>
    </row>
    <row r="13" spans="1:8" x14ac:dyDescent="0.35">
      <c r="A13" s="364" t="s">
        <v>404</v>
      </c>
      <c r="B13" s="301"/>
      <c r="C13" s="301"/>
      <c r="D13" s="301"/>
      <c r="E13" s="301"/>
      <c r="F13" s="301"/>
      <c r="G13" s="301"/>
      <c r="H13" s="30"/>
    </row>
    <row r="16" spans="1:8" x14ac:dyDescent="0.35">
      <c r="A16" s="210"/>
    </row>
    <row r="17" spans="1:1" x14ac:dyDescent="0.35">
      <c r="A17" s="210"/>
    </row>
  </sheetData>
  <mergeCells count="11">
    <mergeCell ref="A8:C8"/>
    <mergeCell ref="E8:G8"/>
    <mergeCell ref="A12:G12"/>
    <mergeCell ref="A13:G13"/>
    <mergeCell ref="A3:G4"/>
    <mergeCell ref="A5:C5"/>
    <mergeCell ref="E5:G5"/>
    <mergeCell ref="A6:C6"/>
    <mergeCell ref="E6:G6"/>
    <mergeCell ref="A7:C7"/>
    <mergeCell ref="E7:G7"/>
  </mergeCells>
  <pageMargins left="0.7" right="0.7" top="0.75" bottom="0.75" header="0.3" footer="0.3"/>
  <pageSetup orientation="portrait" r:id="rId1"/>
  <headerFooter>
    <oddHeader>&amp;RTO2024 Draft Annual Update
Attachment 4
WP-Schedule 3-One Time Adj Prior Period
Page &amp;P of &amp;N</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36F7B-1125-4524-90C3-C3FBA5C3BA21}">
  <sheetPr>
    <tabColor rgb="FFFFCC99"/>
  </sheetPr>
  <dimension ref="A1:P173"/>
  <sheetViews>
    <sheetView zoomScaleNormal="100" workbookViewId="0"/>
  </sheetViews>
  <sheetFormatPr defaultRowHeight="12.5" x14ac:dyDescent="0.25"/>
  <cols>
    <col min="1" max="2" width="4.54296875" style="33" customWidth="1"/>
    <col min="3" max="3" width="18.54296875" style="33" customWidth="1"/>
    <col min="4" max="4" width="10.453125" style="33" bestFit="1" customWidth="1"/>
    <col min="5" max="7" width="15.54296875" style="33" customWidth="1"/>
    <col min="8" max="8" width="24.54296875" style="33" customWidth="1"/>
    <col min="9" max="9" width="4.54296875" style="33" customWidth="1"/>
    <col min="10" max="10" width="15.54296875" style="33" customWidth="1"/>
    <col min="11" max="11" width="3.453125" style="33" customWidth="1"/>
    <col min="12" max="12" width="26" style="33" customWidth="1"/>
    <col min="13" max="13" width="12.7265625" style="33" customWidth="1"/>
    <col min="14" max="14" width="14.81640625" style="33" customWidth="1"/>
    <col min="15" max="16384" width="8.7265625" style="33"/>
  </cols>
  <sheetData>
    <row r="1" spans="1:12" ht="13" x14ac:dyDescent="0.3">
      <c r="A1" s="32" t="s">
        <v>35</v>
      </c>
    </row>
    <row r="3" spans="1:12" ht="13" x14ac:dyDescent="0.3">
      <c r="B3" s="34" t="s">
        <v>36</v>
      </c>
      <c r="L3" s="36"/>
    </row>
    <row r="4" spans="1:12" ht="13" x14ac:dyDescent="0.3">
      <c r="B4" s="35"/>
      <c r="F4" s="36" t="s">
        <v>37</v>
      </c>
      <c r="G4" s="36"/>
      <c r="H4" s="36" t="s">
        <v>38</v>
      </c>
      <c r="L4" s="36"/>
    </row>
    <row r="5" spans="1:12" ht="13" x14ac:dyDescent="0.3">
      <c r="A5" s="37" t="s">
        <v>39</v>
      </c>
      <c r="B5" s="38"/>
      <c r="C5" s="39" t="s">
        <v>40</v>
      </c>
      <c r="F5" s="40" t="s">
        <v>41</v>
      </c>
      <c r="G5" s="40" t="s">
        <v>42</v>
      </c>
      <c r="H5" s="40" t="s">
        <v>43</v>
      </c>
      <c r="J5" s="40" t="s">
        <v>32</v>
      </c>
      <c r="L5" s="40"/>
    </row>
    <row r="6" spans="1:12" ht="13" x14ac:dyDescent="0.3">
      <c r="A6" s="36">
        <v>1</v>
      </c>
      <c r="C6" s="41" t="s">
        <v>44</v>
      </c>
      <c r="F6" s="33" t="s">
        <v>45</v>
      </c>
      <c r="H6" s="41" t="s">
        <v>454</v>
      </c>
      <c r="J6" s="42">
        <v>10104561105.203291</v>
      </c>
      <c r="L6" s="42"/>
    </row>
    <row r="7" spans="1:12" ht="13" x14ac:dyDescent="0.3">
      <c r="A7" s="36">
        <f>A6+1</f>
        <v>2</v>
      </c>
      <c r="C7" s="41" t="s">
        <v>46</v>
      </c>
      <c r="F7" s="33" t="s">
        <v>47</v>
      </c>
      <c r="H7" s="41" t="s">
        <v>455</v>
      </c>
      <c r="J7" s="42">
        <v>344643757.48500198</v>
      </c>
      <c r="L7" s="42"/>
    </row>
    <row r="8" spans="1:12" ht="13" x14ac:dyDescent="0.3">
      <c r="A8" s="36">
        <f>A7+1</f>
        <v>3</v>
      </c>
      <c r="C8" s="41" t="s">
        <v>48</v>
      </c>
      <c r="F8" s="33" t="s">
        <v>47</v>
      </c>
      <c r="H8" s="33" t="s">
        <v>456</v>
      </c>
      <c r="J8" s="42">
        <v>8167171.1349999998</v>
      </c>
      <c r="L8" s="42"/>
    </row>
    <row r="9" spans="1:12" ht="13" x14ac:dyDescent="0.3">
      <c r="A9" s="36">
        <f>A8+1</f>
        <v>4</v>
      </c>
      <c r="C9" s="41" t="s">
        <v>49</v>
      </c>
      <c r="F9" s="33" t="s">
        <v>47</v>
      </c>
      <c r="H9" s="33" t="s">
        <v>457</v>
      </c>
      <c r="J9" s="42">
        <v>0</v>
      </c>
      <c r="L9" s="42"/>
    </row>
    <row r="10" spans="1:12" ht="13" x14ac:dyDescent="0.3">
      <c r="A10" s="36"/>
      <c r="C10" s="41"/>
      <c r="J10" s="42"/>
      <c r="L10" s="42"/>
    </row>
    <row r="11" spans="1:12" ht="13" x14ac:dyDescent="0.3">
      <c r="A11" s="36"/>
      <c r="C11" s="43" t="s">
        <v>50</v>
      </c>
      <c r="J11" s="42"/>
      <c r="L11" s="42"/>
    </row>
    <row r="12" spans="1:12" ht="13" x14ac:dyDescent="0.3">
      <c r="A12" s="36">
        <f>A9+1</f>
        <v>5</v>
      </c>
      <c r="C12" s="38" t="s">
        <v>51</v>
      </c>
      <c r="F12" s="33" t="s">
        <v>45</v>
      </c>
      <c r="H12" s="41" t="s">
        <v>458</v>
      </c>
      <c r="J12" s="42">
        <v>25292500.108422782</v>
      </c>
      <c r="L12" s="42"/>
    </row>
    <row r="13" spans="1:12" ht="13" x14ac:dyDescent="0.3">
      <c r="A13" s="36">
        <f>A12+1</f>
        <v>6</v>
      </c>
      <c r="C13" s="38" t="s">
        <v>52</v>
      </c>
      <c r="F13" s="33" t="s">
        <v>45</v>
      </c>
      <c r="H13" s="41" t="s">
        <v>459</v>
      </c>
      <c r="J13" s="42">
        <v>15339247.874588801</v>
      </c>
      <c r="L13" s="42"/>
    </row>
    <row r="14" spans="1:12" ht="13" x14ac:dyDescent="0.3">
      <c r="A14" s="36">
        <f>A13+1</f>
        <v>7</v>
      </c>
      <c r="C14" s="38" t="s">
        <v>53</v>
      </c>
      <c r="F14" s="33" t="s">
        <v>144</v>
      </c>
      <c r="H14" s="33" t="s">
        <v>460</v>
      </c>
      <c r="J14" s="44">
        <v>30656874.724706285</v>
      </c>
      <c r="L14" s="48"/>
    </row>
    <row r="15" spans="1:12" ht="13" x14ac:dyDescent="0.3">
      <c r="A15" s="36">
        <f>A14+1</f>
        <v>8</v>
      </c>
      <c r="C15" s="38" t="s">
        <v>54</v>
      </c>
      <c r="H15" s="33" t="str">
        <f>"Line "&amp;A12&amp;" + Line "&amp;A13&amp;" + Line "&amp;A14&amp;""</f>
        <v>Line 5 + Line 6 + Line 7</v>
      </c>
      <c r="J15" s="45">
        <f>SUM(J12:J14)</f>
        <v>71288622.707717866</v>
      </c>
      <c r="L15" s="42"/>
    </row>
    <row r="16" spans="1:12" ht="13" x14ac:dyDescent="0.3">
      <c r="A16" s="36"/>
      <c r="C16" s="38"/>
      <c r="J16" s="42"/>
      <c r="L16" s="42"/>
    </row>
    <row r="17" spans="1:12" ht="13" x14ac:dyDescent="0.3">
      <c r="A17" s="36"/>
      <c r="C17" s="46" t="s">
        <v>55</v>
      </c>
      <c r="J17" s="42"/>
      <c r="L17" s="42"/>
    </row>
    <row r="18" spans="1:12" ht="13" x14ac:dyDescent="0.3">
      <c r="A18" s="36">
        <f>A15+1</f>
        <v>9</v>
      </c>
      <c r="C18" s="38" t="s">
        <v>56</v>
      </c>
      <c r="F18" s="33" t="s">
        <v>45</v>
      </c>
      <c r="G18" s="33" t="s">
        <v>57</v>
      </c>
      <c r="H18" s="41" t="s">
        <v>476</v>
      </c>
      <c r="J18" s="42">
        <v>-2133338227.4523842</v>
      </c>
      <c r="L18" s="42"/>
    </row>
    <row r="19" spans="1:12" ht="13" x14ac:dyDescent="0.3">
      <c r="A19" s="36">
        <f>A18+1</f>
        <v>10</v>
      </c>
      <c r="C19" s="38" t="s">
        <v>58</v>
      </c>
      <c r="F19" s="33" t="s">
        <v>47</v>
      </c>
      <c r="G19" s="33" t="s">
        <v>57</v>
      </c>
      <c r="H19" s="41" t="s">
        <v>477</v>
      </c>
      <c r="J19" s="42">
        <v>0</v>
      </c>
      <c r="L19" s="42"/>
    </row>
    <row r="20" spans="1:12" ht="13" x14ac:dyDescent="0.3">
      <c r="A20" s="36">
        <f>A19+1</f>
        <v>11</v>
      </c>
      <c r="C20" s="38" t="s">
        <v>59</v>
      </c>
      <c r="D20" s="47"/>
      <c r="F20" s="33" t="s">
        <v>47</v>
      </c>
      <c r="G20" s="33" t="s">
        <v>57</v>
      </c>
      <c r="H20" s="41" t="s">
        <v>478</v>
      </c>
      <c r="J20" s="48">
        <v>-121685256.4392336</v>
      </c>
      <c r="L20" s="42"/>
    </row>
    <row r="21" spans="1:12" ht="13" x14ac:dyDescent="0.3">
      <c r="A21" s="36">
        <f>A20+1</f>
        <v>12</v>
      </c>
      <c r="C21" s="49" t="s">
        <v>60</v>
      </c>
      <c r="D21" s="47"/>
      <c r="H21" s="33" t="str">
        <f>"Line "&amp;A18&amp;" + Line "&amp;A19&amp;" + Line "&amp;A20&amp;""</f>
        <v>Line 9 + Line 10 + Line 11</v>
      </c>
      <c r="J21" s="42">
        <f>SUM(J18:J20)</f>
        <v>-2255023483.8916178</v>
      </c>
      <c r="L21" s="42"/>
    </row>
    <row r="22" spans="1:12" ht="13" x14ac:dyDescent="0.3">
      <c r="A22" s="36"/>
      <c r="J22" s="42"/>
      <c r="L22" s="42"/>
    </row>
    <row r="23" spans="1:12" ht="13" x14ac:dyDescent="0.3">
      <c r="A23" s="36">
        <f>A21+1</f>
        <v>13</v>
      </c>
      <c r="C23" s="41" t="s">
        <v>61</v>
      </c>
      <c r="F23" s="41" t="s">
        <v>47</v>
      </c>
      <c r="H23" s="41" t="s">
        <v>498</v>
      </c>
      <c r="J23" s="42">
        <v>-1489334840.996069</v>
      </c>
      <c r="L23" s="42"/>
    </row>
    <row r="24" spans="1:12" ht="13" x14ac:dyDescent="0.3">
      <c r="A24" s="36">
        <f>A23+1</f>
        <v>14</v>
      </c>
      <c r="C24" s="41" t="s">
        <v>62</v>
      </c>
      <c r="F24" s="33" t="s">
        <v>45</v>
      </c>
      <c r="H24" s="41" t="s">
        <v>493</v>
      </c>
      <c r="J24" s="42">
        <v>640954705.4738462</v>
      </c>
      <c r="L24" s="42"/>
    </row>
    <row r="25" spans="1:12" ht="13" x14ac:dyDescent="0.3">
      <c r="A25" s="36">
        <f>A24+1</f>
        <v>15</v>
      </c>
      <c r="C25" s="41" t="s">
        <v>63</v>
      </c>
      <c r="F25" s="33" t="s">
        <v>47</v>
      </c>
      <c r="G25" s="33" t="s">
        <v>57</v>
      </c>
      <c r="H25" s="41" t="s">
        <v>481</v>
      </c>
      <c r="J25" s="42">
        <v>-26617620.484999999</v>
      </c>
      <c r="L25" s="42"/>
    </row>
    <row r="26" spans="1:12" ht="13" x14ac:dyDescent="0.3">
      <c r="A26" s="36">
        <f t="shared" ref="A26:A27" si="0">A25+1</f>
        <v>16</v>
      </c>
      <c r="C26" s="41" t="s">
        <v>64</v>
      </c>
      <c r="H26" s="33" t="s">
        <v>482</v>
      </c>
      <c r="J26" s="42">
        <v>-176736728.09715599</v>
      </c>
      <c r="L26" s="42"/>
    </row>
    <row r="27" spans="1:12" ht="13" x14ac:dyDescent="0.3">
      <c r="A27" s="36">
        <f t="shared" si="0"/>
        <v>17</v>
      </c>
      <c r="C27" s="41" t="s">
        <v>65</v>
      </c>
      <c r="F27" s="33" t="s">
        <v>47</v>
      </c>
      <c r="H27" s="41" t="s">
        <v>483</v>
      </c>
      <c r="J27" s="42">
        <v>0</v>
      </c>
      <c r="L27" s="42"/>
    </row>
    <row r="28" spans="1:12" ht="13" x14ac:dyDescent="0.3">
      <c r="A28" s="36"/>
      <c r="C28" s="41"/>
      <c r="L28" s="42"/>
    </row>
    <row r="29" spans="1:12" ht="13" x14ac:dyDescent="0.3">
      <c r="A29" s="36">
        <f>A27+1</f>
        <v>18</v>
      </c>
      <c r="C29" s="33" t="s">
        <v>66</v>
      </c>
      <c r="H29" s="33" t="str">
        <f>"L"&amp;A6&amp;"+L"&amp;A7&amp;"+L"&amp;A8&amp;"+L"&amp;A9&amp;"+L"&amp;A15&amp;"+L"&amp;A21&amp;"+"</f>
        <v>L1+L2+L3+L4+L8+L12+</v>
      </c>
      <c r="J29" s="45">
        <f>J6+ J7+J8+J9+J15+J21+J23+J24+J25+J26+J27</f>
        <v>7221902688.5350161</v>
      </c>
      <c r="L29" s="42"/>
    </row>
    <row r="30" spans="1:12" ht="13" x14ac:dyDescent="0.3">
      <c r="A30" s="36"/>
      <c r="H30" s="33" t="str">
        <f>"L"&amp;A23&amp;"+L"&amp;A24&amp;"+L"&amp;A25&amp;"+L"&amp;A26&amp;"+L"&amp;A27&amp;""</f>
        <v>L13+L14+L15+L16+L17</v>
      </c>
      <c r="J30" s="42"/>
      <c r="L30" s="42"/>
    </row>
    <row r="31" spans="1:12" ht="13" x14ac:dyDescent="0.3">
      <c r="A31" s="36"/>
      <c r="B31" s="32" t="s">
        <v>67</v>
      </c>
      <c r="J31" s="42"/>
      <c r="L31" s="42"/>
    </row>
    <row r="32" spans="1:12" ht="13" x14ac:dyDescent="0.3">
      <c r="A32" s="37" t="s">
        <v>39</v>
      </c>
      <c r="C32" s="32"/>
      <c r="J32" s="42"/>
      <c r="L32" s="42"/>
    </row>
    <row r="33" spans="1:14" ht="13" x14ac:dyDescent="0.3">
      <c r="A33" s="36">
        <f>A29+1</f>
        <v>19</v>
      </c>
      <c r="C33" s="33" t="s">
        <v>68</v>
      </c>
      <c r="G33" s="33" t="s">
        <v>69</v>
      </c>
      <c r="H33" s="33" t="str">
        <f>"Instruction 1, Line "&amp;B99&amp;""</f>
        <v>Instruction 1, Line j</v>
      </c>
      <c r="J33" s="50">
        <f>E99</f>
        <v>7.0841071502043135E-2</v>
      </c>
      <c r="L33" s="50"/>
    </row>
    <row r="34" spans="1:14" ht="13" x14ac:dyDescent="0.3">
      <c r="A34" s="36">
        <f>A33+1</f>
        <v>20</v>
      </c>
      <c r="C34" s="33" t="s">
        <v>70</v>
      </c>
      <c r="H34" s="33" t="str">
        <f>"Line "&amp;A29&amp;" * Line "&amp;A33&amp;""</f>
        <v>Line 18 * Line 19</v>
      </c>
      <c r="J34" s="45">
        <f>J29*J33</f>
        <v>511607324.73930663</v>
      </c>
      <c r="L34" s="42"/>
    </row>
    <row r="35" spans="1:14" ht="13" x14ac:dyDescent="0.3">
      <c r="A35" s="36"/>
      <c r="B35" s="38"/>
      <c r="L35" s="42"/>
    </row>
    <row r="36" spans="1:14" ht="13" x14ac:dyDescent="0.3">
      <c r="A36" s="36"/>
      <c r="B36" s="32" t="s">
        <v>71</v>
      </c>
      <c r="L36" s="42"/>
    </row>
    <row r="37" spans="1:14" ht="13" x14ac:dyDescent="0.3">
      <c r="A37" s="36"/>
      <c r="B37" s="38"/>
      <c r="L37" s="42"/>
    </row>
    <row r="38" spans="1:14" ht="13" x14ac:dyDescent="0.3">
      <c r="A38" s="36">
        <f>A34+1</f>
        <v>21</v>
      </c>
      <c r="C38" s="33" t="s">
        <v>72</v>
      </c>
      <c r="J38" s="45">
        <f>(((J29*J42) + J45) *(J43/(1-J43)))+(J44/(1-J43))</f>
        <v>132245384.40025146</v>
      </c>
      <c r="L38" s="42"/>
    </row>
    <row r="39" spans="1:14" ht="13" x14ac:dyDescent="0.3">
      <c r="A39" s="36"/>
      <c r="L39" s="42"/>
    </row>
    <row r="40" spans="1:14" ht="13" x14ac:dyDescent="0.3">
      <c r="A40" s="36"/>
      <c r="D40" s="33" t="s">
        <v>73</v>
      </c>
      <c r="L40" s="42"/>
    </row>
    <row r="41" spans="1:14" ht="13" x14ac:dyDescent="0.3">
      <c r="A41" s="36">
        <f>A38+1</f>
        <v>22</v>
      </c>
      <c r="D41" s="38" t="s">
        <v>74</v>
      </c>
      <c r="H41" s="33" t="str">
        <f>"Line "&amp;A29&amp;""</f>
        <v>Line 18</v>
      </c>
      <c r="J41" s="45">
        <f>J29</f>
        <v>7221902688.5350161</v>
      </c>
      <c r="L41" s="42"/>
    </row>
    <row r="42" spans="1:14" ht="13" x14ac:dyDescent="0.3">
      <c r="A42" s="36">
        <f>A41+1</f>
        <v>23</v>
      </c>
      <c r="D42" s="38" t="s">
        <v>75</v>
      </c>
      <c r="G42" s="33" t="s">
        <v>76</v>
      </c>
      <c r="H42" s="33" t="str">
        <f>"Instruction 1, Line "&amp;B104&amp;""</f>
        <v>Instruction 1, Line k</v>
      </c>
      <c r="J42" s="50">
        <f>E104</f>
        <v>5.1770508276703368E-2</v>
      </c>
      <c r="L42" s="50"/>
    </row>
    <row r="43" spans="1:14" ht="13" x14ac:dyDescent="0.3">
      <c r="A43" s="36">
        <f>A42+1</f>
        <v>24</v>
      </c>
      <c r="D43" s="38" t="s">
        <v>77</v>
      </c>
      <c r="H43" s="33" t="s">
        <v>461</v>
      </c>
      <c r="J43" s="50">
        <v>0.27983599999999997</v>
      </c>
      <c r="L43" s="50"/>
    </row>
    <row r="44" spans="1:14" ht="13" x14ac:dyDescent="0.3">
      <c r="A44" s="36">
        <f>A43+1</f>
        <v>25</v>
      </c>
      <c r="D44" s="38" t="s">
        <v>78</v>
      </c>
      <c r="H44" s="33" t="s">
        <v>462</v>
      </c>
      <c r="J44" s="42">
        <v>-10102443.147941532</v>
      </c>
      <c r="L44" s="42"/>
    </row>
    <row r="45" spans="1:14" ht="13" x14ac:dyDescent="0.3">
      <c r="A45" s="36">
        <f>A44+1</f>
        <v>26</v>
      </c>
      <c r="D45" s="38" t="s">
        <v>79</v>
      </c>
      <c r="H45" s="33" t="s">
        <v>463</v>
      </c>
      <c r="J45" s="42">
        <v>2556084</v>
      </c>
      <c r="L45" s="42"/>
    </row>
    <row r="46" spans="1:14" ht="13" x14ac:dyDescent="0.3">
      <c r="A46" s="36"/>
      <c r="B46" s="38"/>
      <c r="L46" s="42"/>
    </row>
    <row r="47" spans="1:14" ht="13" x14ac:dyDescent="0.3">
      <c r="A47" s="36"/>
      <c r="B47" s="32" t="s">
        <v>80</v>
      </c>
      <c r="L47" s="42"/>
      <c r="N47" s="39"/>
    </row>
    <row r="48" spans="1:14" ht="13" x14ac:dyDescent="0.3">
      <c r="A48" s="36">
        <f>A45+1</f>
        <v>27</v>
      </c>
      <c r="B48" s="38"/>
      <c r="C48" s="33" t="s">
        <v>81</v>
      </c>
      <c r="H48" s="33" t="s">
        <v>464</v>
      </c>
      <c r="J48" s="42">
        <v>104115714.00165026</v>
      </c>
      <c r="L48" s="42"/>
    </row>
    <row r="49" spans="1:12" ht="13" x14ac:dyDescent="0.3">
      <c r="A49" s="36">
        <f t="shared" ref="A49:A59" si="1">A48+1</f>
        <v>28</v>
      </c>
      <c r="B49" s="38"/>
      <c r="C49" s="33" t="s">
        <v>82</v>
      </c>
      <c r="H49" s="33" t="s">
        <v>465</v>
      </c>
      <c r="J49" s="45">
        <v>141139283.79600003</v>
      </c>
      <c r="L49" s="42"/>
    </row>
    <row r="50" spans="1:12" ht="13" x14ac:dyDescent="0.3">
      <c r="A50" s="36">
        <f>A49+1</f>
        <v>29</v>
      </c>
      <c r="B50" s="38"/>
      <c r="C50" s="33" t="s">
        <v>83</v>
      </c>
      <c r="H50" s="33" t="s">
        <v>466</v>
      </c>
      <c r="J50" s="42">
        <v>1565253.42</v>
      </c>
      <c r="L50" s="42"/>
    </row>
    <row r="51" spans="1:12" ht="13" x14ac:dyDescent="0.3">
      <c r="A51" s="36">
        <f t="shared" si="1"/>
        <v>30</v>
      </c>
      <c r="B51" s="38"/>
      <c r="C51" s="33" t="s">
        <v>84</v>
      </c>
      <c r="H51" s="33" t="s">
        <v>467</v>
      </c>
      <c r="J51" s="42">
        <v>295867458.50317699</v>
      </c>
      <c r="L51" s="42"/>
    </row>
    <row r="52" spans="1:12" ht="13" x14ac:dyDescent="0.3">
      <c r="A52" s="36">
        <f t="shared" si="1"/>
        <v>31</v>
      </c>
      <c r="B52" s="38"/>
      <c r="C52" s="33" t="s">
        <v>85</v>
      </c>
      <c r="H52" s="33" t="s">
        <v>468</v>
      </c>
      <c r="J52" s="42">
        <v>0</v>
      </c>
      <c r="L52" s="42"/>
    </row>
    <row r="53" spans="1:12" ht="13" x14ac:dyDescent="0.3">
      <c r="A53" s="36">
        <f t="shared" si="1"/>
        <v>32</v>
      </c>
      <c r="B53" s="38"/>
      <c r="C53" s="33" t="s">
        <v>86</v>
      </c>
      <c r="H53" s="33" t="s">
        <v>469</v>
      </c>
      <c r="J53" s="42">
        <v>75917125.973308787</v>
      </c>
      <c r="L53" s="42"/>
    </row>
    <row r="54" spans="1:12" ht="13" x14ac:dyDescent="0.3">
      <c r="A54" s="36">
        <f t="shared" si="1"/>
        <v>33</v>
      </c>
      <c r="B54" s="38"/>
      <c r="C54" s="33" t="s">
        <v>87</v>
      </c>
      <c r="H54" s="33" t="s">
        <v>470</v>
      </c>
      <c r="J54" s="42">
        <v>-51757940.573729523</v>
      </c>
      <c r="L54" s="42"/>
    </row>
    <row r="55" spans="1:12" ht="13" x14ac:dyDescent="0.3">
      <c r="A55" s="36">
        <f t="shared" si="1"/>
        <v>34</v>
      </c>
      <c r="B55" s="38"/>
      <c r="C55" s="33" t="s">
        <v>88</v>
      </c>
      <c r="H55" s="33" t="str">
        <f>"Line "&amp;A34&amp;""</f>
        <v>Line 20</v>
      </c>
      <c r="J55" s="42">
        <f>J34</f>
        <v>511607324.73930663</v>
      </c>
      <c r="L55" s="42"/>
    </row>
    <row r="56" spans="1:12" ht="13" x14ac:dyDescent="0.3">
      <c r="A56" s="36">
        <f t="shared" si="1"/>
        <v>35</v>
      </c>
      <c r="B56" s="38"/>
      <c r="C56" s="33" t="s">
        <v>89</v>
      </c>
      <c r="H56" s="33" t="str">
        <f>"Line "&amp;A38&amp;""</f>
        <v>Line 21</v>
      </c>
      <c r="J56" s="45">
        <f>J38</f>
        <v>132245384.40025146</v>
      </c>
      <c r="L56" s="42"/>
    </row>
    <row r="57" spans="1:12" ht="13" x14ac:dyDescent="0.3">
      <c r="A57" s="36">
        <f t="shared" si="1"/>
        <v>36</v>
      </c>
      <c r="B57" s="38"/>
      <c r="C57" s="33" t="s">
        <v>90</v>
      </c>
      <c r="H57" s="33" t="s">
        <v>471</v>
      </c>
      <c r="J57" s="42">
        <v>0</v>
      </c>
      <c r="L57" s="42"/>
    </row>
    <row r="58" spans="1:12" ht="13" x14ac:dyDescent="0.3">
      <c r="A58" s="36">
        <f t="shared" si="1"/>
        <v>37</v>
      </c>
      <c r="B58" s="38"/>
      <c r="C58" s="51" t="s">
        <v>91</v>
      </c>
      <c r="D58" s="51"/>
      <c r="H58" s="33" t="s">
        <v>472</v>
      </c>
      <c r="J58" s="48">
        <v>0</v>
      </c>
      <c r="K58" s="42"/>
    </row>
    <row r="59" spans="1:12" ht="13" x14ac:dyDescent="0.3">
      <c r="A59" s="36">
        <f t="shared" si="1"/>
        <v>38</v>
      </c>
      <c r="B59" s="38"/>
      <c r="C59" s="33" t="s">
        <v>92</v>
      </c>
      <c r="H59" s="33" t="str">
        <f>"Sum Line "&amp;A48&amp;" to Line "&amp;A58&amp;""</f>
        <v>Sum Line 27 to Line 37</v>
      </c>
      <c r="J59" s="45">
        <f>SUM(J48:J58)</f>
        <v>1210699604.2599645</v>
      </c>
      <c r="L59" s="42"/>
    </row>
    <row r="60" spans="1:12" ht="13" x14ac:dyDescent="0.3">
      <c r="A60" s="36"/>
      <c r="B60" s="38"/>
      <c r="J60" s="42"/>
      <c r="L60" s="42"/>
    </row>
    <row r="61" spans="1:12" ht="12.75" customHeight="1" x14ac:dyDescent="0.3">
      <c r="A61" s="36">
        <f>A59+1</f>
        <v>39</v>
      </c>
      <c r="B61" s="38"/>
      <c r="C61" s="33" t="s">
        <v>93</v>
      </c>
      <c r="H61" s="33" t="s">
        <v>484</v>
      </c>
      <c r="J61" s="42">
        <v>25188086.802051514</v>
      </c>
      <c r="L61" s="42"/>
    </row>
    <row r="62" spans="1:12" ht="12.75" customHeight="1" x14ac:dyDescent="0.3">
      <c r="A62" s="36" t="s">
        <v>148</v>
      </c>
      <c r="B62" s="38"/>
      <c r="C62" s="33" t="s">
        <v>149</v>
      </c>
      <c r="H62" s="33" t="s">
        <v>150</v>
      </c>
      <c r="J62" s="42">
        <f>-J61</f>
        <v>-25188086.802051514</v>
      </c>
      <c r="L62" s="42"/>
    </row>
    <row r="63" spans="1:12" ht="13" x14ac:dyDescent="0.3">
      <c r="A63" s="36"/>
      <c r="B63" s="38"/>
      <c r="J63" s="42"/>
      <c r="L63" s="42"/>
    </row>
    <row r="64" spans="1:12" ht="13" x14ac:dyDescent="0.3">
      <c r="A64" s="36">
        <f>A61+1</f>
        <v>40</v>
      </c>
      <c r="B64" s="38"/>
      <c r="C64" s="33" t="s">
        <v>94</v>
      </c>
      <c r="H64" s="33" t="str">
        <f>"Sum of Lines "&amp;A59&amp;" to "&amp;A62&amp;""</f>
        <v>Sum of Lines 38 to 39a</v>
      </c>
      <c r="J64" s="45">
        <f>J59+J61+J62</f>
        <v>1210699604.2599645</v>
      </c>
      <c r="L64" s="42"/>
    </row>
    <row r="65" spans="1:15" ht="13" x14ac:dyDescent="0.3">
      <c r="A65" s="36"/>
      <c r="B65" s="38"/>
      <c r="J65" s="42"/>
    </row>
    <row r="66" spans="1:15" ht="13" x14ac:dyDescent="0.3">
      <c r="A66" s="36"/>
      <c r="B66" s="34" t="s">
        <v>95</v>
      </c>
      <c r="J66" s="42"/>
    </row>
    <row r="67" spans="1:15" ht="13.5" thickBot="1" x14ac:dyDescent="0.35">
      <c r="A67" s="37" t="s">
        <v>39</v>
      </c>
      <c r="B67" s="41"/>
      <c r="G67" s="39" t="s">
        <v>96</v>
      </c>
      <c r="N67" s="39"/>
    </row>
    <row r="68" spans="1:15" ht="13" x14ac:dyDescent="0.3">
      <c r="A68" s="36">
        <f>A64+1</f>
        <v>41</v>
      </c>
      <c r="B68" s="41"/>
      <c r="D68" s="52" t="s">
        <v>97</v>
      </c>
      <c r="E68" s="45">
        <f>J64</f>
        <v>1210699604.2599645</v>
      </c>
      <c r="G68" s="33" t="str">
        <f>"Line "&amp;A64&amp;""</f>
        <v>Line 40</v>
      </c>
      <c r="J68" s="53" t="s">
        <v>98</v>
      </c>
      <c r="L68" s="42"/>
    </row>
    <row r="69" spans="1:15" ht="13" x14ac:dyDescent="0.3">
      <c r="A69" s="36">
        <f>A68+1</f>
        <v>42</v>
      </c>
      <c r="B69" s="41"/>
      <c r="D69" s="52" t="s">
        <v>99</v>
      </c>
      <c r="E69" s="54">
        <v>9.3645816374923023E-3</v>
      </c>
      <c r="G69" s="33" t="s">
        <v>485</v>
      </c>
      <c r="J69" s="55" t="s">
        <v>413</v>
      </c>
      <c r="L69" s="50"/>
    </row>
    <row r="70" spans="1:15" ht="13" x14ac:dyDescent="0.3">
      <c r="A70" s="36">
        <f>A69+1</f>
        <v>43</v>
      </c>
      <c r="B70" s="41"/>
      <c r="D70" s="52" t="s">
        <v>100</v>
      </c>
      <c r="E70" s="45">
        <f>E68*E69</f>
        <v>11337695.282572061</v>
      </c>
      <c r="G70" s="33" t="str">
        <f>"Line "&amp;A68&amp;" * Line "&amp;A69&amp;""</f>
        <v>Line 41 * Line 42</v>
      </c>
      <c r="J70" s="56">
        <f>E74</f>
        <v>1233990856.5096664</v>
      </c>
      <c r="L70" s="42"/>
    </row>
    <row r="71" spans="1:15" ht="30.5" customHeight="1" x14ac:dyDescent="0.3">
      <c r="A71" s="36">
        <f>A70+1</f>
        <v>44</v>
      </c>
      <c r="B71" s="41"/>
      <c r="D71" s="52" t="s">
        <v>101</v>
      </c>
      <c r="E71" s="289">
        <v>9.873264123544865E-3</v>
      </c>
      <c r="G71" s="33" t="s">
        <v>485</v>
      </c>
      <c r="J71" s="57">
        <v>1234012536.9533474</v>
      </c>
      <c r="K71" s="360" t="s">
        <v>414</v>
      </c>
      <c r="L71" s="361"/>
      <c r="M71" s="361"/>
    </row>
    <row r="72" spans="1:15" ht="13.5" thickBot="1" x14ac:dyDescent="0.35">
      <c r="A72" s="36">
        <f>A71+1</f>
        <v>45</v>
      </c>
      <c r="B72" s="41"/>
      <c r="D72" s="52" t="s">
        <v>102</v>
      </c>
      <c r="E72" s="45">
        <f>E68*E71</f>
        <v>11953556.967129873</v>
      </c>
      <c r="G72" s="33" t="str">
        <f>"Line "&amp;A68&amp;" * Line "&amp;A71&amp;""</f>
        <v>Line 41 * Line 44</v>
      </c>
      <c r="J72" s="58">
        <f>J70-J71</f>
        <v>-21680.443681001663</v>
      </c>
    </row>
    <row r="73" spans="1:15" ht="13" x14ac:dyDescent="0.3">
      <c r="A73" s="36" t="s">
        <v>415</v>
      </c>
      <c r="B73" s="41"/>
      <c r="D73" s="52" t="s">
        <v>416</v>
      </c>
      <c r="E73" s="48">
        <v>0</v>
      </c>
      <c r="G73" s="33" t="s">
        <v>499</v>
      </c>
      <c r="I73" s="290"/>
      <c r="J73" s="291"/>
    </row>
    <row r="74" spans="1:15" ht="13" x14ac:dyDescent="0.3">
      <c r="A74" s="36">
        <f>A72+1</f>
        <v>46</v>
      </c>
      <c r="B74" s="41"/>
      <c r="D74" s="52" t="s">
        <v>103</v>
      </c>
      <c r="E74" s="45">
        <f>E68+E70+E72+E73</f>
        <v>1233990856.5096664</v>
      </c>
      <c r="G74" s="33" t="str">
        <f>"L "&amp;A68&amp;" + L "&amp;A70&amp;" + L "&amp;A72&amp;"+ L "&amp;A73&amp;""</f>
        <v>L 41 + L 43 + L 45+ L 45a</v>
      </c>
    </row>
    <row r="75" spans="1:15" ht="13" x14ac:dyDescent="0.3">
      <c r="B75" s="34" t="s">
        <v>104</v>
      </c>
      <c r="D75" s="52"/>
      <c r="E75" s="42"/>
      <c r="H75" s="59"/>
    </row>
    <row r="76" spans="1:15" ht="13" x14ac:dyDescent="0.3">
      <c r="A76" s="36"/>
      <c r="B76" s="33" t="s">
        <v>145</v>
      </c>
      <c r="C76" s="34"/>
      <c r="D76" s="52"/>
      <c r="E76" s="42"/>
      <c r="L76" s="90" t="s">
        <v>408</v>
      </c>
      <c r="M76" s="279">
        <v>-21892.477520227432</v>
      </c>
    </row>
    <row r="77" spans="1:15" ht="31.5" customHeight="1" x14ac:dyDescent="0.3">
      <c r="A77" s="36"/>
      <c r="B77" s="33" t="s">
        <v>146</v>
      </c>
      <c r="C77" s="34"/>
      <c r="D77" s="52"/>
      <c r="E77" s="42"/>
      <c r="L77" s="122" t="s">
        <v>409</v>
      </c>
      <c r="M77" s="280">
        <v>212.03383922576904</v>
      </c>
    </row>
    <row r="78" spans="1:15" ht="13" x14ac:dyDescent="0.3">
      <c r="A78" s="36"/>
      <c r="B78" s="41" t="s">
        <v>105</v>
      </c>
      <c r="D78" s="52"/>
      <c r="E78" s="42"/>
      <c r="L78" s="278" t="s">
        <v>169</v>
      </c>
      <c r="M78" s="281">
        <f>SUM(M76:M77)</f>
        <v>-21680.443681001663</v>
      </c>
    </row>
    <row r="79" spans="1:15" ht="13" x14ac:dyDescent="0.3">
      <c r="A79" s="36"/>
      <c r="B79" s="41" t="s">
        <v>106</v>
      </c>
      <c r="D79" s="52"/>
      <c r="E79" s="42"/>
      <c r="M79" s="39"/>
      <c r="O79" s="39"/>
    </row>
    <row r="80" spans="1:15" ht="13" x14ac:dyDescent="0.3">
      <c r="A80" s="36"/>
      <c r="N80" s="42"/>
    </row>
    <row r="81" spans="1:16" ht="13" x14ac:dyDescent="0.3">
      <c r="A81" s="36"/>
      <c r="B81" s="33" t="s">
        <v>107</v>
      </c>
      <c r="N81" s="42"/>
    </row>
    <row r="82" spans="1:16" ht="13" x14ac:dyDescent="0.3">
      <c r="A82" s="36"/>
      <c r="C82" s="33" t="s">
        <v>108</v>
      </c>
      <c r="N82" s="42"/>
    </row>
    <row r="83" spans="1:16" ht="13" x14ac:dyDescent="0.3">
      <c r="A83" s="36"/>
      <c r="J83" s="36" t="s">
        <v>109</v>
      </c>
      <c r="N83" s="42"/>
    </row>
    <row r="84" spans="1:16" ht="13" x14ac:dyDescent="0.3">
      <c r="A84" s="36"/>
      <c r="E84" s="40" t="s">
        <v>110</v>
      </c>
      <c r="F84" s="39" t="s">
        <v>96</v>
      </c>
      <c r="G84" s="40" t="s">
        <v>111</v>
      </c>
      <c r="H84" s="40" t="s">
        <v>112</v>
      </c>
      <c r="J84" s="40" t="s">
        <v>113</v>
      </c>
      <c r="N84" s="42"/>
    </row>
    <row r="85" spans="1:16" ht="13" x14ac:dyDescent="0.3">
      <c r="B85" s="60" t="s">
        <v>114</v>
      </c>
      <c r="C85" s="33" t="s">
        <v>115</v>
      </c>
      <c r="E85" s="155">
        <v>0.10299999999999999</v>
      </c>
      <c r="F85" s="33" t="s">
        <v>118</v>
      </c>
      <c r="G85" s="78">
        <v>44197</v>
      </c>
      <c r="H85" s="78">
        <v>44561</v>
      </c>
      <c r="J85" s="156">
        <v>365</v>
      </c>
      <c r="N85" s="42"/>
    </row>
    <row r="86" spans="1:16" ht="13" x14ac:dyDescent="0.3">
      <c r="B86" s="60" t="s">
        <v>116</v>
      </c>
      <c r="C86" s="33" t="s">
        <v>117</v>
      </c>
      <c r="E86" s="155"/>
      <c r="F86" s="33" t="s">
        <v>147</v>
      </c>
      <c r="G86" s="78"/>
      <c r="H86" s="78"/>
      <c r="J86" s="156"/>
      <c r="N86" s="48"/>
    </row>
    <row r="87" spans="1:16" ht="13" x14ac:dyDescent="0.3">
      <c r="B87" s="60" t="s">
        <v>119</v>
      </c>
      <c r="E87" s="63"/>
      <c r="G87" s="64"/>
      <c r="H87" s="64"/>
      <c r="I87" s="52" t="s">
        <v>120</v>
      </c>
      <c r="J87" s="66">
        <f>SUM(J85:J86)</f>
        <v>365</v>
      </c>
      <c r="N87" s="42"/>
      <c r="P87" s="288"/>
    </row>
    <row r="88" spans="1:16" ht="13" x14ac:dyDescent="0.3">
      <c r="B88" s="60" t="s">
        <v>121</v>
      </c>
      <c r="C88" s="33" t="s">
        <v>122</v>
      </c>
      <c r="E88" s="61">
        <f>((E85*J85) + (E86* J86)) / J87</f>
        <v>0.10299999999999999</v>
      </c>
      <c r="F88" s="33" t="s">
        <v>123</v>
      </c>
    </row>
    <row r="89" spans="1:16" ht="13" x14ac:dyDescent="0.3">
      <c r="A89" s="36"/>
    </row>
    <row r="90" spans="1:16" ht="13" x14ac:dyDescent="0.3">
      <c r="A90" s="36"/>
      <c r="B90" s="33" t="s">
        <v>124</v>
      </c>
    </row>
    <row r="91" spans="1:16" ht="13" x14ac:dyDescent="0.3">
      <c r="A91" s="36"/>
      <c r="E91" s="39" t="s">
        <v>96</v>
      </c>
    </row>
    <row r="92" spans="1:16" ht="13" x14ac:dyDescent="0.3">
      <c r="B92" s="60" t="s">
        <v>125</v>
      </c>
      <c r="C92" s="33" t="s">
        <v>126</v>
      </c>
      <c r="E92" s="157" t="s">
        <v>166</v>
      </c>
      <c r="F92" s="62"/>
      <c r="G92" s="62"/>
      <c r="H92" s="62"/>
      <c r="I92" s="62"/>
      <c r="J92" s="62"/>
    </row>
    <row r="93" spans="1:16" ht="13" x14ac:dyDescent="0.3">
      <c r="B93" s="60" t="s">
        <v>127</v>
      </c>
      <c r="C93" s="33" t="s">
        <v>128</v>
      </c>
      <c r="E93" s="157" t="s">
        <v>167</v>
      </c>
      <c r="F93" s="62"/>
      <c r="G93" s="62"/>
      <c r="H93" s="62"/>
      <c r="I93" s="62"/>
      <c r="J93" s="62"/>
    </row>
    <row r="94" spans="1:16" x14ac:dyDescent="0.25">
      <c r="E94" s="64"/>
    </row>
    <row r="95" spans="1:16" ht="13" x14ac:dyDescent="0.3">
      <c r="E95" s="40" t="s">
        <v>110</v>
      </c>
      <c r="F95" s="39" t="s">
        <v>96</v>
      </c>
    </row>
    <row r="96" spans="1:16" ht="13" x14ac:dyDescent="0.3">
      <c r="B96" s="60" t="s">
        <v>129</v>
      </c>
      <c r="C96" s="33" t="s">
        <v>130</v>
      </c>
      <c r="E96" s="158">
        <v>1.907056322533977E-2</v>
      </c>
      <c r="F96" s="33" t="s">
        <v>473</v>
      </c>
    </row>
    <row r="97" spans="1:10" ht="13" x14ac:dyDescent="0.3">
      <c r="B97" s="60" t="s">
        <v>131</v>
      </c>
      <c r="C97" s="33" t="s">
        <v>132</v>
      </c>
      <c r="E97" s="158">
        <v>2.8455082767033695E-3</v>
      </c>
      <c r="F97" s="33" t="s">
        <v>474</v>
      </c>
    </row>
    <row r="98" spans="1:10" ht="13" x14ac:dyDescent="0.3">
      <c r="B98" s="60" t="s">
        <v>133</v>
      </c>
      <c r="C98" s="33" t="s">
        <v>134</v>
      </c>
      <c r="E98" s="159">
        <v>4.8924999999999996E-2</v>
      </c>
      <c r="F98" s="33" t="s">
        <v>475</v>
      </c>
    </row>
    <row r="99" spans="1:10" ht="13" x14ac:dyDescent="0.3">
      <c r="B99" s="36" t="s">
        <v>135</v>
      </c>
      <c r="C99" s="38" t="s">
        <v>68</v>
      </c>
      <c r="E99" s="158">
        <f>SUM(E96:E98)</f>
        <v>7.0841071502043135E-2</v>
      </c>
      <c r="F99" s="42" t="str">
        <f>"Sum of Lines "&amp;B96&amp;" to "&amp;B98&amp;""</f>
        <v>Sum of Lines g to i</v>
      </c>
      <c r="G99" s="66"/>
      <c r="J99" s="67"/>
    </row>
    <row r="100" spans="1:10" ht="13" x14ac:dyDescent="0.3">
      <c r="A100" s="36"/>
      <c r="C100" s="68"/>
      <c r="D100" s="69"/>
      <c r="E100" s="42"/>
      <c r="F100" s="42"/>
      <c r="G100" s="66"/>
      <c r="H100" s="42"/>
      <c r="J100" s="67"/>
    </row>
    <row r="101" spans="1:10" ht="13" x14ac:dyDescent="0.3">
      <c r="A101" s="36"/>
      <c r="B101" s="33" t="s">
        <v>136</v>
      </c>
    </row>
    <row r="102" spans="1:10" ht="13" x14ac:dyDescent="0.3">
      <c r="A102" s="36"/>
    </row>
    <row r="103" spans="1:10" ht="13" x14ac:dyDescent="0.3">
      <c r="A103" s="36"/>
      <c r="E103" s="40" t="s">
        <v>110</v>
      </c>
      <c r="F103" s="39" t="s">
        <v>96</v>
      </c>
    </row>
    <row r="104" spans="1:10" ht="13" x14ac:dyDescent="0.3">
      <c r="B104" s="60" t="s">
        <v>137</v>
      </c>
      <c r="E104" s="158">
        <f>E97+E98</f>
        <v>5.1770508276703368E-2</v>
      </c>
      <c r="F104" s="42" t="str">
        <f>"Sum of Lines "&amp;B97&amp;" to "&amp;B98&amp;""</f>
        <v>Sum of Lines h to i</v>
      </c>
    </row>
    <row r="105" spans="1:10" ht="13" x14ac:dyDescent="0.3">
      <c r="A105" s="36"/>
      <c r="E105" s="50"/>
      <c r="F105" s="42"/>
    </row>
    <row r="106" spans="1:10" ht="13" x14ac:dyDescent="0.3">
      <c r="A106" s="36"/>
      <c r="B106" s="37" t="s">
        <v>152</v>
      </c>
      <c r="E106" s="66"/>
      <c r="F106" s="66"/>
      <c r="G106" s="66"/>
      <c r="H106" s="42"/>
    </row>
    <row r="107" spans="1:10" ht="13" x14ac:dyDescent="0.3">
      <c r="A107" s="36"/>
      <c r="B107" s="33" t="s">
        <v>153</v>
      </c>
    </row>
    <row r="108" spans="1:10" ht="13" x14ac:dyDescent="0.3">
      <c r="A108" s="36"/>
      <c r="B108" s="38" t="s">
        <v>168</v>
      </c>
      <c r="D108" s="36"/>
      <c r="E108" s="36"/>
      <c r="F108" s="36"/>
      <c r="G108" s="36"/>
      <c r="H108" s="36"/>
    </row>
    <row r="109" spans="1:10" ht="13" x14ac:dyDescent="0.3">
      <c r="A109" s="36"/>
      <c r="B109" s="41"/>
      <c r="D109" s="36"/>
      <c r="E109" s="36"/>
      <c r="F109" s="36"/>
      <c r="G109" s="36"/>
      <c r="H109" s="36"/>
    </row>
    <row r="110" spans="1:10" ht="13" x14ac:dyDescent="0.3">
      <c r="A110" s="36"/>
      <c r="C110" s="70"/>
      <c r="D110" s="70"/>
      <c r="E110" s="40"/>
      <c r="F110" s="40"/>
      <c r="G110" s="40"/>
      <c r="H110" s="40"/>
    </row>
    <row r="111" spans="1:10" ht="13" x14ac:dyDescent="0.3">
      <c r="A111" s="36"/>
    </row>
    <row r="112" spans="1:10" ht="13" x14ac:dyDescent="0.3">
      <c r="A112" s="36"/>
    </row>
    <row r="113" spans="1:10" ht="13" x14ac:dyDescent="0.3">
      <c r="A113" s="36"/>
    </row>
    <row r="114" spans="1:10" ht="13" x14ac:dyDescent="0.3">
      <c r="A114" s="36"/>
      <c r="C114" s="68"/>
      <c r="E114" s="42"/>
      <c r="F114" s="42"/>
      <c r="H114" s="42"/>
      <c r="J114" s="67"/>
    </row>
    <row r="115" spans="1:10" ht="13" x14ac:dyDescent="0.3">
      <c r="A115" s="36"/>
      <c r="C115" s="68"/>
      <c r="E115" s="42"/>
      <c r="F115" s="42"/>
      <c r="H115" s="42"/>
      <c r="J115" s="67"/>
    </row>
    <row r="116" spans="1:10" ht="13" x14ac:dyDescent="0.3">
      <c r="A116" s="37"/>
      <c r="C116" s="68"/>
      <c r="E116" s="42"/>
      <c r="F116" s="42"/>
      <c r="H116" s="42"/>
      <c r="J116" s="67"/>
    </row>
    <row r="117" spans="1:10" ht="13" x14ac:dyDescent="0.3">
      <c r="A117" s="36"/>
      <c r="D117" s="71"/>
      <c r="E117" s="42"/>
      <c r="F117" s="42"/>
      <c r="H117" s="42"/>
      <c r="J117" s="67"/>
    </row>
    <row r="118" spans="1:10" ht="13" x14ac:dyDescent="0.3">
      <c r="A118" s="36"/>
      <c r="C118" s="68"/>
      <c r="D118" s="52"/>
      <c r="E118" s="48"/>
      <c r="F118" s="42"/>
      <c r="H118" s="42"/>
      <c r="J118" s="67"/>
    </row>
    <row r="119" spans="1:10" ht="13" x14ac:dyDescent="0.3">
      <c r="A119" s="36"/>
      <c r="C119" s="68"/>
      <c r="D119" s="52"/>
      <c r="E119" s="42"/>
      <c r="F119" s="42"/>
      <c r="H119" s="42"/>
      <c r="J119" s="67"/>
    </row>
    <row r="120" spans="1:10" ht="13" x14ac:dyDescent="0.3">
      <c r="A120" s="36"/>
    </row>
    <row r="121" spans="1:10" ht="13" x14ac:dyDescent="0.3">
      <c r="A121" s="36"/>
      <c r="B121" s="32"/>
    </row>
    <row r="122" spans="1:10" ht="13" x14ac:dyDescent="0.3">
      <c r="A122" s="36"/>
    </row>
    <row r="123" spans="1:10" ht="13" x14ac:dyDescent="0.3">
      <c r="A123" s="36"/>
    </row>
    <row r="124" spans="1:10" ht="13" x14ac:dyDescent="0.3">
      <c r="A124" s="36"/>
      <c r="F124" s="36"/>
    </row>
    <row r="125" spans="1:10" ht="13" x14ac:dyDescent="0.3">
      <c r="A125" s="36"/>
      <c r="F125" s="36"/>
    </row>
    <row r="126" spans="1:10" ht="13" x14ac:dyDescent="0.3">
      <c r="A126" s="36"/>
      <c r="D126" s="36"/>
      <c r="E126" s="36"/>
      <c r="F126" s="36"/>
      <c r="H126" s="36"/>
    </row>
    <row r="127" spans="1:10" ht="13" x14ac:dyDescent="0.3">
      <c r="A127" s="36"/>
      <c r="D127" s="36"/>
      <c r="E127" s="36"/>
      <c r="F127" s="36"/>
      <c r="G127" s="36"/>
      <c r="H127" s="60"/>
    </row>
    <row r="128" spans="1:10" ht="13" x14ac:dyDescent="0.3">
      <c r="A128" s="37"/>
      <c r="C128" s="70"/>
      <c r="D128" s="70"/>
      <c r="E128" s="40"/>
      <c r="F128" s="72"/>
      <c r="G128" s="40"/>
      <c r="H128" s="60"/>
    </row>
    <row r="129" spans="1:8" ht="13" x14ac:dyDescent="0.3">
      <c r="A129" s="36"/>
      <c r="C129" s="68"/>
      <c r="D129" s="69"/>
      <c r="E129" s="42"/>
      <c r="F129" s="42"/>
      <c r="G129" s="61"/>
      <c r="H129" s="42"/>
    </row>
    <row r="130" spans="1:8" ht="13" x14ac:dyDescent="0.3">
      <c r="A130" s="36"/>
      <c r="C130" s="68"/>
      <c r="D130" s="69"/>
      <c r="E130" s="42"/>
      <c r="F130" s="42"/>
      <c r="G130" s="61"/>
      <c r="H130" s="42"/>
    </row>
    <row r="131" spans="1:8" ht="13" x14ac:dyDescent="0.3">
      <c r="A131" s="36"/>
      <c r="C131" s="68"/>
      <c r="D131" s="69"/>
      <c r="E131" s="42"/>
      <c r="F131" s="42"/>
      <c r="G131" s="61"/>
      <c r="H131" s="42"/>
    </row>
    <row r="132" spans="1:8" ht="13" x14ac:dyDescent="0.3">
      <c r="A132" s="36"/>
      <c r="C132" s="68"/>
      <c r="D132" s="69"/>
      <c r="E132" s="42"/>
      <c r="F132" s="42"/>
      <c r="G132" s="61"/>
      <c r="H132" s="42"/>
    </row>
    <row r="133" spans="1:8" ht="13" x14ac:dyDescent="0.3">
      <c r="A133" s="36"/>
      <c r="C133" s="68"/>
      <c r="D133" s="69"/>
      <c r="E133" s="42"/>
      <c r="F133" s="42"/>
      <c r="G133" s="61"/>
      <c r="H133" s="42"/>
    </row>
    <row r="134" spans="1:8" ht="13" x14ac:dyDescent="0.3">
      <c r="A134" s="36"/>
      <c r="C134" s="68"/>
      <c r="D134" s="69"/>
      <c r="E134" s="42"/>
      <c r="F134" s="42"/>
      <c r="G134" s="61"/>
      <c r="H134" s="42"/>
    </row>
    <row r="135" spans="1:8" ht="13" x14ac:dyDescent="0.3">
      <c r="A135" s="36"/>
      <c r="C135" s="68"/>
      <c r="D135" s="69"/>
      <c r="E135" s="42"/>
      <c r="F135" s="42"/>
      <c r="G135" s="61"/>
      <c r="H135" s="42"/>
    </row>
    <row r="136" spans="1:8" ht="13" x14ac:dyDescent="0.3">
      <c r="A136" s="36"/>
      <c r="C136" s="68"/>
      <c r="D136" s="69"/>
      <c r="E136" s="42"/>
      <c r="F136" s="42"/>
      <c r="G136" s="61"/>
      <c r="H136" s="42"/>
    </row>
    <row r="137" spans="1:8" ht="13" x14ac:dyDescent="0.3">
      <c r="A137" s="36"/>
      <c r="C137" s="68"/>
      <c r="D137" s="69"/>
      <c r="E137" s="42"/>
      <c r="F137" s="42"/>
      <c r="G137" s="61"/>
      <c r="H137" s="42"/>
    </row>
    <row r="138" spans="1:8" ht="13" x14ac:dyDescent="0.3">
      <c r="A138" s="36"/>
      <c r="C138" s="68"/>
      <c r="D138" s="69"/>
      <c r="E138" s="42"/>
      <c r="F138" s="42"/>
      <c r="G138" s="61"/>
      <c r="H138" s="42"/>
    </row>
    <row r="139" spans="1:8" ht="13" x14ac:dyDescent="0.3">
      <c r="A139" s="36"/>
      <c r="C139" s="68"/>
      <c r="D139" s="69"/>
      <c r="E139" s="42"/>
      <c r="F139" s="42"/>
      <c r="G139" s="61"/>
      <c r="H139" s="42"/>
    </row>
    <row r="140" spans="1:8" ht="13" x14ac:dyDescent="0.3">
      <c r="A140" s="36"/>
      <c r="C140" s="68"/>
      <c r="D140" s="69"/>
      <c r="E140" s="42"/>
      <c r="F140" s="42"/>
      <c r="G140" s="61"/>
      <c r="H140" s="48"/>
    </row>
    <row r="141" spans="1:8" ht="13" x14ac:dyDescent="0.3">
      <c r="A141" s="36"/>
      <c r="H141" s="42"/>
    </row>
    <row r="142" spans="1:8" ht="13" x14ac:dyDescent="0.3">
      <c r="A142" s="36"/>
      <c r="C142" s="68"/>
      <c r="D142" s="69"/>
      <c r="F142" s="73"/>
      <c r="G142" s="61"/>
      <c r="H142" s="73"/>
    </row>
    <row r="143" spans="1:8" ht="13" x14ac:dyDescent="0.3">
      <c r="A143" s="36"/>
      <c r="B143" s="32"/>
      <c r="C143" s="68"/>
      <c r="D143" s="69"/>
      <c r="F143" s="73"/>
      <c r="G143" s="61"/>
      <c r="H143" s="73"/>
    </row>
    <row r="144" spans="1:8" ht="13" x14ac:dyDescent="0.3">
      <c r="A144" s="37"/>
      <c r="B144" s="32"/>
      <c r="C144" s="68"/>
      <c r="D144" s="69"/>
      <c r="F144" s="73"/>
      <c r="G144" s="61"/>
      <c r="H144" s="73"/>
    </row>
    <row r="145" spans="1:8" ht="13" x14ac:dyDescent="0.3">
      <c r="A145" s="36"/>
      <c r="C145" s="68"/>
      <c r="D145" s="74"/>
      <c r="E145" s="42"/>
      <c r="F145" s="75"/>
      <c r="G145" s="61"/>
      <c r="H145" s="73"/>
    </row>
    <row r="146" spans="1:8" ht="13" x14ac:dyDescent="0.3">
      <c r="A146" s="36"/>
      <c r="C146" s="68"/>
      <c r="D146" s="52"/>
      <c r="E146" s="42"/>
      <c r="F146" s="75"/>
      <c r="G146" s="61"/>
      <c r="H146" s="73"/>
    </row>
    <row r="147" spans="1:8" ht="13" x14ac:dyDescent="0.3">
      <c r="A147" s="36"/>
      <c r="C147" s="68"/>
      <c r="D147" s="52"/>
      <c r="E147" s="48"/>
      <c r="F147" s="75"/>
      <c r="G147" s="61"/>
      <c r="H147" s="73"/>
    </row>
    <row r="148" spans="1:8" ht="13" x14ac:dyDescent="0.3">
      <c r="A148" s="36"/>
      <c r="C148" s="68"/>
      <c r="D148" s="74"/>
      <c r="E148" s="42"/>
      <c r="F148" s="73"/>
      <c r="G148" s="61"/>
      <c r="H148" s="73"/>
    </row>
    <row r="149" spans="1:8" ht="13" x14ac:dyDescent="0.3">
      <c r="A149" s="36"/>
      <c r="C149" s="68"/>
      <c r="D149" s="69"/>
      <c r="F149" s="73"/>
      <c r="G149" s="61"/>
      <c r="H149" s="73"/>
    </row>
    <row r="150" spans="1:8" ht="13" x14ac:dyDescent="0.3">
      <c r="A150" s="36"/>
    </row>
    <row r="151" spans="1:8" ht="13" x14ac:dyDescent="0.3">
      <c r="A151" s="36"/>
    </row>
    <row r="152" spans="1:8" ht="13" x14ac:dyDescent="0.3">
      <c r="A152" s="36"/>
    </row>
    <row r="153" spans="1:8" ht="13" x14ac:dyDescent="0.3">
      <c r="A153" s="36"/>
      <c r="B153" s="32"/>
    </row>
    <row r="154" spans="1:8" ht="13" x14ac:dyDescent="0.3">
      <c r="A154" s="36"/>
    </row>
    <row r="155" spans="1:8" ht="13" x14ac:dyDescent="0.3">
      <c r="A155" s="36"/>
    </row>
    <row r="156" spans="1:8" ht="13" x14ac:dyDescent="0.3">
      <c r="A156" s="36"/>
    </row>
    <row r="157" spans="1:8" ht="13" x14ac:dyDescent="0.3">
      <c r="A157" s="36"/>
    </row>
    <row r="158" spans="1:8" ht="13" x14ac:dyDescent="0.3">
      <c r="A158" s="36"/>
      <c r="B158" s="32"/>
    </row>
    <row r="159" spans="1:8" ht="13" x14ac:dyDescent="0.3">
      <c r="A159" s="36"/>
    </row>
    <row r="160" spans="1:8" ht="13" x14ac:dyDescent="0.3">
      <c r="A160" s="37"/>
      <c r="C160" s="70"/>
      <c r="D160" s="40"/>
    </row>
    <row r="161" spans="1:6" ht="13" x14ac:dyDescent="0.3">
      <c r="A161" s="36"/>
      <c r="C161" s="68"/>
      <c r="D161" s="76"/>
      <c r="F161" s="50"/>
    </row>
    <row r="162" spans="1:6" ht="13" x14ac:dyDescent="0.3">
      <c r="A162" s="36"/>
      <c r="C162" s="68"/>
      <c r="D162" s="76"/>
      <c r="F162" s="50"/>
    </row>
    <row r="163" spans="1:6" ht="13" x14ac:dyDescent="0.3">
      <c r="A163" s="36"/>
      <c r="C163" s="68"/>
      <c r="D163" s="76"/>
      <c r="F163" s="50"/>
    </row>
    <row r="164" spans="1:6" ht="13" x14ac:dyDescent="0.3">
      <c r="A164" s="36"/>
      <c r="C164" s="68"/>
      <c r="D164" s="76"/>
      <c r="F164" s="50"/>
    </row>
    <row r="165" spans="1:6" ht="13" x14ac:dyDescent="0.3">
      <c r="A165" s="36"/>
      <c r="C165" s="68"/>
      <c r="D165" s="76"/>
      <c r="F165" s="50"/>
    </row>
    <row r="166" spans="1:6" ht="13" x14ac:dyDescent="0.3">
      <c r="A166" s="36"/>
      <c r="C166" s="68"/>
      <c r="D166" s="76"/>
      <c r="F166" s="50"/>
    </row>
    <row r="167" spans="1:6" ht="13" x14ac:dyDescent="0.3">
      <c r="A167" s="36"/>
      <c r="C167" s="68"/>
      <c r="D167" s="76"/>
      <c r="F167" s="50"/>
    </row>
    <row r="168" spans="1:6" ht="13" x14ac:dyDescent="0.3">
      <c r="A168" s="36"/>
      <c r="C168" s="68"/>
      <c r="D168" s="76"/>
      <c r="F168" s="50"/>
    </row>
    <row r="169" spans="1:6" ht="13" x14ac:dyDescent="0.3">
      <c r="A169" s="36"/>
      <c r="C169" s="68"/>
      <c r="D169" s="76"/>
      <c r="F169" s="50"/>
    </row>
    <row r="170" spans="1:6" ht="13" x14ac:dyDescent="0.3">
      <c r="A170" s="36"/>
      <c r="C170" s="68"/>
      <c r="D170" s="76"/>
      <c r="F170" s="50"/>
    </row>
    <row r="171" spans="1:6" ht="13" x14ac:dyDescent="0.3">
      <c r="A171" s="36"/>
      <c r="C171" s="68"/>
      <c r="D171" s="76"/>
      <c r="F171" s="50"/>
    </row>
    <row r="172" spans="1:6" ht="13" x14ac:dyDescent="0.3">
      <c r="A172" s="36"/>
      <c r="C172" s="68"/>
      <c r="D172" s="77"/>
      <c r="F172" s="65"/>
    </row>
    <row r="173" spans="1:6" ht="13" x14ac:dyDescent="0.3">
      <c r="A173" s="36"/>
      <c r="C173" s="71"/>
      <c r="D173" s="76"/>
    </row>
  </sheetData>
  <mergeCells count="1">
    <mergeCell ref="K71:M71"/>
  </mergeCells>
  <pageMargins left="0.75" right="0.75" top="1" bottom="1" header="0.5" footer="0.5"/>
  <pageSetup scale="67" orientation="landscape" cellComments="asDisplayed" r:id="rId1"/>
  <headerFooter alignWithMargins="0">
    <oddHeader>&amp;CSchedule 4
True Up TRR
(Revised 2021 True Up TRR)&amp;RTO2024 Draft Annual Update
Attachment 4
WP-Schedule 3-One Time Adj Prior Period
Page &amp;P of &amp;N</oddHeader>
    <oddFooter>&amp;R&amp;A</oddFooter>
  </headerFooter>
  <rowBreaks count="4" manualBreakCount="4">
    <brk id="45" max="16383" man="1"/>
    <brk id="74" max="16383" man="1"/>
    <brk id="120" max="9" man="1"/>
    <brk id="1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91"/>
  <sheetViews>
    <sheetView zoomScaleNormal="100" workbookViewId="0"/>
  </sheetViews>
  <sheetFormatPr defaultColWidth="9.1796875" defaultRowHeight="14.5" x14ac:dyDescent="0.35"/>
  <cols>
    <col min="1" max="1" width="11.54296875" style="1" customWidth="1"/>
    <col min="2" max="2" width="9.1796875" style="1"/>
    <col min="3" max="3" width="8.26953125" style="1" bestFit="1" customWidth="1"/>
    <col min="4" max="4" width="15.54296875" style="1" customWidth="1"/>
    <col min="5" max="5" width="14.1796875" style="1" customWidth="1"/>
    <col min="6" max="6" width="13.7265625" style="1" customWidth="1"/>
    <col min="7" max="7" width="13.54296875" style="1" customWidth="1"/>
    <col min="8" max="8" width="15.54296875" style="1" customWidth="1"/>
    <col min="9" max="9" width="14.1796875" style="1" customWidth="1"/>
    <col min="10" max="10" width="17.7265625" style="1" customWidth="1"/>
    <col min="11" max="11" width="14.1796875" style="1" customWidth="1"/>
    <col min="12" max="12" width="14.54296875" style="1" bestFit="1" customWidth="1"/>
    <col min="13" max="13" width="13.54296875" style="1" bestFit="1" customWidth="1"/>
    <col min="14" max="14" width="15" style="1" customWidth="1"/>
    <col min="15" max="15" width="14.81640625" style="1" customWidth="1"/>
    <col min="16" max="16" width="14.90625" style="1" customWidth="1"/>
    <col min="17" max="17" width="15.36328125" style="1" customWidth="1"/>
    <col min="18" max="18" width="10.7265625" style="1" customWidth="1"/>
    <col min="19" max="19" width="15.08984375" style="1" customWidth="1"/>
    <col min="20" max="20" width="15.453125" style="1" customWidth="1"/>
    <col min="21" max="21" width="13.26953125" style="1" customWidth="1"/>
    <col min="22" max="22" width="11.81640625" style="1" customWidth="1"/>
    <col min="23" max="23" width="15.453125" style="1" customWidth="1"/>
    <col min="24" max="16384" width="9.1796875" style="1"/>
  </cols>
  <sheetData>
    <row r="1" spans="1:23" x14ac:dyDescent="0.35">
      <c r="A1" s="92"/>
      <c r="B1" s="92"/>
      <c r="C1" s="92"/>
      <c r="D1" s="92"/>
      <c r="E1" s="92"/>
      <c r="F1" s="92"/>
      <c r="G1" s="92"/>
      <c r="H1" s="92"/>
      <c r="I1" s="92"/>
      <c r="J1" s="92"/>
      <c r="K1" s="92"/>
    </row>
    <row r="2" spans="1:23" ht="15" thickBot="1" x14ac:dyDescent="0.4">
      <c r="A2" s="92"/>
      <c r="B2" s="92"/>
      <c r="C2" s="92"/>
      <c r="D2" s="92"/>
      <c r="E2" s="92"/>
      <c r="F2" s="92"/>
      <c r="G2" s="92"/>
      <c r="H2" s="92"/>
      <c r="I2" s="92"/>
      <c r="J2" s="92"/>
      <c r="K2" s="92"/>
    </row>
    <row r="3" spans="1:23" x14ac:dyDescent="0.35">
      <c r="A3" s="376" t="s">
        <v>27</v>
      </c>
      <c r="B3" s="377"/>
      <c r="C3" s="377"/>
      <c r="D3" s="377"/>
      <c r="E3" s="377"/>
      <c r="F3" s="377"/>
      <c r="G3" s="377"/>
      <c r="H3" s="377"/>
      <c r="I3" s="377"/>
      <c r="J3" s="377"/>
      <c r="K3" s="377"/>
      <c r="L3" s="377"/>
      <c r="M3" s="377"/>
      <c r="N3" s="377"/>
      <c r="O3" s="377"/>
      <c r="P3" s="377"/>
      <c r="Q3" s="377"/>
      <c r="R3" s="377"/>
      <c r="S3" s="377"/>
      <c r="T3" s="377"/>
      <c r="U3" s="377"/>
      <c r="V3" s="377"/>
      <c r="W3" s="378"/>
    </row>
    <row r="4" spans="1:23" ht="15" thickBot="1" x14ac:dyDescent="0.4">
      <c r="A4" s="315"/>
      <c r="B4" s="316"/>
      <c r="C4" s="316"/>
      <c r="D4" s="316"/>
      <c r="E4" s="316"/>
      <c r="F4" s="316"/>
      <c r="G4" s="316"/>
      <c r="H4" s="316"/>
      <c r="I4" s="316"/>
      <c r="J4" s="316"/>
      <c r="K4" s="316"/>
      <c r="L4" s="316"/>
      <c r="M4" s="316"/>
      <c r="N4" s="316"/>
      <c r="O4" s="316"/>
      <c r="P4" s="316"/>
      <c r="Q4" s="316"/>
      <c r="R4" s="316"/>
      <c r="S4" s="316"/>
      <c r="T4" s="316"/>
      <c r="U4" s="316"/>
      <c r="V4" s="316"/>
      <c r="W4" s="379"/>
    </row>
    <row r="5" spans="1:23" ht="32.25" customHeight="1" thickBot="1" x14ac:dyDescent="0.4">
      <c r="A5" s="312" t="s">
        <v>345</v>
      </c>
      <c r="B5" s="313"/>
      <c r="C5" s="313"/>
      <c r="D5" s="313"/>
      <c r="E5" s="313"/>
      <c r="F5" s="313"/>
      <c r="G5" s="314"/>
      <c r="H5" s="312" t="s">
        <v>346</v>
      </c>
      <c r="I5" s="313"/>
      <c r="J5" s="313"/>
      <c r="K5" s="314"/>
      <c r="L5" s="312" t="s">
        <v>158</v>
      </c>
      <c r="M5" s="313"/>
      <c r="N5" s="313"/>
      <c r="O5" s="314"/>
      <c r="P5" s="312" t="s">
        <v>301</v>
      </c>
      <c r="Q5" s="313"/>
      <c r="R5" s="313"/>
      <c r="S5" s="314"/>
      <c r="T5" s="312" t="s">
        <v>347</v>
      </c>
      <c r="U5" s="313"/>
      <c r="V5" s="313"/>
      <c r="W5" s="314"/>
    </row>
    <row r="6" spans="1:23" ht="15" customHeight="1" x14ac:dyDescent="0.35">
      <c r="A6" s="93"/>
      <c r="B6" s="94"/>
      <c r="C6" s="94"/>
      <c r="D6" s="94"/>
      <c r="E6" s="98" t="s">
        <v>19</v>
      </c>
      <c r="F6" s="99"/>
      <c r="G6" s="100"/>
      <c r="H6" s="95"/>
      <c r="I6" s="101" t="s">
        <v>19</v>
      </c>
      <c r="J6" s="102"/>
      <c r="K6" s="103"/>
      <c r="L6" s="95"/>
      <c r="M6" s="101" t="s">
        <v>19</v>
      </c>
      <c r="N6" s="102"/>
      <c r="O6" s="103"/>
      <c r="P6" s="95"/>
      <c r="Q6" s="101" t="s">
        <v>19</v>
      </c>
      <c r="R6" s="102"/>
      <c r="S6" s="103"/>
      <c r="T6" s="95"/>
      <c r="U6" s="101" t="s">
        <v>19</v>
      </c>
      <c r="V6" s="102"/>
      <c r="W6" s="103"/>
    </row>
    <row r="7" spans="1:23" ht="15" customHeight="1" x14ac:dyDescent="0.35">
      <c r="A7" s="96"/>
      <c r="B7" s="95"/>
      <c r="C7" s="95"/>
      <c r="D7" s="95"/>
      <c r="E7" s="101" t="s">
        <v>4</v>
      </c>
      <c r="F7" s="95"/>
      <c r="G7" s="104" t="s">
        <v>19</v>
      </c>
      <c r="H7" s="95"/>
      <c r="I7" s="101" t="s">
        <v>4</v>
      </c>
      <c r="J7" s="95"/>
      <c r="K7" s="104" t="s">
        <v>19</v>
      </c>
      <c r="L7" s="95"/>
      <c r="M7" s="101" t="s">
        <v>4</v>
      </c>
      <c r="N7" s="95"/>
      <c r="O7" s="104" t="s">
        <v>19</v>
      </c>
      <c r="P7" s="95"/>
      <c r="Q7" s="101" t="s">
        <v>4</v>
      </c>
      <c r="R7" s="95"/>
      <c r="S7" s="104" t="s">
        <v>19</v>
      </c>
      <c r="T7" s="95"/>
      <c r="U7" s="101" t="s">
        <v>4</v>
      </c>
      <c r="V7" s="95"/>
      <c r="W7" s="104" t="s">
        <v>19</v>
      </c>
    </row>
    <row r="8" spans="1:23" ht="15" customHeight="1" x14ac:dyDescent="0.35">
      <c r="A8" s="96"/>
      <c r="B8" s="95"/>
      <c r="C8" s="95"/>
      <c r="D8" s="95"/>
      <c r="E8" s="101" t="s">
        <v>5</v>
      </c>
      <c r="F8" s="95"/>
      <c r="G8" s="104" t="s">
        <v>4</v>
      </c>
      <c r="H8" s="95"/>
      <c r="I8" s="101" t="s">
        <v>5</v>
      </c>
      <c r="J8" s="95"/>
      <c r="K8" s="104" t="s">
        <v>4</v>
      </c>
      <c r="L8" s="95"/>
      <c r="M8" s="101" t="s">
        <v>5</v>
      </c>
      <c r="N8" s="95"/>
      <c r="O8" s="104" t="s">
        <v>4</v>
      </c>
      <c r="P8" s="95"/>
      <c r="Q8" s="101" t="s">
        <v>5</v>
      </c>
      <c r="R8" s="95"/>
      <c r="S8" s="104" t="s">
        <v>4</v>
      </c>
      <c r="T8" s="95"/>
      <c r="U8" s="101" t="s">
        <v>5</v>
      </c>
      <c r="V8" s="95"/>
      <c r="W8" s="104" t="s">
        <v>4</v>
      </c>
    </row>
    <row r="9" spans="1:23" ht="15" customHeight="1" x14ac:dyDescent="0.35">
      <c r="A9" s="105"/>
      <c r="B9" s="106"/>
      <c r="C9" s="107" t="s">
        <v>1</v>
      </c>
      <c r="D9" s="101" t="s">
        <v>1</v>
      </c>
      <c r="E9" s="101" t="s">
        <v>2</v>
      </c>
      <c r="F9" s="108" t="s">
        <v>3</v>
      </c>
      <c r="G9" s="104" t="s">
        <v>5</v>
      </c>
      <c r="H9" s="101" t="s">
        <v>1</v>
      </c>
      <c r="I9" s="101" t="s">
        <v>2</v>
      </c>
      <c r="J9" s="108" t="s">
        <v>3</v>
      </c>
      <c r="K9" s="104" t="s">
        <v>5</v>
      </c>
      <c r="L9" s="101" t="s">
        <v>1</v>
      </c>
      <c r="M9" s="101" t="s">
        <v>2</v>
      </c>
      <c r="N9" s="108" t="s">
        <v>3</v>
      </c>
      <c r="O9" s="104" t="s">
        <v>5</v>
      </c>
      <c r="P9" s="101" t="s">
        <v>1</v>
      </c>
      <c r="Q9" s="101" t="s">
        <v>2</v>
      </c>
      <c r="R9" s="108" t="s">
        <v>3</v>
      </c>
      <c r="S9" s="104" t="s">
        <v>5</v>
      </c>
      <c r="T9" s="101" t="s">
        <v>1</v>
      </c>
      <c r="U9" s="101" t="s">
        <v>2</v>
      </c>
      <c r="V9" s="108" t="s">
        <v>3</v>
      </c>
      <c r="W9" s="104" t="s">
        <v>5</v>
      </c>
    </row>
    <row r="10" spans="1:23" ht="15" customHeight="1" x14ac:dyDescent="0.35">
      <c r="A10" s="105"/>
      <c r="B10" s="106"/>
      <c r="C10" s="108" t="s">
        <v>3</v>
      </c>
      <c r="D10" s="101" t="s">
        <v>20</v>
      </c>
      <c r="E10" s="101" t="s">
        <v>22</v>
      </c>
      <c r="F10" s="101" t="s">
        <v>23</v>
      </c>
      <c r="G10" s="104" t="s">
        <v>2</v>
      </c>
      <c r="H10" s="101" t="s">
        <v>20</v>
      </c>
      <c r="I10" s="101" t="s">
        <v>22</v>
      </c>
      <c r="J10" s="101" t="s">
        <v>23</v>
      </c>
      <c r="K10" s="104" t="s">
        <v>2</v>
      </c>
      <c r="L10" s="101" t="s">
        <v>20</v>
      </c>
      <c r="M10" s="101" t="s">
        <v>22</v>
      </c>
      <c r="N10" s="101" t="s">
        <v>23</v>
      </c>
      <c r="O10" s="104" t="s">
        <v>2</v>
      </c>
      <c r="P10" s="101" t="s">
        <v>20</v>
      </c>
      <c r="Q10" s="101" t="s">
        <v>22</v>
      </c>
      <c r="R10" s="101" t="s">
        <v>23</v>
      </c>
      <c r="S10" s="104" t="s">
        <v>2</v>
      </c>
      <c r="T10" s="101" t="s">
        <v>20</v>
      </c>
      <c r="U10" s="101" t="s">
        <v>22</v>
      </c>
      <c r="V10" s="101" t="s">
        <v>23</v>
      </c>
      <c r="W10" s="104" t="s">
        <v>2</v>
      </c>
    </row>
    <row r="11" spans="1:23" ht="15.75" customHeight="1" x14ac:dyDescent="0.35">
      <c r="A11" s="109" t="s">
        <v>16</v>
      </c>
      <c r="B11" s="110" t="s">
        <v>17</v>
      </c>
      <c r="C11" s="110" t="s">
        <v>0</v>
      </c>
      <c r="D11" s="111" t="s">
        <v>26</v>
      </c>
      <c r="E11" s="111" t="s">
        <v>24</v>
      </c>
      <c r="F11" s="111" t="s">
        <v>16</v>
      </c>
      <c r="G11" s="112" t="s">
        <v>21</v>
      </c>
      <c r="H11" s="111" t="s">
        <v>26</v>
      </c>
      <c r="I11" s="111" t="s">
        <v>24</v>
      </c>
      <c r="J11" s="111" t="s">
        <v>16</v>
      </c>
      <c r="K11" s="112" t="s">
        <v>21</v>
      </c>
      <c r="L11" s="111" t="s">
        <v>26</v>
      </c>
      <c r="M11" s="111" t="s">
        <v>24</v>
      </c>
      <c r="N11" s="111" t="s">
        <v>16</v>
      </c>
      <c r="O11" s="112" t="s">
        <v>21</v>
      </c>
      <c r="P11" s="111" t="s">
        <v>26</v>
      </c>
      <c r="Q11" s="111" t="s">
        <v>24</v>
      </c>
      <c r="R11" s="111" t="s">
        <v>16</v>
      </c>
      <c r="S11" s="112" t="s">
        <v>21</v>
      </c>
      <c r="T11" s="111" t="s">
        <v>26</v>
      </c>
      <c r="U11" s="111" t="s">
        <v>24</v>
      </c>
      <c r="V11" s="111" t="s">
        <v>16</v>
      </c>
      <c r="W11" s="112" t="s">
        <v>21</v>
      </c>
    </row>
    <row r="12" spans="1:23" ht="15.75" customHeight="1" x14ac:dyDescent="0.35">
      <c r="A12" s="235" t="s">
        <v>7</v>
      </c>
      <c r="B12" s="236" t="s">
        <v>343</v>
      </c>
      <c r="C12" s="365">
        <v>2.8999999999999998E-3</v>
      </c>
      <c r="D12" s="237">
        <f>'WP-2017 True Up TRR Adj'!E8/12</f>
        <v>-421.01557275652885</v>
      </c>
      <c r="E12" s="252">
        <f>D12</f>
        <v>-421.01557275652885</v>
      </c>
      <c r="F12" s="252">
        <f>((E12)/2)*$C12</f>
        <v>-0.61047258049696684</v>
      </c>
      <c r="G12" s="253">
        <f>E12+F12</f>
        <v>-421.6260453370258</v>
      </c>
      <c r="H12" s="113">
        <v>0</v>
      </c>
      <c r="I12" s="252">
        <f>H12</f>
        <v>0</v>
      </c>
      <c r="J12" s="252">
        <f>((I12)/2)*$C12</f>
        <v>0</v>
      </c>
      <c r="K12" s="253">
        <f>I12+J12</f>
        <v>0</v>
      </c>
      <c r="L12" s="113">
        <v>0</v>
      </c>
      <c r="M12" s="252">
        <f>L12</f>
        <v>0</v>
      </c>
      <c r="N12" s="252">
        <f>((M12)/2)*$C12</f>
        <v>0</v>
      </c>
      <c r="O12" s="253">
        <f>M12+N12</f>
        <v>0</v>
      </c>
      <c r="P12" s="113">
        <v>0</v>
      </c>
      <c r="Q12" s="252">
        <f>P12</f>
        <v>0</v>
      </c>
      <c r="R12" s="252">
        <f>((Q12)/2)*$C12</f>
        <v>0</v>
      </c>
      <c r="S12" s="253">
        <f>Q12+R12</f>
        <v>0</v>
      </c>
      <c r="T12" s="240"/>
      <c r="U12" s="252">
        <f>T12</f>
        <v>0</v>
      </c>
      <c r="V12" s="252">
        <f>((U12)/2)*$C12</f>
        <v>0</v>
      </c>
      <c r="W12" s="253">
        <f>U12+V12</f>
        <v>0</v>
      </c>
    </row>
    <row r="13" spans="1:23" ht="15.75" customHeight="1" x14ac:dyDescent="0.35">
      <c r="A13" s="235" t="s">
        <v>8</v>
      </c>
      <c r="B13" s="236" t="s">
        <v>343</v>
      </c>
      <c r="C13" s="365">
        <v>2.8999999999999998E-3</v>
      </c>
      <c r="D13" s="237">
        <f>D12</f>
        <v>-421.01557275652885</v>
      </c>
      <c r="E13" s="252">
        <f>D13+G12</f>
        <v>-842.6416180935546</v>
      </c>
      <c r="F13" s="252">
        <f>(((E13+G12))/2)*$C13</f>
        <v>-1.8331881119743414</v>
      </c>
      <c r="G13" s="253">
        <f>E13+F13</f>
        <v>-844.47480620552892</v>
      </c>
      <c r="H13" s="113">
        <v>0</v>
      </c>
      <c r="I13" s="252">
        <f>H13+K12</f>
        <v>0</v>
      </c>
      <c r="J13" s="252">
        <f>(((I13+K12))/2)*$C13</f>
        <v>0</v>
      </c>
      <c r="K13" s="253">
        <f>I13+J13</f>
        <v>0</v>
      </c>
      <c r="L13" s="113">
        <v>0</v>
      </c>
      <c r="M13" s="252">
        <f>L13+O12</f>
        <v>0</v>
      </c>
      <c r="N13" s="252">
        <f>(((M13+O12))/2)*$C13</f>
        <v>0</v>
      </c>
      <c r="O13" s="253">
        <f>M13+N13</f>
        <v>0</v>
      </c>
      <c r="P13" s="113">
        <v>0</v>
      </c>
      <c r="Q13" s="252">
        <f>P13+S12</f>
        <v>0</v>
      </c>
      <c r="R13" s="252">
        <f>(((Q13+S12))/2)*$C13</f>
        <v>0</v>
      </c>
      <c r="S13" s="253">
        <f>Q13+R13</f>
        <v>0</v>
      </c>
      <c r="T13" s="240"/>
      <c r="U13" s="252">
        <f>T13+W12</f>
        <v>0</v>
      </c>
      <c r="V13" s="252">
        <f>(((U13+W12))/2)*$C13</f>
        <v>0</v>
      </c>
      <c r="W13" s="253">
        <f>U13+V13</f>
        <v>0</v>
      </c>
    </row>
    <row r="14" spans="1:23" ht="15.75" customHeight="1" x14ac:dyDescent="0.35">
      <c r="A14" s="235" t="s">
        <v>18</v>
      </c>
      <c r="B14" s="236" t="s">
        <v>343</v>
      </c>
      <c r="C14" s="365">
        <v>2.8999999999999998E-3</v>
      </c>
      <c r="D14" s="237">
        <f t="shared" ref="D14:D23" si="0">D13</f>
        <v>-421.01557275652885</v>
      </c>
      <c r="E14" s="238">
        <f t="shared" ref="E14:E35" si="1">D14+G13</f>
        <v>-1265.4903789620578</v>
      </c>
      <c r="F14" s="238">
        <f t="shared" ref="F14:F35" si="2">(((E14+G13))/2)*$C14</f>
        <v>-3.0594495184930004</v>
      </c>
      <c r="G14" s="239">
        <f t="shared" ref="G14:G23" si="3">E14+F14</f>
        <v>-1268.5498284805508</v>
      </c>
      <c r="H14" s="113">
        <v>0</v>
      </c>
      <c r="I14" s="252">
        <f t="shared" ref="I14:I71" si="4">H14+K13</f>
        <v>0</v>
      </c>
      <c r="J14" s="252">
        <f t="shared" ref="J14:J71" si="5">(((I14+K13))/2)*$C14</f>
        <v>0</v>
      </c>
      <c r="K14" s="253">
        <f t="shared" ref="K14:K71" si="6">I14+J14</f>
        <v>0</v>
      </c>
      <c r="L14" s="113">
        <v>0</v>
      </c>
      <c r="M14" s="238">
        <f>L14+O13</f>
        <v>0</v>
      </c>
      <c r="N14" s="238">
        <f>(((M14+O13))/2)*$C14</f>
        <v>0</v>
      </c>
      <c r="O14" s="239">
        <f>M14+N14</f>
        <v>0</v>
      </c>
      <c r="P14" s="113">
        <v>0</v>
      </c>
      <c r="Q14" s="238">
        <f>P14+S13</f>
        <v>0</v>
      </c>
      <c r="R14" s="238">
        <f>(((Q14+S13))/2)*$C14</f>
        <v>0</v>
      </c>
      <c r="S14" s="239">
        <f>Q14+R14</f>
        <v>0</v>
      </c>
      <c r="T14" s="240"/>
      <c r="U14" s="238">
        <f>T14+W13</f>
        <v>0</v>
      </c>
      <c r="V14" s="238">
        <f>(((U14+W13))/2)*$C14</f>
        <v>0</v>
      </c>
      <c r="W14" s="239">
        <f>U14+V14</f>
        <v>0</v>
      </c>
    </row>
    <row r="15" spans="1:23" ht="15.75" customHeight="1" x14ac:dyDescent="0.35">
      <c r="A15" s="235" t="s">
        <v>9</v>
      </c>
      <c r="B15" s="236" t="s">
        <v>343</v>
      </c>
      <c r="C15" s="365">
        <v>3.0999999999999999E-3</v>
      </c>
      <c r="D15" s="237">
        <f t="shared" si="0"/>
        <v>-421.01557275652885</v>
      </c>
      <c r="E15" s="238">
        <f t="shared" si="1"/>
        <v>-1689.5654012370796</v>
      </c>
      <c r="F15" s="238">
        <f t="shared" si="2"/>
        <v>-4.5850786060623268</v>
      </c>
      <c r="G15" s="239">
        <f t="shared" si="3"/>
        <v>-1694.150479843142</v>
      </c>
      <c r="H15" s="113">
        <v>0</v>
      </c>
      <c r="I15" s="252">
        <f t="shared" si="4"/>
        <v>0</v>
      </c>
      <c r="J15" s="252">
        <f t="shared" si="5"/>
        <v>0</v>
      </c>
      <c r="K15" s="253">
        <f t="shared" si="6"/>
        <v>0</v>
      </c>
      <c r="L15" s="113">
        <v>0</v>
      </c>
      <c r="M15" s="238">
        <f t="shared" ref="M15:M71" si="7">L15+O14</f>
        <v>0</v>
      </c>
      <c r="N15" s="238">
        <f t="shared" ref="N15:N71" si="8">(((M15+O14))/2)*$C15</f>
        <v>0</v>
      </c>
      <c r="O15" s="239">
        <f t="shared" ref="O15:O71" si="9">M15+N15</f>
        <v>0</v>
      </c>
      <c r="P15" s="113">
        <v>0</v>
      </c>
      <c r="Q15" s="238">
        <f t="shared" ref="Q15:Q71" si="10">P15+S14</f>
        <v>0</v>
      </c>
      <c r="R15" s="238">
        <f t="shared" ref="R15:R71" si="11">(((Q15+S14))/2)*$C15</f>
        <v>0</v>
      </c>
      <c r="S15" s="239">
        <f t="shared" ref="S15:S71" si="12">Q15+R15</f>
        <v>0</v>
      </c>
      <c r="T15" s="240"/>
      <c r="U15" s="238">
        <f t="shared" ref="U15:U71" si="13">T15+W14</f>
        <v>0</v>
      </c>
      <c r="V15" s="238">
        <f t="shared" ref="V15:V71" si="14">(((U15+W14))/2)*$C15</f>
        <v>0</v>
      </c>
      <c r="W15" s="239">
        <f t="shared" ref="W15:W71" si="15">U15+V15</f>
        <v>0</v>
      </c>
    </row>
    <row r="16" spans="1:23" ht="15.75" customHeight="1" x14ac:dyDescent="0.35">
      <c r="A16" s="235" t="s">
        <v>10</v>
      </c>
      <c r="B16" s="236" t="s">
        <v>343</v>
      </c>
      <c r="C16" s="365">
        <v>3.0999999999999999E-3</v>
      </c>
      <c r="D16" s="237">
        <f t="shared" si="0"/>
        <v>-421.01557275652885</v>
      </c>
      <c r="E16" s="238">
        <f t="shared" si="1"/>
        <v>-2115.1660525996708</v>
      </c>
      <c r="F16" s="238">
        <f t="shared" si="2"/>
        <v>-5.9044406252863597</v>
      </c>
      <c r="G16" s="239">
        <f t="shared" si="3"/>
        <v>-2121.0704932249573</v>
      </c>
      <c r="H16" s="113">
        <v>0</v>
      </c>
      <c r="I16" s="252">
        <f t="shared" si="4"/>
        <v>0</v>
      </c>
      <c r="J16" s="252">
        <f t="shared" si="5"/>
        <v>0</v>
      </c>
      <c r="K16" s="253">
        <f t="shared" si="6"/>
        <v>0</v>
      </c>
      <c r="L16" s="113">
        <v>0</v>
      </c>
      <c r="M16" s="238">
        <f t="shared" si="7"/>
        <v>0</v>
      </c>
      <c r="N16" s="238">
        <f t="shared" si="8"/>
        <v>0</v>
      </c>
      <c r="O16" s="239">
        <f t="shared" si="9"/>
        <v>0</v>
      </c>
      <c r="P16" s="113">
        <v>0</v>
      </c>
      <c r="Q16" s="238">
        <f t="shared" si="10"/>
        <v>0</v>
      </c>
      <c r="R16" s="238">
        <f t="shared" si="11"/>
        <v>0</v>
      </c>
      <c r="S16" s="239">
        <f t="shared" si="12"/>
        <v>0</v>
      </c>
      <c r="T16" s="240"/>
      <c r="U16" s="238">
        <f t="shared" si="13"/>
        <v>0</v>
      </c>
      <c r="V16" s="238">
        <f t="shared" si="14"/>
        <v>0</v>
      </c>
      <c r="W16" s="239">
        <f t="shared" si="15"/>
        <v>0</v>
      </c>
    </row>
    <row r="17" spans="1:23" ht="15.75" customHeight="1" x14ac:dyDescent="0.35">
      <c r="A17" s="235" t="s">
        <v>25</v>
      </c>
      <c r="B17" s="236" t="s">
        <v>343</v>
      </c>
      <c r="C17" s="365">
        <v>3.0999999999999999E-3</v>
      </c>
      <c r="D17" s="237">
        <f t="shared" si="0"/>
        <v>-421.01557275652885</v>
      </c>
      <c r="E17" s="238">
        <f t="shared" si="1"/>
        <v>-2542.0860659814862</v>
      </c>
      <c r="F17" s="238">
        <f t="shared" si="2"/>
        <v>-7.2278926667699874</v>
      </c>
      <c r="G17" s="239">
        <f t="shared" si="3"/>
        <v>-2549.3139586482562</v>
      </c>
      <c r="H17" s="113">
        <v>0</v>
      </c>
      <c r="I17" s="252">
        <f t="shared" si="4"/>
        <v>0</v>
      </c>
      <c r="J17" s="252">
        <f t="shared" si="5"/>
        <v>0</v>
      </c>
      <c r="K17" s="253">
        <f t="shared" si="6"/>
        <v>0</v>
      </c>
      <c r="L17" s="113">
        <v>0</v>
      </c>
      <c r="M17" s="238">
        <f t="shared" si="7"/>
        <v>0</v>
      </c>
      <c r="N17" s="238">
        <f t="shared" si="8"/>
        <v>0</v>
      </c>
      <c r="O17" s="239">
        <f t="shared" si="9"/>
        <v>0</v>
      </c>
      <c r="P17" s="113">
        <v>0</v>
      </c>
      <c r="Q17" s="238">
        <f t="shared" si="10"/>
        <v>0</v>
      </c>
      <c r="R17" s="238">
        <f t="shared" si="11"/>
        <v>0</v>
      </c>
      <c r="S17" s="239">
        <f t="shared" si="12"/>
        <v>0</v>
      </c>
      <c r="T17" s="240"/>
      <c r="U17" s="238">
        <f t="shared" si="13"/>
        <v>0</v>
      </c>
      <c r="V17" s="238">
        <f t="shared" si="14"/>
        <v>0</v>
      </c>
      <c r="W17" s="239">
        <f t="shared" si="15"/>
        <v>0</v>
      </c>
    </row>
    <row r="18" spans="1:23" ht="15.75" customHeight="1" x14ac:dyDescent="0.35">
      <c r="A18" s="235" t="s">
        <v>11</v>
      </c>
      <c r="B18" s="236" t="s">
        <v>343</v>
      </c>
      <c r="C18" s="365">
        <v>3.3E-3</v>
      </c>
      <c r="D18" s="237">
        <f t="shared" si="0"/>
        <v>-421.01557275652885</v>
      </c>
      <c r="E18" s="238">
        <f t="shared" si="1"/>
        <v>-2970.329531404785</v>
      </c>
      <c r="F18" s="238">
        <f t="shared" si="2"/>
        <v>-9.1074117585875172</v>
      </c>
      <c r="G18" s="239">
        <f t="shared" si="3"/>
        <v>-2979.4369431633727</v>
      </c>
      <c r="H18" s="113">
        <v>0</v>
      </c>
      <c r="I18" s="252">
        <f t="shared" si="4"/>
        <v>0</v>
      </c>
      <c r="J18" s="252">
        <f t="shared" si="5"/>
        <v>0</v>
      </c>
      <c r="K18" s="253">
        <f t="shared" si="6"/>
        <v>0</v>
      </c>
      <c r="L18" s="113">
        <v>0</v>
      </c>
      <c r="M18" s="238">
        <f t="shared" si="7"/>
        <v>0</v>
      </c>
      <c r="N18" s="238">
        <f t="shared" si="8"/>
        <v>0</v>
      </c>
      <c r="O18" s="239">
        <f t="shared" si="9"/>
        <v>0</v>
      </c>
      <c r="P18" s="113">
        <v>0</v>
      </c>
      <c r="Q18" s="238">
        <f t="shared" si="10"/>
        <v>0</v>
      </c>
      <c r="R18" s="238">
        <f t="shared" si="11"/>
        <v>0</v>
      </c>
      <c r="S18" s="239">
        <f t="shared" si="12"/>
        <v>0</v>
      </c>
      <c r="T18" s="240"/>
      <c r="U18" s="238">
        <f t="shared" si="13"/>
        <v>0</v>
      </c>
      <c r="V18" s="238">
        <f t="shared" si="14"/>
        <v>0</v>
      </c>
      <c r="W18" s="239">
        <f t="shared" si="15"/>
        <v>0</v>
      </c>
    </row>
    <row r="19" spans="1:23" ht="15.75" customHeight="1" x14ac:dyDescent="0.35">
      <c r="A19" s="235" t="s">
        <v>12</v>
      </c>
      <c r="B19" s="236" t="s">
        <v>343</v>
      </c>
      <c r="C19" s="365">
        <v>3.3E-3</v>
      </c>
      <c r="D19" s="237">
        <f t="shared" si="0"/>
        <v>-421.01557275652885</v>
      </c>
      <c r="E19" s="238">
        <f t="shared" si="1"/>
        <v>-3400.4525159199015</v>
      </c>
      <c r="F19" s="238">
        <f t="shared" si="2"/>
        <v>-10.526817607487402</v>
      </c>
      <c r="G19" s="239">
        <f t="shared" si="3"/>
        <v>-3410.9793335273889</v>
      </c>
      <c r="H19" s="113">
        <v>0</v>
      </c>
      <c r="I19" s="252">
        <f t="shared" si="4"/>
        <v>0</v>
      </c>
      <c r="J19" s="252">
        <f t="shared" si="5"/>
        <v>0</v>
      </c>
      <c r="K19" s="253">
        <f t="shared" si="6"/>
        <v>0</v>
      </c>
      <c r="L19" s="113">
        <v>0</v>
      </c>
      <c r="M19" s="238">
        <f t="shared" si="7"/>
        <v>0</v>
      </c>
      <c r="N19" s="238">
        <f t="shared" si="8"/>
        <v>0</v>
      </c>
      <c r="O19" s="239">
        <f t="shared" si="9"/>
        <v>0</v>
      </c>
      <c r="P19" s="113">
        <v>0</v>
      </c>
      <c r="Q19" s="238">
        <f t="shared" si="10"/>
        <v>0</v>
      </c>
      <c r="R19" s="238">
        <f t="shared" si="11"/>
        <v>0</v>
      </c>
      <c r="S19" s="239">
        <f t="shared" si="12"/>
        <v>0</v>
      </c>
      <c r="T19" s="240"/>
      <c r="U19" s="238">
        <f t="shared" si="13"/>
        <v>0</v>
      </c>
      <c r="V19" s="238">
        <f t="shared" si="14"/>
        <v>0</v>
      </c>
      <c r="W19" s="239">
        <f t="shared" si="15"/>
        <v>0</v>
      </c>
    </row>
    <row r="20" spans="1:23" ht="15.75" customHeight="1" x14ac:dyDescent="0.35">
      <c r="A20" s="235" t="s">
        <v>13</v>
      </c>
      <c r="B20" s="236" t="s">
        <v>343</v>
      </c>
      <c r="C20" s="365">
        <v>3.3E-3</v>
      </c>
      <c r="D20" s="237">
        <f t="shared" si="0"/>
        <v>-421.01557275652885</v>
      </c>
      <c r="E20" s="238">
        <f t="shared" si="1"/>
        <v>-3831.9949062839178</v>
      </c>
      <c r="F20" s="238">
        <f t="shared" si="2"/>
        <v>-11.950907495688655</v>
      </c>
      <c r="G20" s="239">
        <f t="shared" si="3"/>
        <v>-3843.9458137796064</v>
      </c>
      <c r="H20" s="113">
        <v>0</v>
      </c>
      <c r="I20" s="252">
        <f t="shared" si="4"/>
        <v>0</v>
      </c>
      <c r="J20" s="252">
        <f t="shared" si="5"/>
        <v>0</v>
      </c>
      <c r="K20" s="253">
        <f t="shared" si="6"/>
        <v>0</v>
      </c>
      <c r="L20" s="113">
        <v>0</v>
      </c>
      <c r="M20" s="238">
        <f t="shared" si="7"/>
        <v>0</v>
      </c>
      <c r="N20" s="238">
        <f t="shared" si="8"/>
        <v>0</v>
      </c>
      <c r="O20" s="239">
        <f t="shared" si="9"/>
        <v>0</v>
      </c>
      <c r="P20" s="113">
        <v>0</v>
      </c>
      <c r="Q20" s="238">
        <f t="shared" si="10"/>
        <v>0</v>
      </c>
      <c r="R20" s="238">
        <f t="shared" si="11"/>
        <v>0</v>
      </c>
      <c r="S20" s="239">
        <f t="shared" si="12"/>
        <v>0</v>
      </c>
      <c r="T20" s="240"/>
      <c r="U20" s="238">
        <f t="shared" si="13"/>
        <v>0</v>
      </c>
      <c r="V20" s="238">
        <f t="shared" si="14"/>
        <v>0</v>
      </c>
      <c r="W20" s="239">
        <f t="shared" si="15"/>
        <v>0</v>
      </c>
    </row>
    <row r="21" spans="1:23" ht="15.75" customHeight="1" x14ac:dyDescent="0.35">
      <c r="A21" s="235" t="s">
        <v>15</v>
      </c>
      <c r="B21" s="236" t="s">
        <v>343</v>
      </c>
      <c r="C21" s="365">
        <v>3.5000000000000001E-3</v>
      </c>
      <c r="D21" s="237">
        <f t="shared" si="0"/>
        <v>-421.01557275652885</v>
      </c>
      <c r="E21" s="238">
        <f t="shared" si="1"/>
        <v>-4264.9613865361353</v>
      </c>
      <c r="F21" s="238">
        <f t="shared" si="2"/>
        <v>-14.190587600552549</v>
      </c>
      <c r="G21" s="239">
        <f t="shared" si="3"/>
        <v>-4279.1519741366874</v>
      </c>
      <c r="H21" s="113">
        <v>0</v>
      </c>
      <c r="I21" s="252">
        <f t="shared" si="4"/>
        <v>0</v>
      </c>
      <c r="J21" s="252">
        <f t="shared" si="5"/>
        <v>0</v>
      </c>
      <c r="K21" s="253">
        <f t="shared" si="6"/>
        <v>0</v>
      </c>
      <c r="L21" s="113">
        <v>0</v>
      </c>
      <c r="M21" s="238">
        <f t="shared" si="7"/>
        <v>0</v>
      </c>
      <c r="N21" s="238">
        <f t="shared" si="8"/>
        <v>0</v>
      </c>
      <c r="O21" s="239">
        <f t="shared" si="9"/>
        <v>0</v>
      </c>
      <c r="P21" s="113">
        <v>0</v>
      </c>
      <c r="Q21" s="238">
        <f t="shared" si="10"/>
        <v>0</v>
      </c>
      <c r="R21" s="238">
        <f t="shared" si="11"/>
        <v>0</v>
      </c>
      <c r="S21" s="239">
        <f t="shared" si="12"/>
        <v>0</v>
      </c>
      <c r="T21" s="240"/>
      <c r="U21" s="238">
        <f t="shared" si="13"/>
        <v>0</v>
      </c>
      <c r="V21" s="238">
        <f t="shared" si="14"/>
        <v>0</v>
      </c>
      <c r="W21" s="239">
        <f t="shared" si="15"/>
        <v>0</v>
      </c>
    </row>
    <row r="22" spans="1:23" ht="15.75" customHeight="1" x14ac:dyDescent="0.35">
      <c r="A22" s="235" t="s">
        <v>14</v>
      </c>
      <c r="B22" s="236" t="s">
        <v>343</v>
      </c>
      <c r="C22" s="365">
        <v>3.5000000000000001E-3</v>
      </c>
      <c r="D22" s="237">
        <f t="shared" si="0"/>
        <v>-421.01557275652885</v>
      </c>
      <c r="E22" s="238">
        <f t="shared" si="1"/>
        <v>-4700.1675468932162</v>
      </c>
      <c r="F22" s="238">
        <f t="shared" si="2"/>
        <v>-15.713809161802331</v>
      </c>
      <c r="G22" s="239">
        <f t="shared" si="3"/>
        <v>-4715.8813560550188</v>
      </c>
      <c r="H22" s="113">
        <v>0</v>
      </c>
      <c r="I22" s="252">
        <f t="shared" si="4"/>
        <v>0</v>
      </c>
      <c r="J22" s="252">
        <f t="shared" si="5"/>
        <v>0</v>
      </c>
      <c r="K22" s="253">
        <f t="shared" si="6"/>
        <v>0</v>
      </c>
      <c r="L22" s="113">
        <v>0</v>
      </c>
      <c r="M22" s="238">
        <f t="shared" si="7"/>
        <v>0</v>
      </c>
      <c r="N22" s="238">
        <f t="shared" si="8"/>
        <v>0</v>
      </c>
      <c r="O22" s="239">
        <f t="shared" si="9"/>
        <v>0</v>
      </c>
      <c r="P22" s="113">
        <v>0</v>
      </c>
      <c r="Q22" s="238">
        <f t="shared" si="10"/>
        <v>0</v>
      </c>
      <c r="R22" s="238">
        <f t="shared" si="11"/>
        <v>0</v>
      </c>
      <c r="S22" s="239">
        <f t="shared" si="12"/>
        <v>0</v>
      </c>
      <c r="T22" s="240"/>
      <c r="U22" s="238">
        <f t="shared" si="13"/>
        <v>0</v>
      </c>
      <c r="V22" s="238">
        <f t="shared" si="14"/>
        <v>0</v>
      </c>
      <c r="W22" s="239">
        <f t="shared" si="15"/>
        <v>0</v>
      </c>
    </row>
    <row r="23" spans="1:23" ht="15.75" customHeight="1" x14ac:dyDescent="0.35">
      <c r="A23" s="235" t="s">
        <v>6</v>
      </c>
      <c r="B23" s="236" t="s">
        <v>343</v>
      </c>
      <c r="C23" s="365">
        <v>3.5000000000000001E-3</v>
      </c>
      <c r="D23" s="237">
        <f t="shared" si="0"/>
        <v>-421.01557275652885</v>
      </c>
      <c r="E23" s="238">
        <f t="shared" si="1"/>
        <v>-5136.8969288115477</v>
      </c>
      <c r="F23" s="238">
        <f t="shared" si="2"/>
        <v>-17.242361998516493</v>
      </c>
      <c r="G23" s="239">
        <f t="shared" si="3"/>
        <v>-5154.1392908100643</v>
      </c>
      <c r="H23" s="114">
        <v>0</v>
      </c>
      <c r="I23" s="252">
        <f t="shared" si="4"/>
        <v>0</v>
      </c>
      <c r="J23" s="252">
        <f t="shared" si="5"/>
        <v>0</v>
      </c>
      <c r="K23" s="253">
        <f t="shared" si="6"/>
        <v>0</v>
      </c>
      <c r="L23" s="114">
        <v>0</v>
      </c>
      <c r="M23" s="238">
        <f t="shared" si="7"/>
        <v>0</v>
      </c>
      <c r="N23" s="238">
        <f t="shared" si="8"/>
        <v>0</v>
      </c>
      <c r="O23" s="239">
        <f t="shared" si="9"/>
        <v>0</v>
      </c>
      <c r="P23" s="114">
        <v>0</v>
      </c>
      <c r="Q23" s="238">
        <f t="shared" si="10"/>
        <v>0</v>
      </c>
      <c r="R23" s="238">
        <f t="shared" si="11"/>
        <v>0</v>
      </c>
      <c r="S23" s="239">
        <f t="shared" si="12"/>
        <v>0</v>
      </c>
      <c r="T23" s="240"/>
      <c r="U23" s="238">
        <f t="shared" si="13"/>
        <v>0</v>
      </c>
      <c r="V23" s="238">
        <f t="shared" si="14"/>
        <v>0</v>
      </c>
      <c r="W23" s="239">
        <f t="shared" si="15"/>
        <v>0</v>
      </c>
    </row>
    <row r="24" spans="1:23" ht="15.75" customHeight="1" x14ac:dyDescent="0.35">
      <c r="A24" s="235" t="s">
        <v>7</v>
      </c>
      <c r="B24" s="236" t="s">
        <v>344</v>
      </c>
      <c r="C24" s="365">
        <v>3.5000000000000001E-3</v>
      </c>
      <c r="D24" s="237">
        <v>0</v>
      </c>
      <c r="E24" s="238">
        <f t="shared" si="1"/>
        <v>-5154.1392908100643</v>
      </c>
      <c r="F24" s="238">
        <f t="shared" si="2"/>
        <v>-18.039487517835227</v>
      </c>
      <c r="G24" s="239">
        <f>E24+F24</f>
        <v>-5172.1787783278996</v>
      </c>
      <c r="H24" s="114">
        <f>'WP-2018 True Up TRR Adj'!$E$8/12</f>
        <v>-1641.0997417171795</v>
      </c>
      <c r="I24" s="252">
        <f t="shared" si="4"/>
        <v>-1641.0997417171795</v>
      </c>
      <c r="J24" s="252">
        <f t="shared" si="5"/>
        <v>-2.8719245480050644</v>
      </c>
      <c r="K24" s="253">
        <f t="shared" si="6"/>
        <v>-1643.9716662651847</v>
      </c>
      <c r="L24" s="113">
        <v>0</v>
      </c>
      <c r="M24" s="238">
        <f t="shared" si="7"/>
        <v>0</v>
      </c>
      <c r="N24" s="238">
        <f t="shared" si="8"/>
        <v>0</v>
      </c>
      <c r="O24" s="239">
        <f t="shared" si="9"/>
        <v>0</v>
      </c>
      <c r="P24" s="113">
        <v>0</v>
      </c>
      <c r="Q24" s="238">
        <f t="shared" si="10"/>
        <v>0</v>
      </c>
      <c r="R24" s="238">
        <f t="shared" si="11"/>
        <v>0</v>
      </c>
      <c r="S24" s="239">
        <f t="shared" si="12"/>
        <v>0</v>
      </c>
      <c r="T24" s="240"/>
      <c r="U24" s="238">
        <f t="shared" si="13"/>
        <v>0</v>
      </c>
      <c r="V24" s="238">
        <f t="shared" si="14"/>
        <v>0</v>
      </c>
      <c r="W24" s="239">
        <f t="shared" si="15"/>
        <v>0</v>
      </c>
    </row>
    <row r="25" spans="1:23" ht="15.75" customHeight="1" x14ac:dyDescent="0.35">
      <c r="A25" s="235" t="s">
        <v>8</v>
      </c>
      <c r="B25" s="236" t="s">
        <v>344</v>
      </c>
      <c r="C25" s="365">
        <v>3.5000000000000001E-3</v>
      </c>
      <c r="D25" s="237">
        <f>D24</f>
        <v>0</v>
      </c>
      <c r="E25" s="238">
        <f t="shared" si="1"/>
        <v>-5172.1787783278996</v>
      </c>
      <c r="F25" s="238">
        <f t="shared" si="2"/>
        <v>-18.10262572414765</v>
      </c>
      <c r="G25" s="239">
        <f t="shared" ref="G25:G35" si="16">E25+F25</f>
        <v>-5190.281404052047</v>
      </c>
      <c r="H25" s="114">
        <f>H24</f>
        <v>-1641.0997417171795</v>
      </c>
      <c r="I25" s="252">
        <f t="shared" si="4"/>
        <v>-3285.0714079823642</v>
      </c>
      <c r="J25" s="252">
        <f t="shared" si="5"/>
        <v>-8.625825379933211</v>
      </c>
      <c r="K25" s="253">
        <f t="shared" si="6"/>
        <v>-3293.6972333622975</v>
      </c>
      <c r="L25" s="113">
        <v>0</v>
      </c>
      <c r="M25" s="238">
        <f t="shared" si="7"/>
        <v>0</v>
      </c>
      <c r="N25" s="238">
        <f t="shared" si="8"/>
        <v>0</v>
      </c>
      <c r="O25" s="239">
        <f t="shared" si="9"/>
        <v>0</v>
      </c>
      <c r="P25" s="113">
        <v>0</v>
      </c>
      <c r="Q25" s="238">
        <f t="shared" si="10"/>
        <v>0</v>
      </c>
      <c r="R25" s="238">
        <f t="shared" si="11"/>
        <v>0</v>
      </c>
      <c r="S25" s="239">
        <f t="shared" si="12"/>
        <v>0</v>
      </c>
      <c r="T25" s="240"/>
      <c r="U25" s="238">
        <f t="shared" si="13"/>
        <v>0</v>
      </c>
      <c r="V25" s="238">
        <f t="shared" si="14"/>
        <v>0</v>
      </c>
      <c r="W25" s="239">
        <f t="shared" si="15"/>
        <v>0</v>
      </c>
    </row>
    <row r="26" spans="1:23" ht="15.75" customHeight="1" x14ac:dyDescent="0.35">
      <c r="A26" s="235" t="s">
        <v>18</v>
      </c>
      <c r="B26" s="236" t="s">
        <v>344</v>
      </c>
      <c r="C26" s="365">
        <v>3.5000000000000001E-3</v>
      </c>
      <c r="D26" s="237">
        <f t="shared" ref="D26:D34" si="17">D25</f>
        <v>0</v>
      </c>
      <c r="E26" s="238">
        <f t="shared" si="1"/>
        <v>-5190.281404052047</v>
      </c>
      <c r="F26" s="238">
        <f t="shared" si="2"/>
        <v>-18.165984914182165</v>
      </c>
      <c r="G26" s="239">
        <f t="shared" si="16"/>
        <v>-5208.4473889662295</v>
      </c>
      <c r="H26" s="114">
        <f t="shared" ref="H26:H35" si="18">H25</f>
        <v>-1641.0997417171795</v>
      </c>
      <c r="I26" s="252">
        <f t="shared" si="4"/>
        <v>-4934.7969750794773</v>
      </c>
      <c r="J26" s="252">
        <f t="shared" si="5"/>
        <v>-14.399864864773106</v>
      </c>
      <c r="K26" s="253">
        <f t="shared" si="6"/>
        <v>-4949.1968399442503</v>
      </c>
      <c r="L26" s="113">
        <v>0</v>
      </c>
      <c r="M26" s="238">
        <f t="shared" si="7"/>
        <v>0</v>
      </c>
      <c r="N26" s="238">
        <f t="shared" si="8"/>
        <v>0</v>
      </c>
      <c r="O26" s="239">
        <f t="shared" si="9"/>
        <v>0</v>
      </c>
      <c r="P26" s="113">
        <v>0</v>
      </c>
      <c r="Q26" s="238">
        <f t="shared" si="10"/>
        <v>0</v>
      </c>
      <c r="R26" s="238">
        <f t="shared" si="11"/>
        <v>0</v>
      </c>
      <c r="S26" s="239">
        <f t="shared" si="12"/>
        <v>0</v>
      </c>
      <c r="T26" s="240"/>
      <c r="U26" s="238">
        <f t="shared" si="13"/>
        <v>0</v>
      </c>
      <c r="V26" s="238">
        <f t="shared" si="14"/>
        <v>0</v>
      </c>
      <c r="W26" s="239">
        <f t="shared" si="15"/>
        <v>0</v>
      </c>
    </row>
    <row r="27" spans="1:23" ht="15.75" customHeight="1" x14ac:dyDescent="0.35">
      <c r="A27" s="235" t="s">
        <v>9</v>
      </c>
      <c r="B27" s="236" t="s">
        <v>344</v>
      </c>
      <c r="C27" s="365">
        <v>3.7000000000000002E-3</v>
      </c>
      <c r="D27" s="237">
        <f t="shared" si="17"/>
        <v>0</v>
      </c>
      <c r="E27" s="238">
        <f t="shared" si="1"/>
        <v>-5208.4473889662295</v>
      </c>
      <c r="F27" s="238">
        <f t="shared" si="2"/>
        <v>-19.271255339175049</v>
      </c>
      <c r="G27" s="239">
        <f t="shared" si="16"/>
        <v>-5227.7186443054043</v>
      </c>
      <c r="H27" s="114">
        <f t="shared" si="18"/>
        <v>-1641.0997417171795</v>
      </c>
      <c r="I27" s="252">
        <f t="shared" si="4"/>
        <v>-6590.2965816614296</v>
      </c>
      <c r="J27" s="252">
        <f t="shared" si="5"/>
        <v>-21.348062829970509</v>
      </c>
      <c r="K27" s="253">
        <f t="shared" si="6"/>
        <v>-6611.6446444914</v>
      </c>
      <c r="L27" s="113">
        <v>0</v>
      </c>
      <c r="M27" s="238">
        <f t="shared" si="7"/>
        <v>0</v>
      </c>
      <c r="N27" s="238">
        <f t="shared" si="8"/>
        <v>0</v>
      </c>
      <c r="O27" s="239">
        <f t="shared" si="9"/>
        <v>0</v>
      </c>
      <c r="P27" s="113">
        <v>0</v>
      </c>
      <c r="Q27" s="238">
        <f t="shared" si="10"/>
        <v>0</v>
      </c>
      <c r="R27" s="238">
        <f t="shared" si="11"/>
        <v>0</v>
      </c>
      <c r="S27" s="239">
        <f t="shared" si="12"/>
        <v>0</v>
      </c>
      <c r="T27" s="240"/>
      <c r="U27" s="238">
        <f t="shared" si="13"/>
        <v>0</v>
      </c>
      <c r="V27" s="238">
        <f t="shared" si="14"/>
        <v>0</v>
      </c>
      <c r="W27" s="239">
        <f t="shared" si="15"/>
        <v>0</v>
      </c>
    </row>
    <row r="28" spans="1:23" ht="15.75" customHeight="1" x14ac:dyDescent="0.35">
      <c r="A28" s="235" t="s">
        <v>10</v>
      </c>
      <c r="B28" s="236" t="s">
        <v>344</v>
      </c>
      <c r="C28" s="365">
        <v>3.7000000000000002E-3</v>
      </c>
      <c r="D28" s="237">
        <f t="shared" si="17"/>
        <v>0</v>
      </c>
      <c r="E28" s="238">
        <f t="shared" si="1"/>
        <v>-5227.7186443054043</v>
      </c>
      <c r="F28" s="238">
        <f t="shared" si="2"/>
        <v>-19.342558983929997</v>
      </c>
      <c r="G28" s="239">
        <f>E28+F28</f>
        <v>-5247.0612032893341</v>
      </c>
      <c r="H28" s="114">
        <f t="shared" si="18"/>
        <v>-1641.0997417171795</v>
      </c>
      <c r="I28" s="252">
        <f t="shared" si="4"/>
        <v>-8252.7443862085802</v>
      </c>
      <c r="J28" s="252">
        <f t="shared" si="5"/>
        <v>-27.499119706794964</v>
      </c>
      <c r="K28" s="253">
        <f t="shared" si="6"/>
        <v>-8280.2435059153759</v>
      </c>
      <c r="L28" s="113">
        <v>0</v>
      </c>
      <c r="M28" s="238">
        <f t="shared" si="7"/>
        <v>0</v>
      </c>
      <c r="N28" s="238">
        <f t="shared" si="8"/>
        <v>0</v>
      </c>
      <c r="O28" s="239">
        <f t="shared" si="9"/>
        <v>0</v>
      </c>
      <c r="P28" s="113">
        <v>0</v>
      </c>
      <c r="Q28" s="238">
        <f t="shared" si="10"/>
        <v>0</v>
      </c>
      <c r="R28" s="238">
        <f t="shared" si="11"/>
        <v>0</v>
      </c>
      <c r="S28" s="239">
        <f t="shared" si="12"/>
        <v>0</v>
      </c>
      <c r="T28" s="240"/>
      <c r="U28" s="238">
        <f t="shared" si="13"/>
        <v>0</v>
      </c>
      <c r="V28" s="238">
        <f t="shared" si="14"/>
        <v>0</v>
      </c>
      <c r="W28" s="239">
        <f t="shared" si="15"/>
        <v>0</v>
      </c>
    </row>
    <row r="29" spans="1:23" ht="15.75" customHeight="1" x14ac:dyDescent="0.35">
      <c r="A29" s="235" t="s">
        <v>25</v>
      </c>
      <c r="B29" s="236" t="s">
        <v>344</v>
      </c>
      <c r="C29" s="365">
        <v>3.7000000000000002E-3</v>
      </c>
      <c r="D29" s="237">
        <f t="shared" si="17"/>
        <v>0</v>
      </c>
      <c r="E29" s="238">
        <f t="shared" si="1"/>
        <v>-5247.0612032893341</v>
      </c>
      <c r="F29" s="238">
        <f t="shared" si="2"/>
        <v>-19.414126452170539</v>
      </c>
      <c r="G29" s="239">
        <f>E29+F29</f>
        <v>-5266.4753297415045</v>
      </c>
      <c r="H29" s="114">
        <f t="shared" si="18"/>
        <v>-1641.0997417171795</v>
      </c>
      <c r="I29" s="252">
        <f t="shared" si="4"/>
        <v>-9921.3432476325561</v>
      </c>
      <c r="J29" s="252">
        <f t="shared" si="5"/>
        <v>-33.67293549406368</v>
      </c>
      <c r="K29" s="253">
        <f t="shared" si="6"/>
        <v>-9955.0161831266196</v>
      </c>
      <c r="L29" s="113">
        <v>0</v>
      </c>
      <c r="M29" s="238">
        <f t="shared" si="7"/>
        <v>0</v>
      </c>
      <c r="N29" s="238">
        <f t="shared" si="8"/>
        <v>0</v>
      </c>
      <c r="O29" s="239">
        <f t="shared" si="9"/>
        <v>0</v>
      </c>
      <c r="P29" s="113">
        <v>0</v>
      </c>
      <c r="Q29" s="238">
        <f t="shared" si="10"/>
        <v>0</v>
      </c>
      <c r="R29" s="238">
        <f t="shared" si="11"/>
        <v>0</v>
      </c>
      <c r="S29" s="239">
        <f t="shared" si="12"/>
        <v>0</v>
      </c>
      <c r="T29" s="240"/>
      <c r="U29" s="238">
        <f t="shared" si="13"/>
        <v>0</v>
      </c>
      <c r="V29" s="238">
        <f t="shared" si="14"/>
        <v>0</v>
      </c>
      <c r="W29" s="239">
        <f t="shared" si="15"/>
        <v>0</v>
      </c>
    </row>
    <row r="30" spans="1:23" ht="15.75" customHeight="1" x14ac:dyDescent="0.35">
      <c r="A30" s="235" t="s">
        <v>11</v>
      </c>
      <c r="B30" s="236" t="s">
        <v>344</v>
      </c>
      <c r="C30" s="365">
        <v>3.8999999999999998E-3</v>
      </c>
      <c r="D30" s="237">
        <f t="shared" si="17"/>
        <v>0</v>
      </c>
      <c r="E30" s="238">
        <f t="shared" si="1"/>
        <v>-5266.4753297415045</v>
      </c>
      <c r="F30" s="238">
        <f t="shared" si="2"/>
        <v>-20.539253785991868</v>
      </c>
      <c r="G30" s="239">
        <f t="shared" si="16"/>
        <v>-5287.0145835274961</v>
      </c>
      <c r="H30" s="114">
        <f t="shared" si="18"/>
        <v>-1641.0997417171795</v>
      </c>
      <c r="I30" s="252">
        <f t="shared" si="4"/>
        <v>-11596.1159248438</v>
      </c>
      <c r="J30" s="252">
        <f t="shared" si="5"/>
        <v>-42.024707610542322</v>
      </c>
      <c r="K30" s="253">
        <f t="shared" si="6"/>
        <v>-11638.140632454342</v>
      </c>
      <c r="L30" s="113">
        <v>0</v>
      </c>
      <c r="M30" s="238">
        <f t="shared" si="7"/>
        <v>0</v>
      </c>
      <c r="N30" s="238">
        <f t="shared" si="8"/>
        <v>0</v>
      </c>
      <c r="O30" s="239">
        <f t="shared" si="9"/>
        <v>0</v>
      </c>
      <c r="P30" s="113">
        <v>0</v>
      </c>
      <c r="Q30" s="238">
        <f t="shared" si="10"/>
        <v>0</v>
      </c>
      <c r="R30" s="238">
        <f t="shared" si="11"/>
        <v>0</v>
      </c>
      <c r="S30" s="239">
        <f t="shared" si="12"/>
        <v>0</v>
      </c>
      <c r="T30" s="240"/>
      <c r="U30" s="238">
        <f t="shared" si="13"/>
        <v>0</v>
      </c>
      <c r="V30" s="238">
        <f t="shared" si="14"/>
        <v>0</v>
      </c>
      <c r="W30" s="239">
        <f t="shared" si="15"/>
        <v>0</v>
      </c>
    </row>
    <row r="31" spans="1:23" ht="15.75" customHeight="1" x14ac:dyDescent="0.35">
      <c r="A31" s="235" t="s">
        <v>12</v>
      </c>
      <c r="B31" s="236" t="s">
        <v>344</v>
      </c>
      <c r="C31" s="365">
        <v>3.8999999999999998E-3</v>
      </c>
      <c r="D31" s="237">
        <f t="shared" si="17"/>
        <v>0</v>
      </c>
      <c r="E31" s="238">
        <f t="shared" si="1"/>
        <v>-5287.0145835274961</v>
      </c>
      <c r="F31" s="238">
        <f t="shared" si="2"/>
        <v>-20.619356875757234</v>
      </c>
      <c r="G31" s="239">
        <f t="shared" si="16"/>
        <v>-5307.6339404032533</v>
      </c>
      <c r="H31" s="114">
        <f t="shared" si="18"/>
        <v>-1641.0997417171795</v>
      </c>
      <c r="I31" s="252">
        <f t="shared" si="4"/>
        <v>-13279.240374171522</v>
      </c>
      <c r="J31" s="252">
        <f t="shared" si="5"/>
        <v>-48.58889296292044</v>
      </c>
      <c r="K31" s="253">
        <f t="shared" si="6"/>
        <v>-13327.829267134442</v>
      </c>
      <c r="L31" s="113">
        <v>0</v>
      </c>
      <c r="M31" s="238">
        <f t="shared" si="7"/>
        <v>0</v>
      </c>
      <c r="N31" s="238">
        <f t="shared" si="8"/>
        <v>0</v>
      </c>
      <c r="O31" s="239">
        <f t="shared" si="9"/>
        <v>0</v>
      </c>
      <c r="P31" s="113">
        <v>0</v>
      </c>
      <c r="Q31" s="238">
        <f t="shared" si="10"/>
        <v>0</v>
      </c>
      <c r="R31" s="238">
        <f t="shared" si="11"/>
        <v>0</v>
      </c>
      <c r="S31" s="239">
        <f t="shared" si="12"/>
        <v>0</v>
      </c>
      <c r="T31" s="240"/>
      <c r="U31" s="238">
        <f t="shared" si="13"/>
        <v>0</v>
      </c>
      <c r="V31" s="238">
        <f t="shared" si="14"/>
        <v>0</v>
      </c>
      <c r="W31" s="239">
        <f t="shared" si="15"/>
        <v>0</v>
      </c>
    </row>
    <row r="32" spans="1:23" ht="15.75" customHeight="1" x14ac:dyDescent="0.35">
      <c r="A32" s="235" t="s">
        <v>13</v>
      </c>
      <c r="B32" s="236" t="s">
        <v>344</v>
      </c>
      <c r="C32" s="365">
        <v>3.8999999999999998E-3</v>
      </c>
      <c r="D32" s="237">
        <f t="shared" si="17"/>
        <v>0</v>
      </c>
      <c r="E32" s="238">
        <f t="shared" si="1"/>
        <v>-5307.6339404032533</v>
      </c>
      <c r="F32" s="238">
        <f t="shared" si="2"/>
        <v>-20.699772367572688</v>
      </c>
      <c r="G32" s="239">
        <f t="shared" si="16"/>
        <v>-5328.3337127708264</v>
      </c>
      <c r="H32" s="114">
        <f t="shared" si="18"/>
        <v>-1641.0997417171795</v>
      </c>
      <c r="I32" s="252">
        <f t="shared" si="4"/>
        <v>-14968.929008851623</v>
      </c>
      <c r="J32" s="252">
        <f t="shared" si="5"/>
        <v>-55.178678638172826</v>
      </c>
      <c r="K32" s="253">
        <f t="shared" si="6"/>
        <v>-15024.107687489795</v>
      </c>
      <c r="L32" s="113">
        <v>0</v>
      </c>
      <c r="M32" s="238">
        <f t="shared" si="7"/>
        <v>0</v>
      </c>
      <c r="N32" s="238">
        <f t="shared" si="8"/>
        <v>0</v>
      </c>
      <c r="O32" s="239">
        <f t="shared" si="9"/>
        <v>0</v>
      </c>
      <c r="P32" s="113">
        <v>0</v>
      </c>
      <c r="Q32" s="238">
        <f t="shared" si="10"/>
        <v>0</v>
      </c>
      <c r="R32" s="238">
        <f t="shared" si="11"/>
        <v>0</v>
      </c>
      <c r="S32" s="239">
        <f t="shared" si="12"/>
        <v>0</v>
      </c>
      <c r="T32" s="240"/>
      <c r="U32" s="238">
        <f t="shared" si="13"/>
        <v>0</v>
      </c>
      <c r="V32" s="238">
        <f t="shared" si="14"/>
        <v>0</v>
      </c>
      <c r="W32" s="239">
        <f t="shared" si="15"/>
        <v>0</v>
      </c>
    </row>
    <row r="33" spans="1:23" ht="15.75" customHeight="1" x14ac:dyDescent="0.35">
      <c r="A33" s="235" t="s">
        <v>15</v>
      </c>
      <c r="B33" s="236" t="s">
        <v>344</v>
      </c>
      <c r="C33" s="365">
        <v>4.1000000000000003E-3</v>
      </c>
      <c r="D33" s="237">
        <f t="shared" si="17"/>
        <v>0</v>
      </c>
      <c r="E33" s="238">
        <f t="shared" si="1"/>
        <v>-5328.3337127708264</v>
      </c>
      <c r="F33" s="238">
        <f t="shared" si="2"/>
        <v>-21.84616822236039</v>
      </c>
      <c r="G33" s="239">
        <f t="shared" si="16"/>
        <v>-5350.179880993187</v>
      </c>
      <c r="H33" s="114">
        <f t="shared" si="18"/>
        <v>-1641.0997417171795</v>
      </c>
      <c r="I33" s="252">
        <f t="shared" si="4"/>
        <v>-16665.207429206974</v>
      </c>
      <c r="J33" s="252">
        <f t="shared" si="5"/>
        <v>-64.963095989228378</v>
      </c>
      <c r="K33" s="253">
        <f t="shared" si="6"/>
        <v>-16730.170525196201</v>
      </c>
      <c r="L33" s="113">
        <v>0</v>
      </c>
      <c r="M33" s="238">
        <f t="shared" si="7"/>
        <v>0</v>
      </c>
      <c r="N33" s="238">
        <f t="shared" si="8"/>
        <v>0</v>
      </c>
      <c r="O33" s="239">
        <f t="shared" si="9"/>
        <v>0</v>
      </c>
      <c r="P33" s="113">
        <v>0</v>
      </c>
      <c r="Q33" s="238">
        <f t="shared" si="10"/>
        <v>0</v>
      </c>
      <c r="R33" s="238">
        <f t="shared" si="11"/>
        <v>0</v>
      </c>
      <c r="S33" s="239">
        <f t="shared" si="12"/>
        <v>0</v>
      </c>
      <c r="T33" s="240"/>
      <c r="U33" s="238">
        <f t="shared" si="13"/>
        <v>0</v>
      </c>
      <c r="V33" s="238">
        <f t="shared" si="14"/>
        <v>0</v>
      </c>
      <c r="W33" s="239">
        <f t="shared" si="15"/>
        <v>0</v>
      </c>
    </row>
    <row r="34" spans="1:23" ht="15.75" customHeight="1" x14ac:dyDescent="0.35">
      <c r="A34" s="235" t="s">
        <v>14</v>
      </c>
      <c r="B34" s="236" t="s">
        <v>344</v>
      </c>
      <c r="C34" s="365">
        <v>4.1000000000000003E-3</v>
      </c>
      <c r="D34" s="237">
        <f t="shared" si="17"/>
        <v>0</v>
      </c>
      <c r="E34" s="238">
        <f t="shared" si="1"/>
        <v>-5350.179880993187</v>
      </c>
      <c r="F34" s="238">
        <f t="shared" si="2"/>
        <v>-21.93573751207207</v>
      </c>
      <c r="G34" s="239">
        <f t="shared" si="16"/>
        <v>-5372.1156185052587</v>
      </c>
      <c r="H34" s="114">
        <f t="shared" si="18"/>
        <v>-1641.0997417171795</v>
      </c>
      <c r="I34" s="252">
        <f t="shared" si="4"/>
        <v>-18371.27026691338</v>
      </c>
      <c r="J34" s="252">
        <f t="shared" si="5"/>
        <v>-71.95795362382465</v>
      </c>
      <c r="K34" s="253">
        <f t="shared" si="6"/>
        <v>-18443.228220537203</v>
      </c>
      <c r="L34" s="113">
        <v>0</v>
      </c>
      <c r="M34" s="238">
        <f t="shared" si="7"/>
        <v>0</v>
      </c>
      <c r="N34" s="238">
        <f t="shared" si="8"/>
        <v>0</v>
      </c>
      <c r="O34" s="239">
        <f t="shared" si="9"/>
        <v>0</v>
      </c>
      <c r="P34" s="113">
        <v>0</v>
      </c>
      <c r="Q34" s="238">
        <f t="shared" si="10"/>
        <v>0</v>
      </c>
      <c r="R34" s="238">
        <f t="shared" si="11"/>
        <v>0</v>
      </c>
      <c r="S34" s="239">
        <f t="shared" si="12"/>
        <v>0</v>
      </c>
      <c r="T34" s="240"/>
      <c r="U34" s="238">
        <f t="shared" si="13"/>
        <v>0</v>
      </c>
      <c r="V34" s="238">
        <f t="shared" si="14"/>
        <v>0</v>
      </c>
      <c r="W34" s="239">
        <f t="shared" si="15"/>
        <v>0</v>
      </c>
    </row>
    <row r="35" spans="1:23" ht="15.75" customHeight="1" x14ac:dyDescent="0.35">
      <c r="A35" s="235" t="s">
        <v>6</v>
      </c>
      <c r="B35" s="236" t="s">
        <v>344</v>
      </c>
      <c r="C35" s="365">
        <v>4.1000000000000003E-3</v>
      </c>
      <c r="D35" s="237">
        <f>D34</f>
        <v>0</v>
      </c>
      <c r="E35" s="238">
        <f t="shared" si="1"/>
        <v>-5372.1156185052587</v>
      </c>
      <c r="F35" s="238">
        <f t="shared" si="2"/>
        <v>-22.025674035871564</v>
      </c>
      <c r="G35" s="239">
        <f t="shared" si="16"/>
        <v>-5394.1412925411305</v>
      </c>
      <c r="H35" s="114">
        <f t="shared" si="18"/>
        <v>-1641.0997417171795</v>
      </c>
      <c r="I35" s="252">
        <f t="shared" si="4"/>
        <v>-20084.327962254381</v>
      </c>
      <c r="J35" s="252">
        <f t="shared" si="5"/>
        <v>-78.981490174722751</v>
      </c>
      <c r="K35" s="253">
        <f t="shared" si="6"/>
        <v>-20163.309452429105</v>
      </c>
      <c r="L35" s="114">
        <v>0</v>
      </c>
      <c r="M35" s="238">
        <f t="shared" si="7"/>
        <v>0</v>
      </c>
      <c r="N35" s="238">
        <f t="shared" si="8"/>
        <v>0</v>
      </c>
      <c r="O35" s="239">
        <f t="shared" si="9"/>
        <v>0</v>
      </c>
      <c r="P35" s="114">
        <v>0</v>
      </c>
      <c r="Q35" s="238">
        <f t="shared" si="10"/>
        <v>0</v>
      </c>
      <c r="R35" s="238">
        <f t="shared" si="11"/>
        <v>0</v>
      </c>
      <c r="S35" s="239">
        <f t="shared" si="12"/>
        <v>0</v>
      </c>
      <c r="T35" s="240"/>
      <c r="U35" s="238">
        <f t="shared" si="13"/>
        <v>0</v>
      </c>
      <c r="V35" s="238">
        <f t="shared" si="14"/>
        <v>0</v>
      </c>
      <c r="W35" s="239">
        <f t="shared" si="15"/>
        <v>0</v>
      </c>
    </row>
    <row r="36" spans="1:23" ht="15.75" customHeight="1" x14ac:dyDescent="0.35">
      <c r="A36" s="97" t="s">
        <v>7</v>
      </c>
      <c r="B36" s="203">
        <v>2019</v>
      </c>
      <c r="C36" s="365">
        <v>4.3E-3</v>
      </c>
      <c r="D36" s="237">
        <f>D35</f>
        <v>0</v>
      </c>
      <c r="E36" s="238">
        <f>D36+G35</f>
        <v>-5394.1412925411305</v>
      </c>
      <c r="F36" s="238">
        <f t="shared" ref="F36" si="19">(((E36+G35))/2)*$C36</f>
        <v>-23.194807557926861</v>
      </c>
      <c r="G36" s="239">
        <f t="shared" ref="G36" si="20">E36+F36</f>
        <v>-5417.3361000990571</v>
      </c>
      <c r="H36" s="113">
        <v>0</v>
      </c>
      <c r="I36" s="252">
        <f t="shared" si="4"/>
        <v>-20163.309452429105</v>
      </c>
      <c r="J36" s="252">
        <f t="shared" si="5"/>
        <v>-86.702230645445155</v>
      </c>
      <c r="K36" s="253">
        <f t="shared" si="6"/>
        <v>-20250.01168307455</v>
      </c>
      <c r="L36" s="113">
        <f>'WP-2019 True Up TRR Adj'!G12/12</f>
        <v>-2217.8438147356114</v>
      </c>
      <c r="M36" s="238">
        <f t="shared" si="7"/>
        <v>-2217.8438147356114</v>
      </c>
      <c r="N36" s="238">
        <f t="shared" si="8"/>
        <v>-4.7683642016815648</v>
      </c>
      <c r="O36" s="239">
        <f t="shared" si="9"/>
        <v>-2222.6121789372928</v>
      </c>
      <c r="P36" s="113">
        <v>0</v>
      </c>
      <c r="Q36" s="238">
        <f t="shared" si="10"/>
        <v>0</v>
      </c>
      <c r="R36" s="238">
        <f t="shared" si="11"/>
        <v>0</v>
      </c>
      <c r="S36" s="239">
        <f t="shared" si="12"/>
        <v>0</v>
      </c>
      <c r="T36" s="113">
        <v>0</v>
      </c>
      <c r="U36" s="238">
        <f t="shared" si="13"/>
        <v>0</v>
      </c>
      <c r="V36" s="238">
        <f t="shared" si="14"/>
        <v>0</v>
      </c>
      <c r="W36" s="239">
        <f t="shared" si="15"/>
        <v>0</v>
      </c>
    </row>
    <row r="37" spans="1:23" ht="15.75" customHeight="1" x14ac:dyDescent="0.35">
      <c r="A37" s="97" t="s">
        <v>8</v>
      </c>
      <c r="B37" s="203">
        <v>2019</v>
      </c>
      <c r="C37" s="365">
        <v>4.3E-3</v>
      </c>
      <c r="D37" s="113">
        <f>D36</f>
        <v>0</v>
      </c>
      <c r="E37" s="238">
        <f t="shared" ref="E37:E71" si="21">D37+G36</f>
        <v>-5417.3361000990571</v>
      </c>
      <c r="F37" s="238">
        <f t="shared" ref="F37:F71" si="22">(((E37+G36))/2)*$C37</f>
        <v>-23.294545230425946</v>
      </c>
      <c r="G37" s="239">
        <f t="shared" ref="G37:G71" si="23">E37+F37</f>
        <v>-5440.6306453294828</v>
      </c>
      <c r="H37" s="113">
        <v>0</v>
      </c>
      <c r="I37" s="252">
        <f t="shared" si="4"/>
        <v>-20250.01168307455</v>
      </c>
      <c r="J37" s="252">
        <f t="shared" si="5"/>
        <v>-87.075050237220566</v>
      </c>
      <c r="K37" s="253">
        <f t="shared" si="6"/>
        <v>-20337.086733311771</v>
      </c>
      <c r="L37" s="113">
        <f>L36</f>
        <v>-2217.8438147356114</v>
      </c>
      <c r="M37" s="238">
        <f t="shared" si="7"/>
        <v>-4440.4559936729038</v>
      </c>
      <c r="N37" s="238">
        <f t="shared" si="8"/>
        <v>-14.325596571111923</v>
      </c>
      <c r="O37" s="239">
        <f t="shared" si="9"/>
        <v>-4454.7815902440161</v>
      </c>
      <c r="P37" s="113">
        <v>0</v>
      </c>
      <c r="Q37" s="238">
        <f t="shared" si="10"/>
        <v>0</v>
      </c>
      <c r="R37" s="238">
        <f t="shared" si="11"/>
        <v>0</v>
      </c>
      <c r="S37" s="239">
        <f t="shared" si="12"/>
        <v>0</v>
      </c>
      <c r="T37" s="113">
        <v>0</v>
      </c>
      <c r="U37" s="238">
        <f t="shared" si="13"/>
        <v>0</v>
      </c>
      <c r="V37" s="238">
        <f t="shared" si="14"/>
        <v>0</v>
      </c>
      <c r="W37" s="239">
        <f t="shared" si="15"/>
        <v>0</v>
      </c>
    </row>
    <row r="38" spans="1:23" ht="15.75" customHeight="1" x14ac:dyDescent="0.35">
      <c r="A38" s="97" t="s">
        <v>18</v>
      </c>
      <c r="B38" s="203">
        <v>2019</v>
      </c>
      <c r="C38" s="365">
        <v>4.3E-3</v>
      </c>
      <c r="D38" s="113">
        <f t="shared" ref="D38:D47" si="24">D37</f>
        <v>0</v>
      </c>
      <c r="E38" s="238">
        <f t="shared" si="21"/>
        <v>-5440.6306453294828</v>
      </c>
      <c r="F38" s="238">
        <f t="shared" si="22"/>
        <v>-23.394711774916775</v>
      </c>
      <c r="G38" s="239">
        <f t="shared" si="23"/>
        <v>-5464.0253571043995</v>
      </c>
      <c r="H38" s="113">
        <v>0</v>
      </c>
      <c r="I38" s="252">
        <f t="shared" si="4"/>
        <v>-20337.086733311771</v>
      </c>
      <c r="J38" s="252">
        <f t="shared" si="5"/>
        <v>-87.449472953240615</v>
      </c>
      <c r="K38" s="253">
        <f t="shared" si="6"/>
        <v>-20424.536206265013</v>
      </c>
      <c r="L38" s="113">
        <f t="shared" ref="L38:L47" si="25">L37</f>
        <v>-2217.8438147356114</v>
      </c>
      <c r="M38" s="238">
        <f t="shared" si="7"/>
        <v>-6672.625404979628</v>
      </c>
      <c r="N38" s="238">
        <f t="shared" si="8"/>
        <v>-23.923925039730836</v>
      </c>
      <c r="O38" s="239">
        <f t="shared" si="9"/>
        <v>-6696.5493300193584</v>
      </c>
      <c r="P38" s="113">
        <v>0</v>
      </c>
      <c r="Q38" s="238">
        <f t="shared" si="10"/>
        <v>0</v>
      </c>
      <c r="R38" s="238">
        <f t="shared" si="11"/>
        <v>0</v>
      </c>
      <c r="S38" s="239">
        <f t="shared" si="12"/>
        <v>0</v>
      </c>
      <c r="T38" s="113">
        <v>0</v>
      </c>
      <c r="U38" s="238">
        <f t="shared" si="13"/>
        <v>0</v>
      </c>
      <c r="V38" s="238">
        <f t="shared" si="14"/>
        <v>0</v>
      </c>
      <c r="W38" s="239">
        <f t="shared" si="15"/>
        <v>0</v>
      </c>
    </row>
    <row r="39" spans="1:23" ht="15.75" customHeight="1" x14ac:dyDescent="0.35">
      <c r="A39" s="97" t="s">
        <v>9</v>
      </c>
      <c r="B39" s="203">
        <v>2019</v>
      </c>
      <c r="C39" s="365">
        <v>4.4999999999999997E-3</v>
      </c>
      <c r="D39" s="113">
        <f t="shared" si="24"/>
        <v>0</v>
      </c>
      <c r="E39" s="238">
        <f t="shared" si="21"/>
        <v>-5464.0253571043995</v>
      </c>
      <c r="F39" s="238">
        <f t="shared" si="22"/>
        <v>-24.588114106969797</v>
      </c>
      <c r="G39" s="239">
        <f t="shared" si="23"/>
        <v>-5488.613471211369</v>
      </c>
      <c r="H39" s="113">
        <v>0</v>
      </c>
      <c r="I39" s="252">
        <f t="shared" si="4"/>
        <v>-20424.536206265013</v>
      </c>
      <c r="J39" s="252">
        <f t="shared" si="5"/>
        <v>-91.910412928192557</v>
      </c>
      <c r="K39" s="253">
        <f t="shared" si="6"/>
        <v>-20516.446619193204</v>
      </c>
      <c r="L39" s="113">
        <f t="shared" si="25"/>
        <v>-2217.8438147356114</v>
      </c>
      <c r="M39" s="238">
        <f t="shared" si="7"/>
        <v>-8914.3931447549694</v>
      </c>
      <c r="N39" s="238">
        <f t="shared" si="8"/>
        <v>-35.124620568242236</v>
      </c>
      <c r="O39" s="239">
        <f t="shared" si="9"/>
        <v>-8949.5177653232113</v>
      </c>
      <c r="P39" s="113">
        <v>0</v>
      </c>
      <c r="Q39" s="238">
        <f t="shared" si="10"/>
        <v>0</v>
      </c>
      <c r="R39" s="238">
        <f t="shared" si="11"/>
        <v>0</v>
      </c>
      <c r="S39" s="239">
        <f t="shared" si="12"/>
        <v>0</v>
      </c>
      <c r="T39" s="113">
        <v>0</v>
      </c>
      <c r="U39" s="238">
        <f t="shared" si="13"/>
        <v>0</v>
      </c>
      <c r="V39" s="238">
        <f t="shared" si="14"/>
        <v>0</v>
      </c>
      <c r="W39" s="239">
        <f t="shared" si="15"/>
        <v>0</v>
      </c>
    </row>
    <row r="40" spans="1:23" ht="15.75" customHeight="1" x14ac:dyDescent="0.35">
      <c r="A40" s="97" t="s">
        <v>10</v>
      </c>
      <c r="B40" s="203">
        <v>2019</v>
      </c>
      <c r="C40" s="365">
        <v>4.4999999999999997E-3</v>
      </c>
      <c r="D40" s="113">
        <f t="shared" si="24"/>
        <v>0</v>
      </c>
      <c r="E40" s="238">
        <f t="shared" si="21"/>
        <v>-5488.613471211369</v>
      </c>
      <c r="F40" s="238">
        <f t="shared" si="22"/>
        <v>-24.698760620451157</v>
      </c>
      <c r="G40" s="239">
        <f t="shared" si="23"/>
        <v>-5513.3122318318201</v>
      </c>
      <c r="H40" s="113">
        <v>0</v>
      </c>
      <c r="I40" s="252">
        <f t="shared" si="4"/>
        <v>-20516.446619193204</v>
      </c>
      <c r="J40" s="252">
        <f t="shared" si="5"/>
        <v>-92.324009786369416</v>
      </c>
      <c r="K40" s="253">
        <f t="shared" si="6"/>
        <v>-20608.770628979575</v>
      </c>
      <c r="L40" s="113">
        <f t="shared" si="25"/>
        <v>-2217.8438147356114</v>
      </c>
      <c r="M40" s="238">
        <f t="shared" si="7"/>
        <v>-11167.361580058823</v>
      </c>
      <c r="N40" s="238">
        <f t="shared" si="8"/>
        <v>-45.262978527109567</v>
      </c>
      <c r="O40" s="239">
        <f t="shared" si="9"/>
        <v>-11212.624558585932</v>
      </c>
      <c r="P40" s="113">
        <v>0</v>
      </c>
      <c r="Q40" s="238">
        <f t="shared" si="10"/>
        <v>0</v>
      </c>
      <c r="R40" s="238">
        <f t="shared" si="11"/>
        <v>0</v>
      </c>
      <c r="S40" s="239">
        <f t="shared" si="12"/>
        <v>0</v>
      </c>
      <c r="T40" s="113">
        <v>0</v>
      </c>
      <c r="U40" s="238">
        <f t="shared" si="13"/>
        <v>0</v>
      </c>
      <c r="V40" s="238">
        <f t="shared" si="14"/>
        <v>0</v>
      </c>
      <c r="W40" s="239">
        <f t="shared" si="15"/>
        <v>0</v>
      </c>
    </row>
    <row r="41" spans="1:23" ht="15.75" customHeight="1" x14ac:dyDescent="0.35">
      <c r="A41" s="97" t="s">
        <v>25</v>
      </c>
      <c r="B41" s="203">
        <v>2019</v>
      </c>
      <c r="C41" s="365">
        <v>4.4999999999999997E-3</v>
      </c>
      <c r="D41" s="113">
        <f t="shared" si="24"/>
        <v>0</v>
      </c>
      <c r="E41" s="238">
        <f t="shared" si="21"/>
        <v>-5513.3122318318201</v>
      </c>
      <c r="F41" s="238">
        <f t="shared" si="22"/>
        <v>-24.809905043243187</v>
      </c>
      <c r="G41" s="239">
        <f t="shared" si="23"/>
        <v>-5538.122136875063</v>
      </c>
      <c r="H41" s="113">
        <v>0</v>
      </c>
      <c r="I41" s="252">
        <f t="shared" si="4"/>
        <v>-20608.770628979575</v>
      </c>
      <c r="J41" s="252">
        <f t="shared" si="5"/>
        <v>-92.739467830408074</v>
      </c>
      <c r="K41" s="253">
        <f t="shared" si="6"/>
        <v>-20701.510096809983</v>
      </c>
      <c r="L41" s="113">
        <f t="shared" si="25"/>
        <v>-2217.8438147356114</v>
      </c>
      <c r="M41" s="238">
        <f t="shared" si="7"/>
        <v>-13430.468373321544</v>
      </c>
      <c r="N41" s="238">
        <f t="shared" si="8"/>
        <v>-55.446959096791822</v>
      </c>
      <c r="O41" s="239">
        <f t="shared" si="9"/>
        <v>-13485.915332418335</v>
      </c>
      <c r="P41" s="113">
        <v>0</v>
      </c>
      <c r="Q41" s="238">
        <f t="shared" si="10"/>
        <v>0</v>
      </c>
      <c r="R41" s="238">
        <f t="shared" si="11"/>
        <v>0</v>
      </c>
      <c r="S41" s="239">
        <f t="shared" si="12"/>
        <v>0</v>
      </c>
      <c r="T41" s="113">
        <v>0</v>
      </c>
      <c r="U41" s="238">
        <f t="shared" si="13"/>
        <v>0</v>
      </c>
      <c r="V41" s="238">
        <f t="shared" si="14"/>
        <v>0</v>
      </c>
      <c r="W41" s="239">
        <f t="shared" si="15"/>
        <v>0</v>
      </c>
    </row>
    <row r="42" spans="1:23" ht="15.75" customHeight="1" x14ac:dyDescent="0.35">
      <c r="A42" s="97" t="s">
        <v>11</v>
      </c>
      <c r="B42" s="203">
        <v>2019</v>
      </c>
      <c r="C42" s="365">
        <v>4.5999999999999999E-3</v>
      </c>
      <c r="D42" s="113">
        <f t="shared" si="24"/>
        <v>0</v>
      </c>
      <c r="E42" s="238">
        <f t="shared" si="21"/>
        <v>-5538.122136875063</v>
      </c>
      <c r="F42" s="238">
        <f t="shared" si="22"/>
        <v>-25.475361829625289</v>
      </c>
      <c r="G42" s="239">
        <f t="shared" si="23"/>
        <v>-5563.5974987046884</v>
      </c>
      <c r="H42" s="113">
        <v>0</v>
      </c>
      <c r="I42" s="252">
        <f t="shared" si="4"/>
        <v>-20701.510096809983</v>
      </c>
      <c r="J42" s="252">
        <f t="shared" si="5"/>
        <v>-95.226946445325922</v>
      </c>
      <c r="K42" s="253">
        <f t="shared" si="6"/>
        <v>-20796.737043255311</v>
      </c>
      <c r="L42" s="113">
        <f t="shared" si="25"/>
        <v>-2217.8438147356114</v>
      </c>
      <c r="M42" s="238">
        <f t="shared" si="7"/>
        <v>-15703.759147153947</v>
      </c>
      <c r="N42" s="238">
        <f t="shared" si="8"/>
        <v>-67.136251303016252</v>
      </c>
      <c r="O42" s="239">
        <f t="shared" si="9"/>
        <v>-15770.895398456963</v>
      </c>
      <c r="P42" s="113">
        <v>0</v>
      </c>
      <c r="Q42" s="238">
        <f t="shared" si="10"/>
        <v>0</v>
      </c>
      <c r="R42" s="238">
        <f t="shared" si="11"/>
        <v>0</v>
      </c>
      <c r="S42" s="239">
        <f t="shared" si="12"/>
        <v>0</v>
      </c>
      <c r="T42" s="113">
        <v>0</v>
      </c>
      <c r="U42" s="238">
        <f t="shared" si="13"/>
        <v>0</v>
      </c>
      <c r="V42" s="238">
        <f t="shared" si="14"/>
        <v>0</v>
      </c>
      <c r="W42" s="239">
        <f t="shared" si="15"/>
        <v>0</v>
      </c>
    </row>
    <row r="43" spans="1:23" ht="15.75" customHeight="1" x14ac:dyDescent="0.35">
      <c r="A43" s="97" t="s">
        <v>12</v>
      </c>
      <c r="B43" s="203">
        <v>2019</v>
      </c>
      <c r="C43" s="365">
        <v>4.5999999999999999E-3</v>
      </c>
      <c r="D43" s="113">
        <f t="shared" si="24"/>
        <v>0</v>
      </c>
      <c r="E43" s="238">
        <f t="shared" si="21"/>
        <v>-5563.5974987046884</v>
      </c>
      <c r="F43" s="238">
        <f t="shared" si="22"/>
        <v>-25.592548494041566</v>
      </c>
      <c r="G43" s="239">
        <f t="shared" si="23"/>
        <v>-5589.1900471987301</v>
      </c>
      <c r="H43" s="113">
        <v>0</v>
      </c>
      <c r="I43" s="252">
        <f t="shared" si="4"/>
        <v>-20796.737043255311</v>
      </c>
      <c r="J43" s="252">
        <f t="shared" si="5"/>
        <v>-95.664990398974425</v>
      </c>
      <c r="K43" s="253">
        <f t="shared" si="6"/>
        <v>-20892.402033654285</v>
      </c>
      <c r="L43" s="113">
        <f t="shared" si="25"/>
        <v>-2217.8438147356114</v>
      </c>
      <c r="M43" s="238">
        <f t="shared" si="7"/>
        <v>-17988.739213192574</v>
      </c>
      <c r="N43" s="238">
        <f t="shared" si="8"/>
        <v>-77.647159606793949</v>
      </c>
      <c r="O43" s="239">
        <f t="shared" si="9"/>
        <v>-18066.386372799367</v>
      </c>
      <c r="P43" s="113">
        <v>0</v>
      </c>
      <c r="Q43" s="238">
        <f t="shared" si="10"/>
        <v>0</v>
      </c>
      <c r="R43" s="238">
        <f t="shared" si="11"/>
        <v>0</v>
      </c>
      <c r="S43" s="239">
        <f t="shared" si="12"/>
        <v>0</v>
      </c>
      <c r="T43" s="113">
        <v>0</v>
      </c>
      <c r="U43" s="238">
        <f t="shared" si="13"/>
        <v>0</v>
      </c>
      <c r="V43" s="238">
        <f t="shared" si="14"/>
        <v>0</v>
      </c>
      <c r="W43" s="239">
        <f t="shared" si="15"/>
        <v>0</v>
      </c>
    </row>
    <row r="44" spans="1:23" ht="15.75" customHeight="1" x14ac:dyDescent="0.35">
      <c r="A44" s="97" t="s">
        <v>13</v>
      </c>
      <c r="B44" s="203">
        <v>2019</v>
      </c>
      <c r="C44" s="365">
        <v>4.5999999999999999E-3</v>
      </c>
      <c r="D44" s="113">
        <f t="shared" si="24"/>
        <v>0</v>
      </c>
      <c r="E44" s="238">
        <f t="shared" si="21"/>
        <v>-5589.1900471987301</v>
      </c>
      <c r="F44" s="238">
        <f t="shared" si="22"/>
        <v>-25.710274217114158</v>
      </c>
      <c r="G44" s="239">
        <f t="shared" si="23"/>
        <v>-5614.9003214158447</v>
      </c>
      <c r="H44" s="113">
        <v>0</v>
      </c>
      <c r="I44" s="252">
        <f t="shared" si="4"/>
        <v>-20892.402033654285</v>
      </c>
      <c r="J44" s="252">
        <f t="shared" si="5"/>
        <v>-96.105049354809708</v>
      </c>
      <c r="K44" s="253">
        <f t="shared" si="6"/>
        <v>-20988.507083009095</v>
      </c>
      <c r="L44" s="113">
        <f t="shared" si="25"/>
        <v>-2217.8438147356114</v>
      </c>
      <c r="M44" s="238">
        <f t="shared" si="7"/>
        <v>-20284.230187534977</v>
      </c>
      <c r="N44" s="238">
        <f t="shared" si="8"/>
        <v>-88.206418088768984</v>
      </c>
      <c r="O44" s="239">
        <f t="shared" si="9"/>
        <v>-20372.436605623745</v>
      </c>
      <c r="P44" s="113">
        <v>0</v>
      </c>
      <c r="Q44" s="238">
        <f t="shared" si="10"/>
        <v>0</v>
      </c>
      <c r="R44" s="238">
        <f t="shared" si="11"/>
        <v>0</v>
      </c>
      <c r="S44" s="239">
        <f t="shared" si="12"/>
        <v>0</v>
      </c>
      <c r="T44" s="113">
        <v>0</v>
      </c>
      <c r="U44" s="238">
        <f t="shared" si="13"/>
        <v>0</v>
      </c>
      <c r="V44" s="238">
        <f t="shared" si="14"/>
        <v>0</v>
      </c>
      <c r="W44" s="239">
        <f t="shared" si="15"/>
        <v>0</v>
      </c>
    </row>
    <row r="45" spans="1:23" ht="15.75" customHeight="1" x14ac:dyDescent="0.35">
      <c r="A45" s="97" t="s">
        <v>15</v>
      </c>
      <c r="B45" s="203">
        <v>2019</v>
      </c>
      <c r="C45" s="365">
        <v>4.4999999999999997E-3</v>
      </c>
      <c r="D45" s="113">
        <f t="shared" si="24"/>
        <v>0</v>
      </c>
      <c r="E45" s="238">
        <f t="shared" si="21"/>
        <v>-5614.9003214158447</v>
      </c>
      <c r="F45" s="238">
        <f t="shared" si="22"/>
        <v>-25.267051446371298</v>
      </c>
      <c r="G45" s="239">
        <f t="shared" si="23"/>
        <v>-5640.1673728622163</v>
      </c>
      <c r="H45" s="113">
        <v>0</v>
      </c>
      <c r="I45" s="252">
        <f t="shared" si="4"/>
        <v>-20988.507083009095</v>
      </c>
      <c r="J45" s="252">
        <f t="shared" si="5"/>
        <v>-94.448281873540921</v>
      </c>
      <c r="K45" s="253">
        <f t="shared" si="6"/>
        <v>-21082.955364882637</v>
      </c>
      <c r="L45" s="113">
        <f t="shared" si="25"/>
        <v>-2217.8438147356114</v>
      </c>
      <c r="M45" s="238">
        <f t="shared" si="7"/>
        <v>-22590.280420359355</v>
      </c>
      <c r="N45" s="238">
        <f t="shared" si="8"/>
        <v>-96.666113308461973</v>
      </c>
      <c r="O45" s="239">
        <f t="shared" si="9"/>
        <v>-22686.946533667819</v>
      </c>
      <c r="P45" s="113">
        <v>0</v>
      </c>
      <c r="Q45" s="238">
        <f t="shared" si="10"/>
        <v>0</v>
      </c>
      <c r="R45" s="238">
        <f t="shared" si="11"/>
        <v>0</v>
      </c>
      <c r="S45" s="239">
        <f t="shared" si="12"/>
        <v>0</v>
      </c>
      <c r="T45" s="113">
        <v>0</v>
      </c>
      <c r="U45" s="238">
        <f t="shared" si="13"/>
        <v>0</v>
      </c>
      <c r="V45" s="238">
        <f t="shared" si="14"/>
        <v>0</v>
      </c>
      <c r="W45" s="239">
        <f t="shared" si="15"/>
        <v>0</v>
      </c>
    </row>
    <row r="46" spans="1:23" ht="15.75" customHeight="1" x14ac:dyDescent="0.35">
      <c r="A46" s="97" t="s">
        <v>14</v>
      </c>
      <c r="B46" s="203">
        <v>2019</v>
      </c>
      <c r="C46" s="365">
        <v>4.4999999999999997E-3</v>
      </c>
      <c r="D46" s="113">
        <f t="shared" si="24"/>
        <v>0</v>
      </c>
      <c r="E46" s="238">
        <f t="shared" si="21"/>
        <v>-5640.1673728622163</v>
      </c>
      <c r="F46" s="238">
        <f t="shared" si="22"/>
        <v>-25.380753177879971</v>
      </c>
      <c r="G46" s="239">
        <f t="shared" si="23"/>
        <v>-5665.5481260400966</v>
      </c>
      <c r="H46" s="113">
        <v>0</v>
      </c>
      <c r="I46" s="252">
        <f t="shared" si="4"/>
        <v>-21082.955364882637</v>
      </c>
      <c r="J46" s="252">
        <f t="shared" si="5"/>
        <v>-94.873299141971856</v>
      </c>
      <c r="K46" s="253">
        <f t="shared" si="6"/>
        <v>-21177.828664024608</v>
      </c>
      <c r="L46" s="113">
        <f t="shared" si="25"/>
        <v>-2217.8438147356114</v>
      </c>
      <c r="M46" s="238">
        <f t="shared" si="7"/>
        <v>-24904.790348403429</v>
      </c>
      <c r="N46" s="238">
        <f t="shared" si="8"/>
        <v>-107.08140798466029</v>
      </c>
      <c r="O46" s="239">
        <f t="shared" si="9"/>
        <v>-25011.871756388089</v>
      </c>
      <c r="P46" s="113">
        <v>0</v>
      </c>
      <c r="Q46" s="238">
        <f t="shared" si="10"/>
        <v>0</v>
      </c>
      <c r="R46" s="238">
        <f t="shared" si="11"/>
        <v>0</v>
      </c>
      <c r="S46" s="239">
        <f t="shared" si="12"/>
        <v>0</v>
      </c>
      <c r="T46" s="113">
        <v>0</v>
      </c>
      <c r="U46" s="238">
        <f t="shared" si="13"/>
        <v>0</v>
      </c>
      <c r="V46" s="238">
        <f t="shared" si="14"/>
        <v>0</v>
      </c>
      <c r="W46" s="239">
        <f t="shared" si="15"/>
        <v>0</v>
      </c>
    </row>
    <row r="47" spans="1:23" ht="15.75" customHeight="1" x14ac:dyDescent="0.35">
      <c r="A47" s="97" t="s">
        <v>6</v>
      </c>
      <c r="B47" s="203">
        <v>2019</v>
      </c>
      <c r="C47" s="365">
        <v>4.4999999999999997E-3</v>
      </c>
      <c r="D47" s="113">
        <f t="shared" si="24"/>
        <v>0</v>
      </c>
      <c r="E47" s="238">
        <f t="shared" si="21"/>
        <v>-5665.5481260400966</v>
      </c>
      <c r="F47" s="238">
        <f t="shared" si="22"/>
        <v>-25.494966567180434</v>
      </c>
      <c r="G47" s="239">
        <f t="shared" si="23"/>
        <v>-5691.0430926072768</v>
      </c>
      <c r="H47" s="114">
        <v>0</v>
      </c>
      <c r="I47" s="252">
        <f t="shared" si="4"/>
        <v>-21177.828664024608</v>
      </c>
      <c r="J47" s="252">
        <f t="shared" si="5"/>
        <v>-95.300228988110732</v>
      </c>
      <c r="K47" s="253">
        <f t="shared" si="6"/>
        <v>-21273.128893012719</v>
      </c>
      <c r="L47" s="113">
        <f t="shared" si="25"/>
        <v>-2217.8438147356114</v>
      </c>
      <c r="M47" s="238">
        <f t="shared" si="7"/>
        <v>-27229.715571123699</v>
      </c>
      <c r="N47" s="238">
        <f t="shared" si="8"/>
        <v>-117.54357148690153</v>
      </c>
      <c r="O47" s="239">
        <f t="shared" si="9"/>
        <v>-27347.259142610601</v>
      </c>
      <c r="P47" s="114">
        <v>0</v>
      </c>
      <c r="Q47" s="238">
        <f t="shared" si="10"/>
        <v>0</v>
      </c>
      <c r="R47" s="238">
        <f t="shared" si="11"/>
        <v>0</v>
      </c>
      <c r="S47" s="239">
        <f t="shared" si="12"/>
        <v>0</v>
      </c>
      <c r="T47" s="114">
        <v>0</v>
      </c>
      <c r="U47" s="238">
        <f t="shared" si="13"/>
        <v>0</v>
      </c>
      <c r="V47" s="238">
        <f t="shared" si="14"/>
        <v>0</v>
      </c>
      <c r="W47" s="239">
        <f t="shared" si="15"/>
        <v>0</v>
      </c>
    </row>
    <row r="48" spans="1:23" x14ac:dyDescent="0.35">
      <c r="A48" s="97" t="s">
        <v>7</v>
      </c>
      <c r="B48" s="204">
        <v>2020</v>
      </c>
      <c r="C48" s="365">
        <v>4.1000000000000003E-3</v>
      </c>
      <c r="D48" s="113">
        <v>0</v>
      </c>
      <c r="E48" s="238">
        <f t="shared" si="21"/>
        <v>-5691.0430926072768</v>
      </c>
      <c r="F48" s="238">
        <f t="shared" si="22"/>
        <v>-23.333276679689838</v>
      </c>
      <c r="G48" s="239">
        <f t="shared" si="23"/>
        <v>-5714.376369286967</v>
      </c>
      <c r="H48" s="113">
        <v>0</v>
      </c>
      <c r="I48" s="252">
        <f t="shared" si="4"/>
        <v>-21273.128893012719</v>
      </c>
      <c r="J48" s="252">
        <f t="shared" si="5"/>
        <v>-87.219828461352151</v>
      </c>
      <c r="K48" s="253">
        <f t="shared" si="6"/>
        <v>-21360.348721474071</v>
      </c>
      <c r="L48" s="113">
        <v>0</v>
      </c>
      <c r="M48" s="238">
        <f t="shared" si="7"/>
        <v>-27347.259142610601</v>
      </c>
      <c r="N48" s="238">
        <f t="shared" si="8"/>
        <v>-112.12376248470348</v>
      </c>
      <c r="O48" s="239">
        <f t="shared" si="9"/>
        <v>-27459.382905095303</v>
      </c>
      <c r="P48" s="113">
        <f>'WP-2020 True Up TRR Adj'!D8/12</f>
        <v>-2591.8446911772094</v>
      </c>
      <c r="Q48" s="238">
        <f t="shared" si="10"/>
        <v>-2591.8446911772094</v>
      </c>
      <c r="R48" s="238">
        <f t="shared" si="11"/>
        <v>-5.3132816169132795</v>
      </c>
      <c r="S48" s="239">
        <f t="shared" si="12"/>
        <v>-2597.1579727941225</v>
      </c>
      <c r="T48" s="113">
        <f>'WP-2020 True Up TRR Adj'!P8/12</f>
        <v>0</v>
      </c>
      <c r="U48" s="238">
        <f t="shared" si="13"/>
        <v>0</v>
      </c>
      <c r="V48" s="238">
        <f t="shared" si="14"/>
        <v>0</v>
      </c>
      <c r="W48" s="239">
        <f t="shared" si="15"/>
        <v>0</v>
      </c>
    </row>
    <row r="49" spans="1:23" x14ac:dyDescent="0.35">
      <c r="A49" s="97" t="s">
        <v>8</v>
      </c>
      <c r="B49" s="204">
        <v>2020</v>
      </c>
      <c r="C49" s="365">
        <v>4.1000000000000003E-3</v>
      </c>
      <c r="D49" s="113">
        <f>D48</f>
        <v>0</v>
      </c>
      <c r="E49" s="238">
        <f t="shared" si="21"/>
        <v>-5714.376369286967</v>
      </c>
      <c r="F49" s="238">
        <f t="shared" si="22"/>
        <v>-23.428943114076567</v>
      </c>
      <c r="G49" s="239">
        <f t="shared" si="23"/>
        <v>-5737.8053124010439</v>
      </c>
      <c r="H49" s="113">
        <v>0</v>
      </c>
      <c r="I49" s="252">
        <f t="shared" si="4"/>
        <v>-21360.348721474071</v>
      </c>
      <c r="J49" s="252">
        <f t="shared" si="5"/>
        <v>-87.577429758043692</v>
      </c>
      <c r="K49" s="253">
        <f t="shared" si="6"/>
        <v>-21447.926151232114</v>
      </c>
      <c r="L49" s="113">
        <v>0</v>
      </c>
      <c r="M49" s="238">
        <f t="shared" si="7"/>
        <v>-27459.382905095303</v>
      </c>
      <c r="N49" s="238">
        <f t="shared" si="8"/>
        <v>-112.58346991089076</v>
      </c>
      <c r="O49" s="239">
        <f t="shared" si="9"/>
        <v>-27571.966375006192</v>
      </c>
      <c r="P49" s="113">
        <f>P48</f>
        <v>-2591.8446911772094</v>
      </c>
      <c r="Q49" s="238">
        <f t="shared" si="10"/>
        <v>-5189.0026639713324</v>
      </c>
      <c r="R49" s="238">
        <f t="shared" si="11"/>
        <v>-15.961629305369184</v>
      </c>
      <c r="S49" s="239">
        <f t="shared" si="12"/>
        <v>-5204.9642932767019</v>
      </c>
      <c r="T49" s="113">
        <f>T48</f>
        <v>0</v>
      </c>
      <c r="U49" s="238">
        <f t="shared" si="13"/>
        <v>0</v>
      </c>
      <c r="V49" s="238">
        <f t="shared" si="14"/>
        <v>0</v>
      </c>
      <c r="W49" s="239">
        <f t="shared" si="15"/>
        <v>0</v>
      </c>
    </row>
    <row r="50" spans="1:23" x14ac:dyDescent="0.35">
      <c r="A50" s="97" t="s">
        <v>18</v>
      </c>
      <c r="B50" s="204">
        <v>2020</v>
      </c>
      <c r="C50" s="365">
        <v>4.1000000000000003E-3</v>
      </c>
      <c r="D50" s="113">
        <f t="shared" ref="D50:D59" si="26">D49</f>
        <v>0</v>
      </c>
      <c r="E50" s="238">
        <f t="shared" si="21"/>
        <v>-5737.8053124010439</v>
      </c>
      <c r="F50" s="238">
        <f t="shared" si="22"/>
        <v>-23.525001780844281</v>
      </c>
      <c r="G50" s="239">
        <f t="shared" si="23"/>
        <v>-5761.3303141818878</v>
      </c>
      <c r="H50" s="113">
        <v>0</v>
      </c>
      <c r="I50" s="252">
        <f t="shared" si="4"/>
        <v>-21447.926151232114</v>
      </c>
      <c r="J50" s="252">
        <f t="shared" si="5"/>
        <v>-87.936497220051677</v>
      </c>
      <c r="K50" s="253">
        <f t="shared" si="6"/>
        <v>-21535.862648452166</v>
      </c>
      <c r="L50" s="113">
        <v>0</v>
      </c>
      <c r="M50" s="238">
        <f t="shared" si="7"/>
        <v>-27571.966375006192</v>
      </c>
      <c r="N50" s="238">
        <f t="shared" si="8"/>
        <v>-113.04506213752539</v>
      </c>
      <c r="O50" s="239">
        <f t="shared" si="9"/>
        <v>-27685.011437143716</v>
      </c>
      <c r="P50" s="113">
        <f t="shared" ref="P50:P59" si="27">P49</f>
        <v>-2591.8446911772094</v>
      </c>
      <c r="Q50" s="238">
        <f t="shared" si="10"/>
        <v>-7796.8089844539118</v>
      </c>
      <c r="R50" s="238">
        <f t="shared" si="11"/>
        <v>-26.653635219347759</v>
      </c>
      <c r="S50" s="239">
        <f t="shared" si="12"/>
        <v>-7823.4626196732597</v>
      </c>
      <c r="T50" s="113">
        <f t="shared" ref="T50:T59" si="28">T49</f>
        <v>0</v>
      </c>
      <c r="U50" s="238">
        <f t="shared" si="13"/>
        <v>0</v>
      </c>
      <c r="V50" s="238">
        <f t="shared" si="14"/>
        <v>0</v>
      </c>
      <c r="W50" s="239">
        <f t="shared" si="15"/>
        <v>0</v>
      </c>
    </row>
    <row r="51" spans="1:23" x14ac:dyDescent="0.35">
      <c r="A51" s="97" t="s">
        <v>9</v>
      </c>
      <c r="B51" s="204">
        <v>2020</v>
      </c>
      <c r="C51" s="365">
        <v>4.0000000000000001E-3</v>
      </c>
      <c r="D51" s="113">
        <f t="shared" si="26"/>
        <v>0</v>
      </c>
      <c r="E51" s="238">
        <f t="shared" si="21"/>
        <v>-5761.3303141818878</v>
      </c>
      <c r="F51" s="238">
        <f t="shared" si="22"/>
        <v>-23.045321256727551</v>
      </c>
      <c r="G51" s="239">
        <f t="shared" si="23"/>
        <v>-5784.3756354386151</v>
      </c>
      <c r="H51" s="113">
        <v>0</v>
      </c>
      <c r="I51" s="252">
        <f t="shared" si="4"/>
        <v>-21535.862648452166</v>
      </c>
      <c r="J51" s="252">
        <f t="shared" si="5"/>
        <v>-86.143450593808666</v>
      </c>
      <c r="K51" s="253">
        <f t="shared" si="6"/>
        <v>-21622.006099045975</v>
      </c>
      <c r="L51" s="113">
        <v>0</v>
      </c>
      <c r="M51" s="238">
        <f t="shared" si="7"/>
        <v>-27685.011437143716</v>
      </c>
      <c r="N51" s="238">
        <f t="shared" si="8"/>
        <v>-110.74004574857487</v>
      </c>
      <c r="O51" s="239">
        <f t="shared" si="9"/>
        <v>-27795.75148289229</v>
      </c>
      <c r="P51" s="113">
        <f t="shared" si="27"/>
        <v>-2591.8446911772094</v>
      </c>
      <c r="Q51" s="238">
        <f t="shared" si="10"/>
        <v>-10415.307310850469</v>
      </c>
      <c r="R51" s="238">
        <f t="shared" si="11"/>
        <v>-36.477539861047461</v>
      </c>
      <c r="S51" s="239">
        <f t="shared" si="12"/>
        <v>-10451.784850711516</v>
      </c>
      <c r="T51" s="113">
        <f t="shared" si="28"/>
        <v>0</v>
      </c>
      <c r="U51" s="238">
        <f t="shared" si="13"/>
        <v>0</v>
      </c>
      <c r="V51" s="238">
        <f t="shared" si="14"/>
        <v>0</v>
      </c>
      <c r="W51" s="239">
        <f t="shared" si="15"/>
        <v>0</v>
      </c>
    </row>
    <row r="52" spans="1:23" x14ac:dyDescent="0.35">
      <c r="A52" s="97" t="s">
        <v>10</v>
      </c>
      <c r="B52" s="204">
        <v>2020</v>
      </c>
      <c r="C52" s="365">
        <v>4.0000000000000001E-3</v>
      </c>
      <c r="D52" s="113">
        <f t="shared" si="26"/>
        <v>0</v>
      </c>
      <c r="E52" s="238">
        <f t="shared" si="21"/>
        <v>-5784.3756354386151</v>
      </c>
      <c r="F52" s="238">
        <f t="shared" si="22"/>
        <v>-23.137502541754461</v>
      </c>
      <c r="G52" s="239">
        <f t="shared" si="23"/>
        <v>-5807.5131379803697</v>
      </c>
      <c r="H52" s="113">
        <v>0</v>
      </c>
      <c r="I52" s="252">
        <f t="shared" si="4"/>
        <v>-21622.006099045975</v>
      </c>
      <c r="J52" s="252">
        <f t="shared" si="5"/>
        <v>-86.488024396183903</v>
      </c>
      <c r="K52" s="253">
        <f t="shared" si="6"/>
        <v>-21708.49412344216</v>
      </c>
      <c r="L52" s="113">
        <v>0</v>
      </c>
      <c r="M52" s="238">
        <f t="shared" si="7"/>
        <v>-27795.75148289229</v>
      </c>
      <c r="N52" s="238">
        <f t="shared" si="8"/>
        <v>-111.18300593156917</v>
      </c>
      <c r="O52" s="239">
        <f t="shared" si="9"/>
        <v>-27906.934488823859</v>
      </c>
      <c r="P52" s="113">
        <f t="shared" si="27"/>
        <v>-2591.8446911772094</v>
      </c>
      <c r="Q52" s="238">
        <f t="shared" si="10"/>
        <v>-13043.629541888726</v>
      </c>
      <c r="R52" s="238">
        <f t="shared" si="11"/>
        <v>-46.990828785200485</v>
      </c>
      <c r="S52" s="239">
        <f t="shared" si="12"/>
        <v>-13090.620370673927</v>
      </c>
      <c r="T52" s="113">
        <f t="shared" si="28"/>
        <v>0</v>
      </c>
      <c r="U52" s="238">
        <f t="shared" si="13"/>
        <v>0</v>
      </c>
      <c r="V52" s="238">
        <f t="shared" si="14"/>
        <v>0</v>
      </c>
      <c r="W52" s="239">
        <f t="shared" si="15"/>
        <v>0</v>
      </c>
    </row>
    <row r="53" spans="1:23" x14ac:dyDescent="0.35">
      <c r="A53" s="97" t="s">
        <v>25</v>
      </c>
      <c r="B53" s="204">
        <v>2020</v>
      </c>
      <c r="C53" s="365">
        <v>4.0000000000000001E-3</v>
      </c>
      <c r="D53" s="113">
        <f t="shared" si="26"/>
        <v>0</v>
      </c>
      <c r="E53" s="238">
        <f t="shared" si="21"/>
        <v>-5807.5131379803697</v>
      </c>
      <c r="F53" s="238">
        <f t="shared" si="22"/>
        <v>-23.230052551921478</v>
      </c>
      <c r="G53" s="239">
        <f t="shared" si="23"/>
        <v>-5830.743190532291</v>
      </c>
      <c r="H53" s="113">
        <v>0</v>
      </c>
      <c r="I53" s="252">
        <f t="shared" si="4"/>
        <v>-21708.49412344216</v>
      </c>
      <c r="J53" s="252">
        <f t="shared" si="5"/>
        <v>-86.833976493768645</v>
      </c>
      <c r="K53" s="253">
        <f t="shared" si="6"/>
        <v>-21795.32809993593</v>
      </c>
      <c r="L53" s="113">
        <v>0</v>
      </c>
      <c r="M53" s="238">
        <f t="shared" si="7"/>
        <v>-27906.934488823859</v>
      </c>
      <c r="N53" s="238">
        <f t="shared" si="8"/>
        <v>-111.62773795529544</v>
      </c>
      <c r="O53" s="239">
        <f t="shared" si="9"/>
        <v>-28018.562226779155</v>
      </c>
      <c r="P53" s="113">
        <f t="shared" si="27"/>
        <v>-2591.8446911772094</v>
      </c>
      <c r="Q53" s="238">
        <f t="shared" si="10"/>
        <v>-15682.465061851137</v>
      </c>
      <c r="R53" s="238">
        <f t="shared" si="11"/>
        <v>-57.546170865050122</v>
      </c>
      <c r="S53" s="239">
        <f t="shared" si="12"/>
        <v>-15740.011232716188</v>
      </c>
      <c r="T53" s="113">
        <f t="shared" si="28"/>
        <v>0</v>
      </c>
      <c r="U53" s="238">
        <f t="shared" si="13"/>
        <v>0</v>
      </c>
      <c r="V53" s="238">
        <f t="shared" si="14"/>
        <v>0</v>
      </c>
      <c r="W53" s="239">
        <f t="shared" si="15"/>
        <v>0</v>
      </c>
    </row>
    <row r="54" spans="1:23" x14ac:dyDescent="0.35">
      <c r="A54" s="97" t="s">
        <v>11</v>
      </c>
      <c r="B54" s="204">
        <v>2020</v>
      </c>
      <c r="C54" s="365">
        <v>2.8999999999999998E-3</v>
      </c>
      <c r="D54" s="113">
        <f t="shared" si="26"/>
        <v>0</v>
      </c>
      <c r="E54" s="238">
        <f t="shared" si="21"/>
        <v>-5830.743190532291</v>
      </c>
      <c r="F54" s="238">
        <f t="shared" si="22"/>
        <v>-16.909155252543641</v>
      </c>
      <c r="G54" s="239">
        <f t="shared" si="23"/>
        <v>-5847.6523457848343</v>
      </c>
      <c r="H54" s="113">
        <v>0</v>
      </c>
      <c r="I54" s="252">
        <f t="shared" si="4"/>
        <v>-21795.32809993593</v>
      </c>
      <c r="J54" s="252">
        <f t="shared" si="5"/>
        <v>-63.206451489814192</v>
      </c>
      <c r="K54" s="253">
        <f t="shared" si="6"/>
        <v>-21858.534551425746</v>
      </c>
      <c r="L54" s="113">
        <v>0</v>
      </c>
      <c r="M54" s="238">
        <f t="shared" si="7"/>
        <v>-28018.562226779155</v>
      </c>
      <c r="N54" s="238">
        <f t="shared" si="8"/>
        <v>-81.253830457659546</v>
      </c>
      <c r="O54" s="239">
        <f t="shared" si="9"/>
        <v>-28099.816057236814</v>
      </c>
      <c r="P54" s="113">
        <f t="shared" si="27"/>
        <v>-2591.8446911772094</v>
      </c>
      <c r="Q54" s="238">
        <f t="shared" si="10"/>
        <v>-18331.855923893396</v>
      </c>
      <c r="R54" s="238">
        <f t="shared" si="11"/>
        <v>-49.4042073770839</v>
      </c>
      <c r="S54" s="239">
        <f t="shared" si="12"/>
        <v>-18381.260131270479</v>
      </c>
      <c r="T54" s="113">
        <f t="shared" si="28"/>
        <v>0</v>
      </c>
      <c r="U54" s="238">
        <f t="shared" si="13"/>
        <v>0</v>
      </c>
      <c r="V54" s="238">
        <f t="shared" si="14"/>
        <v>0</v>
      </c>
      <c r="W54" s="239">
        <f t="shared" si="15"/>
        <v>0</v>
      </c>
    </row>
    <row r="55" spans="1:23" x14ac:dyDescent="0.35">
      <c r="A55" s="97" t="s">
        <v>12</v>
      </c>
      <c r="B55" s="204">
        <v>2020</v>
      </c>
      <c r="C55" s="365">
        <v>2.8999999999999998E-3</v>
      </c>
      <c r="D55" s="113">
        <f t="shared" si="26"/>
        <v>0</v>
      </c>
      <c r="E55" s="238">
        <f t="shared" si="21"/>
        <v>-5847.6523457848343</v>
      </c>
      <c r="F55" s="238">
        <f t="shared" si="22"/>
        <v>-16.958191802776017</v>
      </c>
      <c r="G55" s="239">
        <f t="shared" si="23"/>
        <v>-5864.6105375876105</v>
      </c>
      <c r="H55" s="113">
        <v>0</v>
      </c>
      <c r="I55" s="252">
        <f t="shared" si="4"/>
        <v>-21858.534551425746</v>
      </c>
      <c r="J55" s="252">
        <f t="shared" si="5"/>
        <v>-63.38975019913466</v>
      </c>
      <c r="K55" s="253">
        <f t="shared" si="6"/>
        <v>-21921.92430162488</v>
      </c>
      <c r="L55" s="113">
        <v>0</v>
      </c>
      <c r="M55" s="238">
        <f t="shared" si="7"/>
        <v>-28099.816057236814</v>
      </c>
      <c r="N55" s="238">
        <f t="shared" si="8"/>
        <v>-81.48946656598676</v>
      </c>
      <c r="O55" s="239">
        <f t="shared" si="9"/>
        <v>-28181.305523802803</v>
      </c>
      <c r="P55" s="113">
        <f t="shared" si="27"/>
        <v>-2591.8446911772094</v>
      </c>
      <c r="Q55" s="238">
        <f t="shared" si="10"/>
        <v>-20973.104822447687</v>
      </c>
      <c r="R55" s="238">
        <f t="shared" si="11"/>
        <v>-57.063829182891332</v>
      </c>
      <c r="S55" s="239">
        <f t="shared" si="12"/>
        <v>-21030.168651630578</v>
      </c>
      <c r="T55" s="113">
        <f t="shared" si="28"/>
        <v>0</v>
      </c>
      <c r="U55" s="238">
        <f t="shared" si="13"/>
        <v>0</v>
      </c>
      <c r="V55" s="238">
        <f t="shared" si="14"/>
        <v>0</v>
      </c>
      <c r="W55" s="239">
        <f t="shared" si="15"/>
        <v>0</v>
      </c>
    </row>
    <row r="56" spans="1:23" x14ac:dyDescent="0.35">
      <c r="A56" s="97" t="s">
        <v>13</v>
      </c>
      <c r="B56" s="204">
        <v>2020</v>
      </c>
      <c r="C56" s="365">
        <v>2.8999999999999998E-3</v>
      </c>
      <c r="D56" s="113">
        <f t="shared" si="26"/>
        <v>0</v>
      </c>
      <c r="E56" s="238">
        <f t="shared" si="21"/>
        <v>-5864.6105375876105</v>
      </c>
      <c r="F56" s="238">
        <f t="shared" si="22"/>
        <v>-17.00737055900407</v>
      </c>
      <c r="G56" s="239">
        <f t="shared" si="23"/>
        <v>-5881.6179081466144</v>
      </c>
      <c r="H56" s="113">
        <v>0</v>
      </c>
      <c r="I56" s="252">
        <f t="shared" si="4"/>
        <v>-21921.92430162488</v>
      </c>
      <c r="J56" s="252">
        <f t="shared" si="5"/>
        <v>-63.573580474712145</v>
      </c>
      <c r="K56" s="253">
        <f t="shared" si="6"/>
        <v>-21985.497882099593</v>
      </c>
      <c r="L56" s="113">
        <v>0</v>
      </c>
      <c r="M56" s="238">
        <f t="shared" si="7"/>
        <v>-28181.305523802803</v>
      </c>
      <c r="N56" s="238">
        <f t="shared" si="8"/>
        <v>-81.725786019028121</v>
      </c>
      <c r="O56" s="239">
        <f t="shared" si="9"/>
        <v>-28263.031309821832</v>
      </c>
      <c r="P56" s="113">
        <f t="shared" si="27"/>
        <v>-2591.8446911772094</v>
      </c>
      <c r="Q56" s="238">
        <f t="shared" si="10"/>
        <v>-23622.013342807786</v>
      </c>
      <c r="R56" s="238">
        <f t="shared" si="11"/>
        <v>-64.745663891935621</v>
      </c>
      <c r="S56" s="239">
        <f t="shared" si="12"/>
        <v>-23686.759006699722</v>
      </c>
      <c r="T56" s="113">
        <f t="shared" si="28"/>
        <v>0</v>
      </c>
      <c r="U56" s="238">
        <f t="shared" si="13"/>
        <v>0</v>
      </c>
      <c r="V56" s="238">
        <f t="shared" si="14"/>
        <v>0</v>
      </c>
      <c r="W56" s="239">
        <f t="shared" si="15"/>
        <v>0</v>
      </c>
    </row>
    <row r="57" spans="1:23" x14ac:dyDescent="0.35">
      <c r="A57" s="97" t="s">
        <v>15</v>
      </c>
      <c r="B57" s="204">
        <v>2020</v>
      </c>
      <c r="C57" s="365">
        <v>2.7000000000000001E-3</v>
      </c>
      <c r="D57" s="113">
        <f t="shared" si="26"/>
        <v>0</v>
      </c>
      <c r="E57" s="238">
        <f t="shared" si="21"/>
        <v>-5881.6179081466144</v>
      </c>
      <c r="F57" s="238">
        <f t="shared" si="22"/>
        <v>-15.880368351995859</v>
      </c>
      <c r="G57" s="239">
        <f t="shared" si="23"/>
        <v>-5897.4982764986098</v>
      </c>
      <c r="H57" s="113">
        <v>0</v>
      </c>
      <c r="I57" s="252">
        <f t="shared" si="4"/>
        <v>-21985.497882099593</v>
      </c>
      <c r="J57" s="252">
        <f t="shared" si="5"/>
        <v>-59.360844281668903</v>
      </c>
      <c r="K57" s="253">
        <f t="shared" si="6"/>
        <v>-22044.858726381262</v>
      </c>
      <c r="L57" s="113">
        <v>0</v>
      </c>
      <c r="M57" s="238">
        <f t="shared" si="7"/>
        <v>-28263.031309821832</v>
      </c>
      <c r="N57" s="238">
        <f t="shared" si="8"/>
        <v>-76.310184536518946</v>
      </c>
      <c r="O57" s="239">
        <f t="shared" si="9"/>
        <v>-28339.341494358352</v>
      </c>
      <c r="P57" s="113">
        <f t="shared" si="27"/>
        <v>-2591.8446911772094</v>
      </c>
      <c r="Q57" s="238">
        <f t="shared" si="10"/>
        <v>-26278.60369787693</v>
      </c>
      <c r="R57" s="238">
        <f t="shared" si="11"/>
        <v>-67.453239651178478</v>
      </c>
      <c r="S57" s="239">
        <f t="shared" si="12"/>
        <v>-26346.056937528108</v>
      </c>
      <c r="T57" s="113">
        <f t="shared" si="28"/>
        <v>0</v>
      </c>
      <c r="U57" s="238">
        <f t="shared" si="13"/>
        <v>0</v>
      </c>
      <c r="V57" s="238">
        <f t="shared" si="14"/>
        <v>0</v>
      </c>
      <c r="W57" s="239">
        <f t="shared" si="15"/>
        <v>0</v>
      </c>
    </row>
    <row r="58" spans="1:23" x14ac:dyDescent="0.35">
      <c r="A58" s="97" t="s">
        <v>14</v>
      </c>
      <c r="B58" s="204">
        <v>2020</v>
      </c>
      <c r="C58" s="365">
        <v>2.7000000000000001E-3</v>
      </c>
      <c r="D58" s="113">
        <f t="shared" si="26"/>
        <v>0</v>
      </c>
      <c r="E58" s="238">
        <f t="shared" si="21"/>
        <v>-5897.4982764986098</v>
      </c>
      <c r="F58" s="238">
        <f t="shared" si="22"/>
        <v>-15.923245346546247</v>
      </c>
      <c r="G58" s="239">
        <f t="shared" si="23"/>
        <v>-5913.4215218451563</v>
      </c>
      <c r="H58" s="113">
        <v>0</v>
      </c>
      <c r="I58" s="252">
        <f t="shared" si="4"/>
        <v>-22044.858726381262</v>
      </c>
      <c r="J58" s="252">
        <f t="shared" si="5"/>
        <v>-59.521118561229414</v>
      </c>
      <c r="K58" s="253">
        <f t="shared" si="6"/>
        <v>-22104.37984494249</v>
      </c>
      <c r="L58" s="113">
        <v>0</v>
      </c>
      <c r="M58" s="238">
        <f t="shared" si="7"/>
        <v>-28339.341494358352</v>
      </c>
      <c r="N58" s="238">
        <f t="shared" si="8"/>
        <v>-76.516222034767551</v>
      </c>
      <c r="O58" s="239">
        <f t="shared" si="9"/>
        <v>-28415.857716393119</v>
      </c>
      <c r="P58" s="113">
        <f t="shared" si="27"/>
        <v>-2591.8446911772094</v>
      </c>
      <c r="Q58" s="238">
        <f t="shared" si="10"/>
        <v>-28937.901628705316</v>
      </c>
      <c r="R58" s="238">
        <f t="shared" si="11"/>
        <v>-74.633344064415127</v>
      </c>
      <c r="S58" s="239">
        <f t="shared" si="12"/>
        <v>-29012.534972769732</v>
      </c>
      <c r="T58" s="113">
        <f t="shared" si="28"/>
        <v>0</v>
      </c>
      <c r="U58" s="238">
        <f t="shared" si="13"/>
        <v>0</v>
      </c>
      <c r="V58" s="238">
        <f t="shared" si="14"/>
        <v>0</v>
      </c>
      <c r="W58" s="239">
        <f t="shared" si="15"/>
        <v>0</v>
      </c>
    </row>
    <row r="59" spans="1:23" x14ac:dyDescent="0.35">
      <c r="A59" s="97" t="s">
        <v>6</v>
      </c>
      <c r="B59" s="204">
        <v>2020</v>
      </c>
      <c r="C59" s="365">
        <v>2.7000000000000001E-3</v>
      </c>
      <c r="D59" s="113">
        <f t="shared" si="26"/>
        <v>0</v>
      </c>
      <c r="E59" s="238">
        <f t="shared" si="21"/>
        <v>-5913.4215218451563</v>
      </c>
      <c r="F59" s="238">
        <f t="shared" si="22"/>
        <v>-15.966238108981923</v>
      </c>
      <c r="G59" s="239">
        <f t="shared" si="23"/>
        <v>-5929.3877599541383</v>
      </c>
      <c r="H59" s="114">
        <v>0</v>
      </c>
      <c r="I59" s="252">
        <f t="shared" si="4"/>
        <v>-22104.37984494249</v>
      </c>
      <c r="J59" s="252">
        <f t="shared" si="5"/>
        <v>-59.681825581344725</v>
      </c>
      <c r="K59" s="253">
        <f t="shared" si="6"/>
        <v>-22164.061670523835</v>
      </c>
      <c r="L59" s="113">
        <v>0</v>
      </c>
      <c r="M59" s="238">
        <f t="shared" si="7"/>
        <v>-28415.857716393119</v>
      </c>
      <c r="N59" s="238">
        <f t="shared" si="8"/>
        <v>-76.722815834261425</v>
      </c>
      <c r="O59" s="239">
        <f t="shared" si="9"/>
        <v>-28492.580532227381</v>
      </c>
      <c r="P59" s="113">
        <f t="shared" si="27"/>
        <v>-2591.8446911772094</v>
      </c>
      <c r="Q59" s="238">
        <f t="shared" si="10"/>
        <v>-31604.37966394694</v>
      </c>
      <c r="R59" s="238">
        <f t="shared" si="11"/>
        <v>-81.832834759567504</v>
      </c>
      <c r="S59" s="239">
        <f t="shared" si="12"/>
        <v>-31686.212498706507</v>
      </c>
      <c r="T59" s="113">
        <f t="shared" si="28"/>
        <v>0</v>
      </c>
      <c r="U59" s="238">
        <f t="shared" si="13"/>
        <v>0</v>
      </c>
      <c r="V59" s="238">
        <f t="shared" si="14"/>
        <v>0</v>
      </c>
      <c r="W59" s="239">
        <f t="shared" si="15"/>
        <v>0</v>
      </c>
    </row>
    <row r="60" spans="1:23" x14ac:dyDescent="0.35">
      <c r="A60" s="97" t="s">
        <v>7</v>
      </c>
      <c r="B60" s="204">
        <v>2021</v>
      </c>
      <c r="C60" s="365">
        <v>2.7000000000000001E-3</v>
      </c>
      <c r="D60" s="113">
        <v>0</v>
      </c>
      <c r="E60" s="238">
        <f t="shared" si="21"/>
        <v>-5929.3877599541383</v>
      </c>
      <c r="F60" s="238">
        <f t="shared" si="22"/>
        <v>-16.009346951876175</v>
      </c>
      <c r="G60" s="239">
        <f t="shared" si="23"/>
        <v>-5945.3971069060144</v>
      </c>
      <c r="H60" s="113">
        <v>0</v>
      </c>
      <c r="I60" s="252">
        <f t="shared" si="4"/>
        <v>-22164.061670523835</v>
      </c>
      <c r="J60" s="252">
        <f t="shared" si="5"/>
        <v>-59.842966510414357</v>
      </c>
      <c r="K60" s="253">
        <f t="shared" si="6"/>
        <v>-22223.904637034251</v>
      </c>
      <c r="L60" s="113">
        <v>0</v>
      </c>
      <c r="M60" s="238">
        <f t="shared" si="7"/>
        <v>-28492.580532227381</v>
      </c>
      <c r="N60" s="238">
        <f t="shared" si="8"/>
        <v>-76.929967437013929</v>
      </c>
      <c r="O60" s="239">
        <f t="shared" si="9"/>
        <v>-28569.510499664393</v>
      </c>
      <c r="P60" s="113">
        <v>0</v>
      </c>
      <c r="Q60" s="238">
        <f t="shared" si="10"/>
        <v>-31686.212498706507</v>
      </c>
      <c r="R60" s="238">
        <f t="shared" si="11"/>
        <v>-85.552773746507569</v>
      </c>
      <c r="S60" s="239">
        <f t="shared" si="12"/>
        <v>-31771.765272453016</v>
      </c>
      <c r="T60" s="113">
        <f>'WP-2021 True Up TRR Adj'!D8/12</f>
        <v>-1806.703640083472</v>
      </c>
      <c r="U60" s="238">
        <f t="shared" si="13"/>
        <v>-1806.703640083472</v>
      </c>
      <c r="V60" s="238">
        <f t="shared" si="14"/>
        <v>-2.4390499141126871</v>
      </c>
      <c r="W60" s="239">
        <f t="shared" si="15"/>
        <v>-1809.1426899975847</v>
      </c>
    </row>
    <row r="61" spans="1:23" x14ac:dyDescent="0.35">
      <c r="A61" s="97" t="s">
        <v>8</v>
      </c>
      <c r="B61" s="204">
        <v>2021</v>
      </c>
      <c r="C61" s="365">
        <v>2.7000000000000001E-3</v>
      </c>
      <c r="D61" s="113">
        <f>D60</f>
        <v>0</v>
      </c>
      <c r="E61" s="238">
        <f t="shared" si="21"/>
        <v>-5945.3971069060144</v>
      </c>
      <c r="F61" s="238">
        <f t="shared" si="22"/>
        <v>-16.052572188646241</v>
      </c>
      <c r="G61" s="239">
        <f t="shared" si="23"/>
        <v>-5961.4496790946605</v>
      </c>
      <c r="H61" s="113">
        <v>0</v>
      </c>
      <c r="I61" s="252">
        <f t="shared" si="4"/>
        <v>-22223.904637034251</v>
      </c>
      <c r="J61" s="252">
        <f t="shared" si="5"/>
        <v>-60.004542519992484</v>
      </c>
      <c r="K61" s="253">
        <f t="shared" si="6"/>
        <v>-22283.909179554244</v>
      </c>
      <c r="L61" s="113">
        <v>0</v>
      </c>
      <c r="M61" s="238">
        <f t="shared" si="7"/>
        <v>-28569.510499664393</v>
      </c>
      <c r="N61" s="238">
        <f t="shared" si="8"/>
        <v>-77.137678349093861</v>
      </c>
      <c r="O61" s="239">
        <f t="shared" si="9"/>
        <v>-28646.648178013485</v>
      </c>
      <c r="P61" s="113">
        <v>0</v>
      </c>
      <c r="Q61" s="238">
        <f t="shared" si="10"/>
        <v>-31771.765272453016</v>
      </c>
      <c r="R61" s="238">
        <f t="shared" si="11"/>
        <v>-85.783766235623148</v>
      </c>
      <c r="S61" s="239">
        <f t="shared" si="12"/>
        <v>-31857.549038688638</v>
      </c>
      <c r="T61" s="113">
        <f>T60</f>
        <v>-1806.703640083472</v>
      </c>
      <c r="U61" s="238">
        <f t="shared" si="13"/>
        <v>-3615.8463300810567</v>
      </c>
      <c r="V61" s="238">
        <f t="shared" si="14"/>
        <v>-7.3237351771061663</v>
      </c>
      <c r="W61" s="239">
        <f t="shared" si="15"/>
        <v>-3623.170065258163</v>
      </c>
    </row>
    <row r="62" spans="1:23" x14ac:dyDescent="0.35">
      <c r="A62" s="97" t="s">
        <v>18</v>
      </c>
      <c r="B62" s="204">
        <v>2021</v>
      </c>
      <c r="C62" s="365">
        <v>2.7000000000000001E-3</v>
      </c>
      <c r="D62" s="113">
        <f t="shared" ref="D62:D71" si="29">D61</f>
        <v>0</v>
      </c>
      <c r="E62" s="238">
        <f t="shared" si="21"/>
        <v>-5961.4496790946605</v>
      </c>
      <c r="F62" s="238">
        <f t="shared" si="22"/>
        <v>-16.095914133555585</v>
      </c>
      <c r="G62" s="239">
        <f t="shared" si="23"/>
        <v>-5977.5455932282157</v>
      </c>
      <c r="H62" s="113">
        <v>0</v>
      </c>
      <c r="I62" s="252">
        <f t="shared" si="4"/>
        <v>-22283.909179554244</v>
      </c>
      <c r="J62" s="252">
        <f t="shared" si="5"/>
        <v>-60.16655478479646</v>
      </c>
      <c r="K62" s="253">
        <f t="shared" si="6"/>
        <v>-22344.07573433904</v>
      </c>
      <c r="L62" s="113">
        <v>0</v>
      </c>
      <c r="M62" s="238">
        <f t="shared" si="7"/>
        <v>-28646.648178013485</v>
      </c>
      <c r="N62" s="238">
        <f t="shared" si="8"/>
        <v>-77.345950080636413</v>
      </c>
      <c r="O62" s="239">
        <f t="shared" si="9"/>
        <v>-28723.99412809412</v>
      </c>
      <c r="P62" s="113">
        <v>0</v>
      </c>
      <c r="Q62" s="238">
        <f t="shared" si="10"/>
        <v>-31857.549038688638</v>
      </c>
      <c r="R62" s="238">
        <f t="shared" si="11"/>
        <v>-86.015382404459331</v>
      </c>
      <c r="S62" s="239">
        <f t="shared" si="12"/>
        <v>-31943.564421093099</v>
      </c>
      <c r="T62" s="113">
        <f t="shared" ref="T62:T71" si="30">T61</f>
        <v>-1806.703640083472</v>
      </c>
      <c r="U62" s="238">
        <f t="shared" si="13"/>
        <v>-5429.8737053416353</v>
      </c>
      <c r="V62" s="238">
        <f t="shared" si="14"/>
        <v>-12.221609090309727</v>
      </c>
      <c r="W62" s="239">
        <f t="shared" si="15"/>
        <v>-5442.0953144319446</v>
      </c>
    </row>
    <row r="63" spans="1:23" x14ac:dyDescent="0.35">
      <c r="A63" s="97" t="s">
        <v>9</v>
      </c>
      <c r="B63" s="204">
        <v>2021</v>
      </c>
      <c r="C63" s="365">
        <v>2.7000000000000001E-3</v>
      </c>
      <c r="D63" s="113">
        <f t="shared" si="29"/>
        <v>0</v>
      </c>
      <c r="E63" s="238">
        <f t="shared" si="21"/>
        <v>-5977.5455932282157</v>
      </c>
      <c r="F63" s="238">
        <f t="shared" si="22"/>
        <v>-16.139373101716185</v>
      </c>
      <c r="G63" s="239">
        <f t="shared" si="23"/>
        <v>-5993.6849663299317</v>
      </c>
      <c r="H63" s="113">
        <v>0</v>
      </c>
      <c r="I63" s="252">
        <f t="shared" si="4"/>
        <v>-22344.07573433904</v>
      </c>
      <c r="J63" s="252">
        <f t="shared" si="5"/>
        <v>-60.329004482715412</v>
      </c>
      <c r="K63" s="253">
        <f t="shared" si="6"/>
        <v>-22404.404738821755</v>
      </c>
      <c r="L63" s="113">
        <v>0</v>
      </c>
      <c r="M63" s="238">
        <f t="shared" si="7"/>
        <v>-28723.99412809412</v>
      </c>
      <c r="N63" s="238">
        <f t="shared" si="8"/>
        <v>-77.554784145854128</v>
      </c>
      <c r="O63" s="239">
        <f t="shared" si="9"/>
        <v>-28801.548912239974</v>
      </c>
      <c r="P63" s="113">
        <v>0</v>
      </c>
      <c r="Q63" s="238">
        <f t="shared" si="10"/>
        <v>-31943.564421093099</v>
      </c>
      <c r="R63" s="238">
        <f t="shared" si="11"/>
        <v>-86.247623936951371</v>
      </c>
      <c r="S63" s="239">
        <f t="shared" si="12"/>
        <v>-32029.812045030048</v>
      </c>
      <c r="T63" s="113">
        <f t="shared" si="30"/>
        <v>-1806.703640083472</v>
      </c>
      <c r="U63" s="238">
        <f t="shared" si="13"/>
        <v>-7248.7989545154169</v>
      </c>
      <c r="V63" s="238">
        <f t="shared" si="14"/>
        <v>-17.132707263078942</v>
      </c>
      <c r="W63" s="239">
        <f t="shared" si="15"/>
        <v>-7265.9316617784962</v>
      </c>
    </row>
    <row r="64" spans="1:23" x14ac:dyDescent="0.35">
      <c r="A64" s="97" t="s">
        <v>10</v>
      </c>
      <c r="B64" s="204">
        <v>2021</v>
      </c>
      <c r="C64" s="365">
        <v>2.7000000000000001E-3</v>
      </c>
      <c r="D64" s="113">
        <f t="shared" si="29"/>
        <v>0</v>
      </c>
      <c r="E64" s="238">
        <f t="shared" si="21"/>
        <v>-5993.6849663299317</v>
      </c>
      <c r="F64" s="238">
        <f t="shared" si="22"/>
        <v>-16.182949409090817</v>
      </c>
      <c r="G64" s="239">
        <f t="shared" si="23"/>
        <v>-6009.8679157390225</v>
      </c>
      <c r="H64" s="113">
        <v>0</v>
      </c>
      <c r="I64" s="252">
        <f t="shared" si="4"/>
        <v>-22404.404738821755</v>
      </c>
      <c r="J64" s="252">
        <f t="shared" si="5"/>
        <v>-60.491892794818739</v>
      </c>
      <c r="K64" s="253">
        <f t="shared" si="6"/>
        <v>-22464.896631616575</v>
      </c>
      <c r="L64" s="113">
        <v>0</v>
      </c>
      <c r="M64" s="238">
        <f t="shared" si="7"/>
        <v>-28801.548912239974</v>
      </c>
      <c r="N64" s="238">
        <f t="shared" si="8"/>
        <v>-77.76418206304794</v>
      </c>
      <c r="O64" s="239">
        <f t="shared" si="9"/>
        <v>-28879.313094303023</v>
      </c>
      <c r="P64" s="113">
        <v>0</v>
      </c>
      <c r="Q64" s="238">
        <f t="shared" si="10"/>
        <v>-32029.812045030048</v>
      </c>
      <c r="R64" s="238">
        <f t="shared" si="11"/>
        <v>-86.480492521581141</v>
      </c>
      <c r="S64" s="239">
        <f t="shared" si="12"/>
        <v>-32116.292537551628</v>
      </c>
      <c r="T64" s="113">
        <f t="shared" si="30"/>
        <v>-1806.703640083472</v>
      </c>
      <c r="U64" s="238">
        <f t="shared" si="13"/>
        <v>-9072.6353018619684</v>
      </c>
      <c r="V64" s="238">
        <f t="shared" si="14"/>
        <v>-22.057065400914627</v>
      </c>
      <c r="W64" s="239">
        <f t="shared" si="15"/>
        <v>-9094.6923672628836</v>
      </c>
    </row>
    <row r="65" spans="1:23" x14ac:dyDescent="0.35">
      <c r="A65" s="97" t="s">
        <v>25</v>
      </c>
      <c r="B65" s="204">
        <v>2021</v>
      </c>
      <c r="C65" s="365">
        <v>2.7000000000000001E-3</v>
      </c>
      <c r="D65" s="113">
        <f t="shared" si="29"/>
        <v>0</v>
      </c>
      <c r="E65" s="238">
        <f t="shared" si="21"/>
        <v>-6009.8679157390225</v>
      </c>
      <c r="F65" s="238">
        <f t="shared" si="22"/>
        <v>-16.22664337249536</v>
      </c>
      <c r="G65" s="239">
        <f t="shared" si="23"/>
        <v>-6026.0945591115178</v>
      </c>
      <c r="H65" s="113">
        <v>0</v>
      </c>
      <c r="I65" s="252">
        <f t="shared" si="4"/>
        <v>-22464.896631616575</v>
      </c>
      <c r="J65" s="252">
        <f t="shared" si="5"/>
        <v>-60.655220905364757</v>
      </c>
      <c r="K65" s="253">
        <f t="shared" si="6"/>
        <v>-22525.551852521941</v>
      </c>
      <c r="L65" s="113">
        <v>0</v>
      </c>
      <c r="M65" s="238">
        <f t="shared" si="7"/>
        <v>-28879.313094303023</v>
      </c>
      <c r="N65" s="238">
        <f t="shared" si="8"/>
        <v>-77.974145354618159</v>
      </c>
      <c r="O65" s="239">
        <f t="shared" si="9"/>
        <v>-28957.287239657642</v>
      </c>
      <c r="P65" s="113">
        <v>0</v>
      </c>
      <c r="Q65" s="238">
        <f t="shared" si="10"/>
        <v>-32116.292537551628</v>
      </c>
      <c r="R65" s="238">
        <f t="shared" si="11"/>
        <v>-86.7139898513894</v>
      </c>
      <c r="S65" s="239">
        <f t="shared" si="12"/>
        <v>-32203.006527403017</v>
      </c>
      <c r="T65" s="113">
        <f t="shared" si="30"/>
        <v>-1806.703640083472</v>
      </c>
      <c r="U65" s="238">
        <f t="shared" si="13"/>
        <v>-10901.396007346355</v>
      </c>
      <c r="V65" s="238">
        <f t="shared" si="14"/>
        <v>-26.994719305722469</v>
      </c>
      <c r="W65" s="239">
        <f t="shared" si="15"/>
        <v>-10928.390726652078</v>
      </c>
    </row>
    <row r="66" spans="1:23" x14ac:dyDescent="0.35">
      <c r="A66" s="97" t="s">
        <v>11</v>
      </c>
      <c r="B66" s="204">
        <v>2021</v>
      </c>
      <c r="C66" s="365">
        <v>2.7000000000000001E-3</v>
      </c>
      <c r="D66" s="113">
        <f t="shared" si="29"/>
        <v>0</v>
      </c>
      <c r="E66" s="238">
        <f t="shared" si="21"/>
        <v>-6026.0945591115178</v>
      </c>
      <c r="F66" s="238">
        <f t="shared" si="22"/>
        <v>-16.2704553096011</v>
      </c>
      <c r="G66" s="239">
        <f t="shared" si="23"/>
        <v>-6042.3650144211188</v>
      </c>
      <c r="H66" s="113">
        <v>0</v>
      </c>
      <c r="I66" s="252">
        <f t="shared" si="4"/>
        <v>-22525.551852521941</v>
      </c>
      <c r="J66" s="252">
        <f t="shared" si="5"/>
        <v>-60.818990001809247</v>
      </c>
      <c r="K66" s="253">
        <f t="shared" si="6"/>
        <v>-22586.370842523749</v>
      </c>
      <c r="L66" s="113">
        <v>0</v>
      </c>
      <c r="M66" s="238">
        <f t="shared" si="7"/>
        <v>-28957.287239657642</v>
      </c>
      <c r="N66" s="238">
        <f t="shared" si="8"/>
        <v>-78.184675547075642</v>
      </c>
      <c r="O66" s="239">
        <f t="shared" si="9"/>
        <v>-29035.471915204718</v>
      </c>
      <c r="P66" s="113">
        <v>0</v>
      </c>
      <c r="Q66" s="238">
        <f t="shared" si="10"/>
        <v>-32203.006527403017</v>
      </c>
      <c r="R66" s="238">
        <f t="shared" si="11"/>
        <v>-86.948117623988153</v>
      </c>
      <c r="S66" s="239">
        <f t="shared" si="12"/>
        <v>-32289.954645027006</v>
      </c>
      <c r="T66" s="113">
        <f t="shared" si="30"/>
        <v>-1806.703640083472</v>
      </c>
      <c r="U66" s="238">
        <f t="shared" si="13"/>
        <v>-12735.09436673555</v>
      </c>
      <c r="V66" s="238">
        <f t="shared" si="14"/>
        <v>-31.9457048760733</v>
      </c>
      <c r="W66" s="239">
        <f t="shared" si="15"/>
        <v>-12767.040071611624</v>
      </c>
    </row>
    <row r="67" spans="1:23" x14ac:dyDescent="0.35">
      <c r="A67" s="97" t="s">
        <v>12</v>
      </c>
      <c r="B67" s="204">
        <v>2021</v>
      </c>
      <c r="C67" s="365">
        <v>2.7000000000000001E-3</v>
      </c>
      <c r="D67" s="113">
        <f t="shared" si="29"/>
        <v>0</v>
      </c>
      <c r="E67" s="238">
        <f t="shared" si="21"/>
        <v>-6042.3650144211188</v>
      </c>
      <c r="F67" s="238">
        <f t="shared" si="22"/>
        <v>-16.314385538937021</v>
      </c>
      <c r="G67" s="239">
        <f t="shared" si="23"/>
        <v>-6058.6793999600559</v>
      </c>
      <c r="H67" s="113">
        <v>0</v>
      </c>
      <c r="I67" s="252">
        <f t="shared" si="4"/>
        <v>-22586.370842523749</v>
      </c>
      <c r="J67" s="252">
        <f t="shared" si="5"/>
        <v>-60.983201274814128</v>
      </c>
      <c r="K67" s="253">
        <f t="shared" si="6"/>
        <v>-22647.354043798565</v>
      </c>
      <c r="L67" s="113">
        <v>0</v>
      </c>
      <c r="M67" s="238">
        <f t="shared" si="7"/>
        <v>-29035.471915204718</v>
      </c>
      <c r="N67" s="238">
        <f t="shared" si="8"/>
        <v>-78.39577417105275</v>
      </c>
      <c r="O67" s="239">
        <f t="shared" si="9"/>
        <v>-29113.867689375769</v>
      </c>
      <c r="P67" s="114">
        <v>0</v>
      </c>
      <c r="Q67" s="238">
        <f t="shared" si="10"/>
        <v>-32289.954645027006</v>
      </c>
      <c r="R67" s="238">
        <f t="shared" si="11"/>
        <v>-87.182877541572921</v>
      </c>
      <c r="S67" s="239">
        <f t="shared" si="12"/>
        <v>-32377.137522568581</v>
      </c>
      <c r="T67" s="113">
        <f t="shared" si="30"/>
        <v>-1806.703640083472</v>
      </c>
      <c r="U67" s="238">
        <f t="shared" si="13"/>
        <v>-14573.743711695095</v>
      </c>
      <c r="V67" s="238">
        <f t="shared" si="14"/>
        <v>-36.910058107464067</v>
      </c>
      <c r="W67" s="239">
        <f t="shared" si="15"/>
        <v>-14610.653769802559</v>
      </c>
    </row>
    <row r="68" spans="1:23" x14ac:dyDescent="0.35">
      <c r="A68" s="97" t="s">
        <v>13</v>
      </c>
      <c r="B68" s="204">
        <v>2021</v>
      </c>
      <c r="C68" s="365">
        <v>2.7000000000000001E-3</v>
      </c>
      <c r="D68" s="113">
        <f t="shared" si="29"/>
        <v>0</v>
      </c>
      <c r="E68" s="238">
        <f t="shared" si="21"/>
        <v>-6058.6793999600559</v>
      </c>
      <c r="F68" s="238">
        <f t="shared" si="22"/>
        <v>-16.358434379892152</v>
      </c>
      <c r="G68" s="239">
        <f t="shared" si="23"/>
        <v>-6075.0378343399479</v>
      </c>
      <c r="H68" s="113">
        <v>0</v>
      </c>
      <c r="I68" s="252">
        <f t="shared" si="4"/>
        <v>-22647.354043798565</v>
      </c>
      <c r="J68" s="252">
        <f t="shared" si="5"/>
        <v>-61.147855918256127</v>
      </c>
      <c r="K68" s="253">
        <f t="shared" si="6"/>
        <v>-22708.501899716823</v>
      </c>
      <c r="L68" s="113">
        <v>0</v>
      </c>
      <c r="M68" s="238">
        <f t="shared" si="7"/>
        <v>-29113.867689375769</v>
      </c>
      <c r="N68" s="238">
        <f t="shared" si="8"/>
        <v>-78.607442761314587</v>
      </c>
      <c r="O68" s="239">
        <f t="shared" si="9"/>
        <v>-29192.475132137082</v>
      </c>
      <c r="P68" s="114">
        <v>0</v>
      </c>
      <c r="Q68" s="238">
        <f t="shared" si="10"/>
        <v>-32377.137522568581</v>
      </c>
      <c r="R68" s="238">
        <f t="shared" si="11"/>
        <v>-87.418271310935168</v>
      </c>
      <c r="S68" s="239">
        <f t="shared" si="12"/>
        <v>-32464.555793879517</v>
      </c>
      <c r="T68" s="113">
        <f t="shared" si="30"/>
        <v>-1806.703640083472</v>
      </c>
      <c r="U68" s="238">
        <f t="shared" si="13"/>
        <v>-16417.35740988603</v>
      </c>
      <c r="V68" s="238">
        <f t="shared" si="14"/>
        <v>-41.887815092579601</v>
      </c>
      <c r="W68" s="239">
        <f t="shared" si="15"/>
        <v>-16459.245224978611</v>
      </c>
    </row>
    <row r="69" spans="1:23" x14ac:dyDescent="0.35">
      <c r="A69" s="97" t="s">
        <v>15</v>
      </c>
      <c r="B69" s="204">
        <v>2021</v>
      </c>
      <c r="C69" s="365">
        <v>2.7000000000000001E-3</v>
      </c>
      <c r="D69" s="113">
        <f t="shared" si="29"/>
        <v>0</v>
      </c>
      <c r="E69" s="238">
        <f t="shared" si="21"/>
        <v>-6075.0378343399479</v>
      </c>
      <c r="F69" s="238">
        <f t="shared" si="22"/>
        <v>-16.402602152717861</v>
      </c>
      <c r="G69" s="239">
        <f t="shared" si="23"/>
        <v>-6091.4404364926659</v>
      </c>
      <c r="H69" s="113">
        <v>0</v>
      </c>
      <c r="I69" s="252">
        <f t="shared" si="4"/>
        <v>-22708.501899716823</v>
      </c>
      <c r="J69" s="252">
        <f t="shared" si="5"/>
        <v>-61.312955129235426</v>
      </c>
      <c r="K69" s="253">
        <f t="shared" si="6"/>
        <v>-22769.814854846059</v>
      </c>
      <c r="L69" s="113">
        <v>0</v>
      </c>
      <c r="M69" s="238">
        <f t="shared" si="7"/>
        <v>-29192.475132137082</v>
      </c>
      <c r="N69" s="238">
        <f t="shared" si="8"/>
        <v>-78.819682856770129</v>
      </c>
      <c r="O69" s="239">
        <f t="shared" si="9"/>
        <v>-29271.294814993853</v>
      </c>
      <c r="P69" s="114">
        <v>0</v>
      </c>
      <c r="Q69" s="238">
        <f t="shared" si="10"/>
        <v>-32464.555793879517</v>
      </c>
      <c r="R69" s="238">
        <f t="shared" si="11"/>
        <v>-87.654300643474699</v>
      </c>
      <c r="S69" s="239">
        <f t="shared" si="12"/>
        <v>-32552.21009452299</v>
      </c>
      <c r="T69" s="113">
        <f t="shared" si="30"/>
        <v>-1806.703640083472</v>
      </c>
      <c r="U69" s="238">
        <f t="shared" si="13"/>
        <v>-18265.948865062084</v>
      </c>
      <c r="V69" s="238">
        <f t="shared" si="14"/>
        <v>-46.879012021554935</v>
      </c>
      <c r="W69" s="239">
        <f t="shared" si="15"/>
        <v>-18312.82787708364</v>
      </c>
    </row>
    <row r="70" spans="1:23" x14ac:dyDescent="0.35">
      <c r="A70" s="97" t="s">
        <v>14</v>
      </c>
      <c r="B70" s="204">
        <v>2021</v>
      </c>
      <c r="C70" s="365">
        <v>2.7000000000000001E-3</v>
      </c>
      <c r="D70" s="113">
        <f t="shared" si="29"/>
        <v>0</v>
      </c>
      <c r="E70" s="238">
        <f t="shared" si="21"/>
        <v>-6091.4404364926659</v>
      </c>
      <c r="F70" s="238">
        <f t="shared" si="22"/>
        <v>-16.446889178530199</v>
      </c>
      <c r="G70" s="239">
        <f t="shared" si="23"/>
        <v>-6107.8873256711959</v>
      </c>
      <c r="H70" s="113">
        <v>0</v>
      </c>
      <c r="I70" s="252">
        <f t="shared" si="4"/>
        <v>-22769.814854846059</v>
      </c>
      <c r="J70" s="252">
        <f t="shared" si="5"/>
        <v>-61.478500108084361</v>
      </c>
      <c r="K70" s="253">
        <f t="shared" si="6"/>
        <v>-22831.293354954145</v>
      </c>
      <c r="L70" s="113">
        <v>0</v>
      </c>
      <c r="M70" s="238">
        <f t="shared" si="7"/>
        <v>-29271.294814993853</v>
      </c>
      <c r="N70" s="238">
        <f t="shared" si="8"/>
        <v>-79.032496000483405</v>
      </c>
      <c r="O70" s="239">
        <f t="shared" si="9"/>
        <v>-29350.327310994337</v>
      </c>
      <c r="P70" s="114">
        <v>0</v>
      </c>
      <c r="Q70" s="238">
        <f t="shared" si="10"/>
        <v>-32552.21009452299</v>
      </c>
      <c r="R70" s="238">
        <f t="shared" si="11"/>
        <v>-87.890967255212075</v>
      </c>
      <c r="S70" s="239">
        <f t="shared" si="12"/>
        <v>-32640.101061778201</v>
      </c>
      <c r="T70" s="113">
        <f t="shared" si="30"/>
        <v>-1806.703640083472</v>
      </c>
      <c r="U70" s="238">
        <f t="shared" si="13"/>
        <v>-20119.531517167114</v>
      </c>
      <c r="V70" s="238">
        <f t="shared" si="14"/>
        <v>-51.883685182238523</v>
      </c>
      <c r="W70" s="239">
        <f t="shared" si="15"/>
        <v>-20171.415202349352</v>
      </c>
    </row>
    <row r="71" spans="1:23" ht="15" thickBot="1" x14ac:dyDescent="0.4">
      <c r="A71" s="97" t="s">
        <v>6</v>
      </c>
      <c r="B71" s="204">
        <v>2021</v>
      </c>
      <c r="C71" s="365">
        <v>2.7000000000000001E-3</v>
      </c>
      <c r="D71" s="113">
        <f t="shared" si="29"/>
        <v>0</v>
      </c>
      <c r="E71" s="238">
        <f t="shared" si="21"/>
        <v>-6107.8873256711959</v>
      </c>
      <c r="F71" s="238">
        <f t="shared" si="22"/>
        <v>-16.491295779312228</v>
      </c>
      <c r="G71" s="239">
        <f t="shared" si="23"/>
        <v>-6124.378621450508</v>
      </c>
      <c r="H71" s="114">
        <v>0</v>
      </c>
      <c r="I71" s="252">
        <f t="shared" si="4"/>
        <v>-22831.293354954145</v>
      </c>
      <c r="J71" s="252">
        <f t="shared" si="5"/>
        <v>-61.644492058376194</v>
      </c>
      <c r="K71" s="253">
        <f t="shared" si="6"/>
        <v>-22892.937847012519</v>
      </c>
      <c r="L71" s="113">
        <v>0</v>
      </c>
      <c r="M71" s="238">
        <f t="shared" si="7"/>
        <v>-29350.327310994337</v>
      </c>
      <c r="N71" s="238">
        <f t="shared" si="8"/>
        <v>-79.245883739684714</v>
      </c>
      <c r="O71" s="239">
        <f t="shared" si="9"/>
        <v>-29429.573194734021</v>
      </c>
      <c r="P71" s="114">
        <v>0</v>
      </c>
      <c r="Q71" s="238">
        <f t="shared" si="10"/>
        <v>-32640.101061778201</v>
      </c>
      <c r="R71" s="238">
        <f t="shared" si="11"/>
        <v>-88.128272866801154</v>
      </c>
      <c r="S71" s="239">
        <f t="shared" si="12"/>
        <v>-32728.229334645002</v>
      </c>
      <c r="T71" s="113">
        <f t="shared" si="30"/>
        <v>-1806.703640083472</v>
      </c>
      <c r="U71" s="238">
        <f t="shared" si="13"/>
        <v>-21978.118842432825</v>
      </c>
      <c r="V71" s="238">
        <f t="shared" si="14"/>
        <v>-56.901870960455945</v>
      </c>
      <c r="W71" s="239">
        <f t="shared" si="15"/>
        <v>-22035.020713393282</v>
      </c>
    </row>
    <row r="72" spans="1:23" s="15" customFormat="1" ht="15" thickBot="1" x14ac:dyDescent="0.4">
      <c r="A72" s="367"/>
      <c r="B72" s="368"/>
      <c r="C72" s="368"/>
      <c r="D72" s="369">
        <f>SUM(D12:D71)</f>
        <v>-5052.1868730783463</v>
      </c>
      <c r="E72" s="370"/>
      <c r="F72" s="371" t="s">
        <v>30</v>
      </c>
      <c r="G72" s="372">
        <f>G71</f>
        <v>-6124.378621450508</v>
      </c>
      <c r="H72" s="373">
        <f>SUM(H12:H71)</f>
        <v>-19693.196900606155</v>
      </c>
      <c r="I72" s="370"/>
      <c r="J72" s="371" t="s">
        <v>30</v>
      </c>
      <c r="K72" s="372">
        <f>K71</f>
        <v>-22892.937847012519</v>
      </c>
      <c r="L72" s="375">
        <f>SUM(L12:L71)</f>
        <v>-26614.125776827332</v>
      </c>
      <c r="M72" s="374"/>
      <c r="N72" s="371" t="s">
        <v>30</v>
      </c>
      <c r="O72" s="372">
        <f>O71</f>
        <v>-29429.573194734021</v>
      </c>
      <c r="P72" s="375">
        <f>SUM(P12:P71)</f>
        <v>-31102.136294126507</v>
      </c>
      <c r="Q72" s="374"/>
      <c r="R72" s="371" t="s">
        <v>30</v>
      </c>
      <c r="S72" s="372">
        <f>S71</f>
        <v>-32728.229334645002</v>
      </c>
      <c r="T72" s="375">
        <f>SUM(T12:T71)</f>
        <v>-21680.443681001663</v>
      </c>
      <c r="U72" s="374"/>
      <c r="V72" s="371" t="s">
        <v>30</v>
      </c>
      <c r="W72" s="372">
        <f>W71</f>
        <v>-22035.020713393282</v>
      </c>
    </row>
    <row r="73" spans="1:23" ht="26.25" customHeight="1" thickBot="1" x14ac:dyDescent="0.4">
      <c r="A73" s="310" t="s">
        <v>438</v>
      </c>
      <c r="B73" s="311"/>
      <c r="C73" s="311"/>
      <c r="D73" s="311"/>
      <c r="E73" s="311"/>
      <c r="F73" s="311"/>
      <c r="G73" s="311"/>
      <c r="H73" s="311"/>
      <c r="I73" s="311"/>
      <c r="J73" s="311"/>
      <c r="K73" s="311"/>
      <c r="L73" s="311"/>
      <c r="M73" s="311"/>
      <c r="N73" s="311"/>
      <c r="O73" s="311"/>
      <c r="P73" s="311"/>
      <c r="Q73" s="311"/>
      <c r="R73" s="311"/>
      <c r="S73" s="311"/>
      <c r="T73" s="311"/>
      <c r="U73" s="311"/>
      <c r="V73" s="311"/>
      <c r="W73" s="366">
        <f>SUM(G72,K72,O72,S72,W72)</f>
        <v>-113210.13971123533</v>
      </c>
    </row>
    <row r="74" spans="1:23" x14ac:dyDescent="0.35">
      <c r="I74" s="15"/>
      <c r="J74" s="15"/>
      <c r="K74" s="15"/>
    </row>
    <row r="75" spans="1:23" x14ac:dyDescent="0.35">
      <c r="E75" s="2"/>
    </row>
    <row r="77" spans="1:23" x14ac:dyDescent="0.35">
      <c r="A77" s="3"/>
      <c r="F77" s="9"/>
    </row>
    <row r="78" spans="1:23" x14ac:dyDescent="0.35">
      <c r="E78" s="4"/>
    </row>
    <row r="83" spans="1:6" x14ac:dyDescent="0.35">
      <c r="A83" s="3"/>
    </row>
    <row r="87" spans="1:6" x14ac:dyDescent="0.35">
      <c r="D87" s="5"/>
      <c r="F87" s="6"/>
    </row>
    <row r="88" spans="1:6" x14ac:dyDescent="0.35">
      <c r="E88" s="7"/>
    </row>
    <row r="89" spans="1:6" x14ac:dyDescent="0.35">
      <c r="F89" s="8"/>
    </row>
    <row r="91" spans="1:6" x14ac:dyDescent="0.35">
      <c r="E91" s="7"/>
      <c r="F91" s="6"/>
    </row>
  </sheetData>
  <mergeCells count="7">
    <mergeCell ref="A73:V73"/>
    <mergeCell ref="T5:W5"/>
    <mergeCell ref="A3:W4"/>
    <mergeCell ref="H5:K5"/>
    <mergeCell ref="A5:G5"/>
    <mergeCell ref="L5:O5"/>
    <mergeCell ref="P5:S5"/>
  </mergeCells>
  <phoneticPr fontId="61" type="noConversion"/>
  <printOptions horizontalCentered="1"/>
  <pageMargins left="0.7" right="0.7" top="0.75" bottom="0.75" header="0.3" footer="0.3"/>
  <pageSetup scale="39" fitToHeight="0" orientation="landscape" cellComments="asDisplayed" r:id="rId1"/>
  <headerFooter>
    <oddHeader>&amp;RTO2024 Draft Annual Update
Attachment 4
WP-Schedule 3-One Time Adj Prior Period
Page &amp;P of &amp;N</oddHeader>
    <oddFooter>&amp;R&amp;A</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793F8-1F5E-4A14-AF13-A12C55152DDA}">
  <sheetPr>
    <tabColor rgb="FFFFCC99"/>
  </sheetPr>
  <dimension ref="A1:X113"/>
  <sheetViews>
    <sheetView zoomScaleNormal="100" zoomScalePageLayoutView="80" workbookViewId="0"/>
  </sheetViews>
  <sheetFormatPr defaultRowHeight="12.5" x14ac:dyDescent="0.25"/>
  <cols>
    <col min="1" max="1" width="4.54296875" style="33" customWidth="1"/>
    <col min="2" max="2" width="2.54296875" style="33" customWidth="1"/>
    <col min="3" max="3" width="8.54296875" style="33" customWidth="1"/>
    <col min="4" max="4" width="32.54296875" style="33" customWidth="1"/>
    <col min="5" max="5" width="14.54296875" style="33" customWidth="1"/>
    <col min="6" max="6" width="15.54296875" style="33" customWidth="1"/>
    <col min="7" max="8" width="14.54296875" style="33" customWidth="1"/>
    <col min="9" max="9" width="20" style="33" customWidth="1"/>
    <col min="10" max="10" width="15.54296875" style="33" customWidth="1"/>
    <col min="11" max="11" width="11" style="33" bestFit="1" customWidth="1"/>
    <col min="12" max="16384" width="8.7265625" style="33"/>
  </cols>
  <sheetData>
    <row r="1" spans="1:24" ht="13" x14ac:dyDescent="0.3">
      <c r="A1" s="32" t="s">
        <v>170</v>
      </c>
      <c r="F1" s="123" t="s">
        <v>171</v>
      </c>
      <c r="G1" s="62"/>
      <c r="H1" s="66"/>
      <c r="I1" s="66"/>
    </row>
    <row r="2" spans="1:24" ht="13" x14ac:dyDescent="0.3">
      <c r="E2" s="72" t="s">
        <v>172</v>
      </c>
      <c r="F2" s="72" t="s">
        <v>173</v>
      </c>
      <c r="G2" s="72" t="s">
        <v>174</v>
      </c>
      <c r="H2" s="72" t="s">
        <v>417</v>
      </c>
      <c r="I2" s="72" t="s">
        <v>175</v>
      </c>
      <c r="J2" s="66"/>
    </row>
    <row r="3" spans="1:24" x14ac:dyDescent="0.25">
      <c r="E3" s="292"/>
      <c r="G3" s="66" t="s">
        <v>176</v>
      </c>
      <c r="H3" s="66" t="s">
        <v>418</v>
      </c>
      <c r="I3" s="64" t="s">
        <v>419</v>
      </c>
    </row>
    <row r="4" spans="1:24" ht="13" x14ac:dyDescent="0.3">
      <c r="E4" s="36" t="s">
        <v>177</v>
      </c>
      <c r="F4" s="116" t="s">
        <v>178</v>
      </c>
      <c r="G4" s="36" t="s">
        <v>179</v>
      </c>
      <c r="H4" s="36" t="s">
        <v>420</v>
      </c>
      <c r="J4" s="36"/>
    </row>
    <row r="5" spans="1:24" ht="13" x14ac:dyDescent="0.3">
      <c r="A5" s="37" t="s">
        <v>39</v>
      </c>
      <c r="B5" s="40"/>
      <c r="C5" s="40" t="s">
        <v>180</v>
      </c>
      <c r="D5" s="40" t="s">
        <v>31</v>
      </c>
      <c r="E5" s="40" t="s">
        <v>32</v>
      </c>
      <c r="F5" s="70" t="s">
        <v>33</v>
      </c>
      <c r="G5" s="40" t="s">
        <v>181</v>
      </c>
      <c r="H5" s="40" t="s">
        <v>421</v>
      </c>
      <c r="I5" s="40" t="s">
        <v>82</v>
      </c>
      <c r="J5" s="40" t="s">
        <v>42</v>
      </c>
      <c r="K5" s="40"/>
      <c r="L5" s="40"/>
      <c r="M5" s="40"/>
      <c r="N5" s="40"/>
      <c r="O5" s="40"/>
      <c r="P5" s="40"/>
      <c r="Q5" s="40"/>
      <c r="R5" s="40"/>
      <c r="S5" s="40"/>
      <c r="T5" s="40"/>
      <c r="U5" s="40"/>
      <c r="V5" s="40"/>
      <c r="W5" s="40"/>
      <c r="X5" s="40"/>
    </row>
    <row r="6" spans="1:24" ht="13" x14ac:dyDescent="0.3">
      <c r="A6" s="36">
        <v>1</v>
      </c>
      <c r="C6" s="66">
        <v>920</v>
      </c>
      <c r="D6" s="33" t="s">
        <v>182</v>
      </c>
      <c r="E6" s="124">
        <v>489200978</v>
      </c>
      <c r="F6" s="66" t="s">
        <v>183</v>
      </c>
      <c r="G6" s="42">
        <f>D37</f>
        <v>216390816.24808747</v>
      </c>
      <c r="H6" s="42">
        <v>0</v>
      </c>
      <c r="I6" s="42">
        <f>(E6-G6)+H6</f>
        <v>272810161.75191253</v>
      </c>
      <c r="J6" s="292"/>
    </row>
    <row r="7" spans="1:24" ht="13" x14ac:dyDescent="0.3">
      <c r="A7" s="36">
        <f>A6+1</f>
        <v>2</v>
      </c>
      <c r="C7" s="66">
        <v>921</v>
      </c>
      <c r="D7" s="33" t="s">
        <v>184</v>
      </c>
      <c r="E7" s="124">
        <v>276778928</v>
      </c>
      <c r="F7" s="66" t="s">
        <v>185</v>
      </c>
      <c r="G7" s="42">
        <f t="shared" ref="G7:G19" si="0">D38</f>
        <v>77496.839999999909</v>
      </c>
      <c r="H7" s="42">
        <v>0</v>
      </c>
      <c r="I7" s="42">
        <f t="shared" ref="I7:I19" si="1">(E7-G7)+H7</f>
        <v>276701431.16000003</v>
      </c>
    </row>
    <row r="8" spans="1:24" ht="13" x14ac:dyDescent="0.3">
      <c r="A8" s="36">
        <f>A7+1</f>
        <v>3</v>
      </c>
      <c r="C8" s="66">
        <v>922</v>
      </c>
      <c r="D8" s="33" t="s">
        <v>186</v>
      </c>
      <c r="E8" s="124">
        <v>-252808152</v>
      </c>
      <c r="F8" s="66" t="s">
        <v>187</v>
      </c>
      <c r="G8" s="42">
        <f t="shared" si="0"/>
        <v>-106131573.86</v>
      </c>
      <c r="H8" s="42">
        <v>0</v>
      </c>
      <c r="I8" s="42">
        <f t="shared" si="1"/>
        <v>-146676578.13999999</v>
      </c>
      <c r="J8" s="66" t="s">
        <v>188</v>
      </c>
    </row>
    <row r="9" spans="1:24" ht="13" x14ac:dyDescent="0.3">
      <c r="A9" s="36">
        <f t="shared" ref="A9:A20" si="2">A8+1</f>
        <v>4</v>
      </c>
      <c r="B9" s="36"/>
      <c r="C9" s="66">
        <v>923</v>
      </c>
      <c r="D9" s="33" t="s">
        <v>189</v>
      </c>
      <c r="E9" s="124">
        <v>41718502</v>
      </c>
      <c r="F9" s="66" t="s">
        <v>190</v>
      </c>
      <c r="G9" s="42">
        <f t="shared" si="0"/>
        <v>1846551.77</v>
      </c>
      <c r="H9" s="42">
        <v>0</v>
      </c>
      <c r="I9" s="42">
        <f t="shared" si="1"/>
        <v>39871950.229999997</v>
      </c>
    </row>
    <row r="10" spans="1:24" ht="13" x14ac:dyDescent="0.3">
      <c r="A10" s="36">
        <f t="shared" si="2"/>
        <v>5</v>
      </c>
      <c r="B10" s="36"/>
      <c r="C10" s="66">
        <v>924</v>
      </c>
      <c r="D10" s="33" t="s">
        <v>191</v>
      </c>
      <c r="E10" s="124">
        <v>20044138</v>
      </c>
      <c r="F10" s="66" t="s">
        <v>192</v>
      </c>
      <c r="G10" s="42">
        <f t="shared" si="0"/>
        <v>0</v>
      </c>
      <c r="H10" s="42">
        <v>0</v>
      </c>
      <c r="I10" s="42">
        <f t="shared" si="1"/>
        <v>20044138</v>
      </c>
    </row>
    <row r="11" spans="1:24" ht="13" x14ac:dyDescent="0.3">
      <c r="A11" s="36">
        <f t="shared" si="2"/>
        <v>6</v>
      </c>
      <c r="B11" s="36"/>
      <c r="C11" s="66">
        <v>925</v>
      </c>
      <c r="D11" s="33" t="s">
        <v>193</v>
      </c>
      <c r="E11" s="124">
        <v>1882001326</v>
      </c>
      <c r="F11" s="66" t="s">
        <v>194</v>
      </c>
      <c r="G11" s="42">
        <f t="shared" si="0"/>
        <v>221963259.82000002</v>
      </c>
      <c r="H11" s="42">
        <v>0</v>
      </c>
      <c r="I11" s="42">
        <f t="shared" si="1"/>
        <v>1660038066.1800001</v>
      </c>
    </row>
    <row r="12" spans="1:24" ht="13" x14ac:dyDescent="0.3">
      <c r="A12" s="36">
        <f t="shared" si="2"/>
        <v>7</v>
      </c>
      <c r="B12" s="36"/>
      <c r="C12" s="66">
        <v>926</v>
      </c>
      <c r="D12" s="33" t="s">
        <v>195</v>
      </c>
      <c r="E12" s="124">
        <v>52118968</v>
      </c>
      <c r="F12" s="66" t="s">
        <v>196</v>
      </c>
      <c r="G12" s="42">
        <f t="shared" si="0"/>
        <v>4785563.4750000015</v>
      </c>
      <c r="H12" s="42">
        <v>0</v>
      </c>
      <c r="I12" s="42">
        <f t="shared" si="1"/>
        <v>47333404.524999999</v>
      </c>
    </row>
    <row r="13" spans="1:24" ht="13" x14ac:dyDescent="0.3">
      <c r="A13" s="36">
        <f t="shared" si="2"/>
        <v>8</v>
      </c>
      <c r="B13" s="36"/>
      <c r="C13" s="66">
        <v>927</v>
      </c>
      <c r="D13" s="33" t="s">
        <v>197</v>
      </c>
      <c r="E13" s="124">
        <v>126503079</v>
      </c>
      <c r="F13" s="66" t="s">
        <v>198</v>
      </c>
      <c r="G13" s="42">
        <f t="shared" si="0"/>
        <v>126503079</v>
      </c>
      <c r="H13" s="42">
        <v>0</v>
      </c>
      <c r="I13" s="42">
        <f>(E13-G13)+H13-H13</f>
        <v>0</v>
      </c>
      <c r="J13" s="293" t="s">
        <v>422</v>
      </c>
      <c r="L13" s="292"/>
    </row>
    <row r="14" spans="1:24" ht="13" x14ac:dyDescent="0.3">
      <c r="A14" s="36">
        <f t="shared" si="2"/>
        <v>9</v>
      </c>
      <c r="B14" s="36"/>
      <c r="C14" s="66">
        <v>928</v>
      </c>
      <c r="D14" s="33" t="s">
        <v>199</v>
      </c>
      <c r="E14" s="124">
        <v>8569448</v>
      </c>
      <c r="F14" s="66" t="s">
        <v>200</v>
      </c>
      <c r="G14" s="42">
        <f t="shared" si="0"/>
        <v>7858892.7299999995</v>
      </c>
      <c r="H14" s="42">
        <v>0</v>
      </c>
      <c r="I14" s="42">
        <f t="shared" si="1"/>
        <v>710555.27000000048</v>
      </c>
    </row>
    <row r="15" spans="1:24" ht="13" x14ac:dyDescent="0.3">
      <c r="A15" s="36">
        <f t="shared" si="2"/>
        <v>10</v>
      </c>
      <c r="B15" s="36"/>
      <c r="C15" s="66">
        <v>929</v>
      </c>
      <c r="D15" s="33" t="s">
        <v>201</v>
      </c>
      <c r="E15" s="124">
        <v>0</v>
      </c>
      <c r="F15" s="66" t="s">
        <v>202</v>
      </c>
      <c r="G15" s="42">
        <f t="shared" si="0"/>
        <v>0</v>
      </c>
      <c r="H15" s="42">
        <v>0</v>
      </c>
      <c r="I15" s="42">
        <f t="shared" si="1"/>
        <v>0</v>
      </c>
    </row>
    <row r="16" spans="1:24" ht="13" x14ac:dyDescent="0.3">
      <c r="A16" s="36">
        <f t="shared" si="2"/>
        <v>11</v>
      </c>
      <c r="B16" s="36"/>
      <c r="C16" s="66">
        <v>930.1</v>
      </c>
      <c r="D16" s="33" t="s">
        <v>203</v>
      </c>
      <c r="E16" s="124">
        <v>13641394</v>
      </c>
      <c r="F16" s="66" t="s">
        <v>204</v>
      </c>
      <c r="G16" s="42">
        <f t="shared" si="0"/>
        <v>0</v>
      </c>
      <c r="H16" s="42">
        <v>0</v>
      </c>
      <c r="I16" s="42">
        <f t="shared" si="1"/>
        <v>13641394</v>
      </c>
    </row>
    <row r="17" spans="1:9" ht="13" x14ac:dyDescent="0.3">
      <c r="A17" s="36">
        <f t="shared" si="2"/>
        <v>12</v>
      </c>
      <c r="B17" s="36"/>
      <c r="C17" s="66">
        <v>930.2</v>
      </c>
      <c r="D17" s="33" t="s">
        <v>205</v>
      </c>
      <c r="E17" s="124">
        <v>40385690</v>
      </c>
      <c r="F17" s="66" t="s">
        <v>206</v>
      </c>
      <c r="G17" s="42">
        <f t="shared" si="0"/>
        <v>24997914.76999994</v>
      </c>
      <c r="H17" s="42">
        <v>0</v>
      </c>
      <c r="I17" s="42">
        <f t="shared" si="1"/>
        <v>15387775.23000006</v>
      </c>
    </row>
    <row r="18" spans="1:9" ht="13" x14ac:dyDescent="0.3">
      <c r="A18" s="36">
        <f t="shared" si="2"/>
        <v>13</v>
      </c>
      <c r="B18" s="36"/>
      <c r="C18" s="66">
        <v>931</v>
      </c>
      <c r="D18" s="33" t="s">
        <v>207</v>
      </c>
      <c r="E18" s="124">
        <v>9108333</v>
      </c>
      <c r="F18" s="66" t="s">
        <v>208</v>
      </c>
      <c r="G18" s="42">
        <f t="shared" si="0"/>
        <v>0</v>
      </c>
      <c r="H18" s="42">
        <v>0</v>
      </c>
      <c r="I18" s="42">
        <f t="shared" si="1"/>
        <v>9108333</v>
      </c>
    </row>
    <row r="19" spans="1:9" ht="13" x14ac:dyDescent="0.3">
      <c r="A19" s="36">
        <f t="shared" si="2"/>
        <v>14</v>
      </c>
      <c r="B19" s="36"/>
      <c r="C19" s="66">
        <v>935</v>
      </c>
      <c r="D19" s="33" t="s">
        <v>209</v>
      </c>
      <c r="E19" s="125">
        <v>22903562</v>
      </c>
      <c r="F19" s="66" t="s">
        <v>210</v>
      </c>
      <c r="G19" s="42">
        <f t="shared" si="0"/>
        <v>674197.83</v>
      </c>
      <c r="H19" s="42">
        <v>0</v>
      </c>
      <c r="I19" s="48">
        <f t="shared" si="1"/>
        <v>22229364.170000002</v>
      </c>
    </row>
    <row r="20" spans="1:9" ht="13" x14ac:dyDescent="0.3">
      <c r="A20" s="36">
        <f t="shared" si="2"/>
        <v>15</v>
      </c>
      <c r="E20" s="42">
        <f>SUM(E6:E19)</f>
        <v>2730166194</v>
      </c>
      <c r="H20" s="52" t="s">
        <v>211</v>
      </c>
      <c r="I20" s="42">
        <f>SUM(I6:I19)</f>
        <v>2231199995.3769126</v>
      </c>
    </row>
    <row r="22" spans="1:9" ht="13" x14ac:dyDescent="0.3">
      <c r="F22" s="40" t="s">
        <v>32</v>
      </c>
      <c r="G22" s="40" t="s">
        <v>33</v>
      </c>
      <c r="H22" s="294"/>
      <c r="I22" s="292"/>
    </row>
    <row r="23" spans="1:9" ht="13" x14ac:dyDescent="0.3">
      <c r="A23" s="36">
        <f>A20+1</f>
        <v>16</v>
      </c>
      <c r="E23" s="52" t="s">
        <v>212</v>
      </c>
      <c r="F23" s="42">
        <f>I20</f>
        <v>2231199995.3769126</v>
      </c>
      <c r="G23" s="38" t="str">
        <f>"Line "&amp;A20&amp;""</f>
        <v>Line 15</v>
      </c>
    </row>
    <row r="24" spans="1:9" ht="13" x14ac:dyDescent="0.3">
      <c r="A24" s="36">
        <f t="shared" ref="A24:A30" si="3">A23+1</f>
        <v>17</v>
      </c>
      <c r="E24" s="52" t="s">
        <v>213</v>
      </c>
      <c r="F24" s="48">
        <f>E10</f>
        <v>20044138</v>
      </c>
      <c r="G24" s="38" t="str">
        <f>"Line "&amp;A10&amp;""</f>
        <v>Line 5</v>
      </c>
    </row>
    <row r="25" spans="1:9" ht="13" x14ac:dyDescent="0.3">
      <c r="A25" s="36">
        <f t="shared" si="3"/>
        <v>18</v>
      </c>
      <c r="E25" s="52" t="s">
        <v>214</v>
      </c>
      <c r="F25" s="42">
        <f>F23-F24</f>
        <v>2211155857.3769126</v>
      </c>
      <c r="G25" s="38" t="str">
        <f>"Line "&amp;A23&amp;" - Line "&amp;A24&amp;""</f>
        <v>Line 16 - Line 17</v>
      </c>
    </row>
    <row r="26" spans="1:9" ht="13" x14ac:dyDescent="0.3">
      <c r="A26" s="36">
        <f t="shared" si="3"/>
        <v>19</v>
      </c>
      <c r="E26" s="52" t="s">
        <v>215</v>
      </c>
      <c r="F26" s="65">
        <v>6.2174818554839952E-2</v>
      </c>
      <c r="G26" s="38" t="s">
        <v>496</v>
      </c>
    </row>
    <row r="27" spans="1:9" ht="13" x14ac:dyDescent="0.3">
      <c r="A27" s="36">
        <f t="shared" si="3"/>
        <v>20</v>
      </c>
      <c r="E27" s="52" t="s">
        <v>217</v>
      </c>
      <c r="F27" s="42">
        <f>F25*F26</f>
        <v>137478214.22888112</v>
      </c>
      <c r="G27" s="38" t="str">
        <f>"Line "&amp;A25&amp;" * Line "&amp;A26&amp;""</f>
        <v>Line 18 * Line 19</v>
      </c>
    </row>
    <row r="28" spans="1:9" ht="13" x14ac:dyDescent="0.3">
      <c r="A28" s="36">
        <f t="shared" si="3"/>
        <v>21</v>
      </c>
      <c r="E28" s="52" t="s">
        <v>218</v>
      </c>
      <c r="F28" s="50">
        <v>0.18265038721639726</v>
      </c>
      <c r="G28" s="38" t="s">
        <v>497</v>
      </c>
    </row>
    <row r="29" spans="1:9" ht="13" x14ac:dyDescent="0.3">
      <c r="A29" s="36">
        <f t="shared" si="3"/>
        <v>22</v>
      </c>
      <c r="E29" s="52" t="s">
        <v>220</v>
      </c>
      <c r="F29" s="48">
        <f>I10*F28</f>
        <v>3661069.5671189027</v>
      </c>
      <c r="G29" s="38" t="str">
        <f>"Line "&amp;A10&amp;" Col 4 * Line "&amp;A28&amp;""</f>
        <v>Line 5 Col 4 * Line 21</v>
      </c>
    </row>
    <row r="30" spans="1:9" ht="13" x14ac:dyDescent="0.3">
      <c r="A30" s="36">
        <f t="shared" si="3"/>
        <v>23</v>
      </c>
      <c r="E30" s="52" t="s">
        <v>221</v>
      </c>
      <c r="F30" s="42">
        <f>F27+F29</f>
        <v>141139283.79600003</v>
      </c>
      <c r="G30" s="38" t="str">
        <f>"Line "&amp;A27&amp;" + Line "&amp;A29&amp;""</f>
        <v>Line 20 + Line 22</v>
      </c>
    </row>
    <row r="32" spans="1:9" ht="13" x14ac:dyDescent="0.3">
      <c r="B32" s="32" t="s">
        <v>222</v>
      </c>
      <c r="E32" s="72" t="s">
        <v>172</v>
      </c>
      <c r="F32" s="72" t="s">
        <v>173</v>
      </c>
      <c r="G32" s="72" t="s">
        <v>174</v>
      </c>
      <c r="H32" s="72" t="s">
        <v>175</v>
      </c>
    </row>
    <row r="33" spans="1:11" ht="13" x14ac:dyDescent="0.3">
      <c r="B33" s="32"/>
      <c r="C33" s="160" t="s">
        <v>285</v>
      </c>
      <c r="D33" s="62" t="s">
        <v>305</v>
      </c>
      <c r="E33" s="36" t="s">
        <v>223</v>
      </c>
      <c r="F33" s="72"/>
      <c r="G33" s="72"/>
      <c r="H33" s="72"/>
    </row>
    <row r="34" spans="1:11" ht="13" x14ac:dyDescent="0.3">
      <c r="E34" s="36" t="s">
        <v>224</v>
      </c>
    </row>
    <row r="35" spans="1:11" ht="13" x14ac:dyDescent="0.3">
      <c r="D35" s="36" t="s">
        <v>225</v>
      </c>
      <c r="E35" s="36" t="s">
        <v>226</v>
      </c>
      <c r="F35" s="36" t="s">
        <v>227</v>
      </c>
      <c r="G35" s="36"/>
      <c r="H35" s="36"/>
    </row>
    <row r="36" spans="1:11" ht="13" x14ac:dyDescent="0.3">
      <c r="C36" s="40" t="s">
        <v>180</v>
      </c>
      <c r="D36" s="72" t="s">
        <v>228</v>
      </c>
      <c r="E36" s="40" t="s">
        <v>229</v>
      </c>
      <c r="F36" s="40" t="s">
        <v>230</v>
      </c>
      <c r="G36" s="40" t="s">
        <v>231</v>
      </c>
      <c r="H36" s="40" t="s">
        <v>232</v>
      </c>
      <c r="I36" s="40" t="s">
        <v>42</v>
      </c>
    </row>
    <row r="37" spans="1:11" ht="13" x14ac:dyDescent="0.3">
      <c r="A37" s="36">
        <f>A30+1</f>
        <v>24</v>
      </c>
      <c r="C37" s="66">
        <v>920</v>
      </c>
      <c r="D37" s="129">
        <f>SUM(E37:H37)</f>
        <v>216390816.24808747</v>
      </c>
      <c r="E37" s="128">
        <v>5339758.3299999982</v>
      </c>
      <c r="F37" s="128"/>
      <c r="G37" s="42">
        <f>G58</f>
        <v>211051057.91808745</v>
      </c>
      <c r="H37" s="128"/>
      <c r="I37" s="38" t="s">
        <v>233</v>
      </c>
    </row>
    <row r="38" spans="1:11" ht="13" x14ac:dyDescent="0.3">
      <c r="A38" s="36">
        <f>A37+1</f>
        <v>25</v>
      </c>
      <c r="C38" s="66">
        <v>921</v>
      </c>
      <c r="D38" s="129">
        <f t="shared" ref="D38:D50" si="4">SUM(E38:H38)</f>
        <v>77496.839999999909</v>
      </c>
      <c r="E38" s="128">
        <v>77496.839999999909</v>
      </c>
      <c r="F38" s="128"/>
      <c r="G38" s="128">
        <v>0</v>
      </c>
      <c r="H38" s="128"/>
      <c r="I38" s="38"/>
    </row>
    <row r="39" spans="1:11" ht="13.5" thickBot="1" x14ac:dyDescent="0.35">
      <c r="A39" s="36">
        <f t="shared" ref="A39:A50" si="5">A38+1</f>
        <v>26</v>
      </c>
      <c r="C39" s="66">
        <v>922</v>
      </c>
      <c r="D39" s="129">
        <f t="shared" si="4"/>
        <v>-106131573.86</v>
      </c>
      <c r="E39" s="128">
        <v>-3857843.8600000003</v>
      </c>
      <c r="F39" s="128"/>
      <c r="G39" s="128">
        <v>-102273730</v>
      </c>
      <c r="H39" s="128"/>
      <c r="I39" s="38"/>
    </row>
    <row r="40" spans="1:11" ht="13.5" thickBot="1" x14ac:dyDescent="0.35">
      <c r="A40" s="36">
        <f t="shared" si="5"/>
        <v>27</v>
      </c>
      <c r="C40" s="66">
        <v>923</v>
      </c>
      <c r="D40" s="126">
        <f t="shared" si="4"/>
        <v>1846551.77</v>
      </c>
      <c r="E40" s="127">
        <v>1846551.77</v>
      </c>
      <c r="F40" s="128"/>
      <c r="G40" s="128">
        <v>0</v>
      </c>
      <c r="H40" s="128"/>
      <c r="I40" s="38"/>
      <c r="J40" s="40"/>
      <c r="K40" s="40"/>
    </row>
    <row r="41" spans="1:11" ht="13" x14ac:dyDescent="0.3">
      <c r="A41" s="36">
        <f t="shared" si="5"/>
        <v>28</v>
      </c>
      <c r="C41" s="66">
        <v>924</v>
      </c>
      <c r="D41" s="129">
        <f t="shared" si="4"/>
        <v>0</v>
      </c>
      <c r="E41" s="128">
        <v>0</v>
      </c>
      <c r="F41" s="128"/>
      <c r="G41" s="128">
        <v>0</v>
      </c>
      <c r="H41" s="128"/>
      <c r="I41" s="38"/>
      <c r="K41" s="42"/>
    </row>
    <row r="42" spans="1:11" ht="13" x14ac:dyDescent="0.3">
      <c r="A42" s="36">
        <f t="shared" si="5"/>
        <v>29</v>
      </c>
      <c r="C42" s="66">
        <v>925</v>
      </c>
      <c r="D42" s="129">
        <f t="shared" si="4"/>
        <v>221963259.82000002</v>
      </c>
      <c r="E42" s="128">
        <v>221963259.82000002</v>
      </c>
      <c r="F42" s="128"/>
      <c r="G42" s="128">
        <v>0</v>
      </c>
      <c r="H42" s="128"/>
      <c r="I42" s="38" t="s">
        <v>287</v>
      </c>
      <c r="K42" s="42"/>
    </row>
    <row r="43" spans="1:11" ht="13" x14ac:dyDescent="0.3">
      <c r="A43" s="36">
        <f t="shared" si="5"/>
        <v>30</v>
      </c>
      <c r="C43" s="66">
        <v>926</v>
      </c>
      <c r="D43" s="129">
        <f t="shared" si="4"/>
        <v>4785563.4750000015</v>
      </c>
      <c r="E43" s="128">
        <v>4785563.4750000015</v>
      </c>
      <c r="F43" s="128"/>
      <c r="G43" s="128">
        <v>0</v>
      </c>
      <c r="H43" s="42">
        <f>E71</f>
        <v>0</v>
      </c>
      <c r="I43" s="38" t="s">
        <v>234</v>
      </c>
      <c r="K43" s="42"/>
    </row>
    <row r="44" spans="1:11" ht="13" x14ac:dyDescent="0.3">
      <c r="A44" s="36">
        <f t="shared" si="5"/>
        <v>31</v>
      </c>
      <c r="C44" s="66">
        <v>927</v>
      </c>
      <c r="D44" s="129">
        <f t="shared" si="4"/>
        <v>126503079</v>
      </c>
      <c r="E44" s="42">
        <v>0</v>
      </c>
      <c r="F44" s="42">
        <f>E13</f>
        <v>126503079</v>
      </c>
      <c r="G44" s="42">
        <v>0</v>
      </c>
      <c r="H44" s="42">
        <v>0</v>
      </c>
      <c r="I44" s="38" t="s">
        <v>235</v>
      </c>
      <c r="K44" s="42"/>
    </row>
    <row r="45" spans="1:11" ht="13" x14ac:dyDescent="0.3">
      <c r="A45" s="36">
        <f t="shared" si="5"/>
        <v>32</v>
      </c>
      <c r="C45" s="66">
        <v>928</v>
      </c>
      <c r="D45" s="129">
        <f t="shared" si="4"/>
        <v>7858892.7299999995</v>
      </c>
      <c r="E45" s="128">
        <v>7858892.7299999995</v>
      </c>
      <c r="F45" s="128"/>
      <c r="G45" s="117">
        <v>0</v>
      </c>
      <c r="H45" s="128"/>
      <c r="I45" s="38"/>
      <c r="K45" s="42"/>
    </row>
    <row r="46" spans="1:11" ht="13" x14ac:dyDescent="0.3">
      <c r="A46" s="36">
        <f t="shared" si="5"/>
        <v>33</v>
      </c>
      <c r="C46" s="66">
        <v>929</v>
      </c>
      <c r="D46" s="129">
        <f t="shared" si="4"/>
        <v>0</v>
      </c>
      <c r="E46" s="128">
        <v>0</v>
      </c>
      <c r="F46" s="128"/>
      <c r="G46" s="117">
        <v>0</v>
      </c>
      <c r="H46" s="128"/>
      <c r="I46" s="38"/>
      <c r="K46" s="42"/>
    </row>
    <row r="47" spans="1:11" ht="13" x14ac:dyDescent="0.3">
      <c r="A47" s="36">
        <f t="shared" si="5"/>
        <v>34</v>
      </c>
      <c r="C47" s="66">
        <v>930.1</v>
      </c>
      <c r="D47" s="129">
        <f t="shared" si="4"/>
        <v>0</v>
      </c>
      <c r="E47" s="128">
        <v>0</v>
      </c>
      <c r="F47" s="128"/>
      <c r="G47" s="117">
        <v>0</v>
      </c>
      <c r="H47" s="128"/>
      <c r="I47" s="38"/>
      <c r="K47" s="42"/>
    </row>
    <row r="48" spans="1:11" ht="13" x14ac:dyDescent="0.3">
      <c r="A48" s="36">
        <f t="shared" si="5"/>
        <v>35</v>
      </c>
      <c r="C48" s="66">
        <v>930.2</v>
      </c>
      <c r="D48" s="129">
        <f t="shared" si="4"/>
        <v>24997914.76999994</v>
      </c>
      <c r="E48" s="128">
        <v>24997914.76999994</v>
      </c>
      <c r="F48" s="128"/>
      <c r="G48" s="117">
        <v>0</v>
      </c>
      <c r="H48" s="128"/>
      <c r="I48" s="38"/>
      <c r="J48" s="42"/>
    </row>
    <row r="49" spans="1:10" ht="13" x14ac:dyDescent="0.3">
      <c r="A49" s="36">
        <f t="shared" si="5"/>
        <v>36</v>
      </c>
      <c r="C49" s="66">
        <v>931</v>
      </c>
      <c r="D49" s="129">
        <f t="shared" si="4"/>
        <v>0</v>
      </c>
      <c r="E49" s="128">
        <v>0</v>
      </c>
      <c r="F49" s="128"/>
      <c r="G49" s="117">
        <v>0</v>
      </c>
      <c r="H49" s="128"/>
      <c r="I49" s="38"/>
      <c r="J49" s="42"/>
    </row>
    <row r="50" spans="1:10" ht="13" x14ac:dyDescent="0.3">
      <c r="A50" s="36">
        <f t="shared" si="5"/>
        <v>37</v>
      </c>
      <c r="C50" s="66">
        <v>935</v>
      </c>
      <c r="D50" s="129">
        <f t="shared" si="4"/>
        <v>674197.83</v>
      </c>
      <c r="E50" s="128">
        <v>674197.83</v>
      </c>
      <c r="F50" s="128"/>
      <c r="G50" s="117">
        <v>0</v>
      </c>
      <c r="H50" s="128"/>
      <c r="I50" s="38"/>
    </row>
    <row r="51" spans="1:10" ht="13" x14ac:dyDescent="0.3">
      <c r="A51" s="36"/>
      <c r="C51" s="66"/>
      <c r="D51" s="129"/>
      <c r="E51" s="42"/>
      <c r="F51" s="42"/>
      <c r="G51" s="42"/>
      <c r="H51" s="42"/>
      <c r="I51" s="38"/>
    </row>
    <row r="52" spans="1:10" ht="13" x14ac:dyDescent="0.3">
      <c r="B52" s="32" t="s">
        <v>236</v>
      </c>
    </row>
    <row r="53" spans="1:10" ht="13" x14ac:dyDescent="0.3">
      <c r="B53" s="32"/>
      <c r="C53" s="33" t="s">
        <v>237</v>
      </c>
      <c r="G53" s="36"/>
      <c r="H53" s="36"/>
    </row>
    <row r="54" spans="1:10" ht="13" x14ac:dyDescent="0.3">
      <c r="B54" s="32"/>
      <c r="C54" s="59" t="s">
        <v>238</v>
      </c>
      <c r="D54" s="59"/>
      <c r="E54" s="59"/>
      <c r="G54" s="36"/>
      <c r="H54" s="36"/>
    </row>
    <row r="55" spans="1:10" ht="13" x14ac:dyDescent="0.3">
      <c r="B55" s="32"/>
      <c r="C55" s="160" t="s">
        <v>285</v>
      </c>
      <c r="D55" s="62" t="s">
        <v>305</v>
      </c>
      <c r="G55" s="40" t="s">
        <v>32</v>
      </c>
      <c r="H55" s="40" t="s">
        <v>33</v>
      </c>
    </row>
    <row r="56" spans="1:10" ht="13" x14ac:dyDescent="0.3">
      <c r="A56" s="36"/>
      <c r="B56" s="36" t="s">
        <v>114</v>
      </c>
      <c r="C56" s="162"/>
      <c r="F56" s="52" t="s">
        <v>239</v>
      </c>
      <c r="G56" s="128">
        <v>204547459.39999998</v>
      </c>
      <c r="H56" s="38" t="s">
        <v>240</v>
      </c>
    </row>
    <row r="57" spans="1:10" ht="13" x14ac:dyDescent="0.3">
      <c r="A57" s="36"/>
      <c r="B57" s="36" t="s">
        <v>116</v>
      </c>
      <c r="F57" s="52" t="s">
        <v>241</v>
      </c>
      <c r="G57" s="48">
        <f>E61</f>
        <v>-6503598.5180874765</v>
      </c>
      <c r="H57" s="38" t="str">
        <f>"Note 2, "&amp;B61&amp;""</f>
        <v>Note 2, d</v>
      </c>
    </row>
    <row r="58" spans="1:10" ht="13" x14ac:dyDescent="0.3">
      <c r="A58" s="36"/>
      <c r="B58" s="36" t="s">
        <v>119</v>
      </c>
      <c r="F58" s="52" t="s">
        <v>242</v>
      </c>
      <c r="G58" s="42">
        <f>G56-G57</f>
        <v>211051057.91808745</v>
      </c>
    </row>
    <row r="59" spans="1:10" ht="13" x14ac:dyDescent="0.3">
      <c r="A59" s="36"/>
      <c r="C59" s="59" t="s">
        <v>243</v>
      </c>
      <c r="D59" s="59"/>
      <c r="E59" s="59"/>
      <c r="G59" s="42"/>
    </row>
    <row r="60" spans="1:10" ht="13" x14ac:dyDescent="0.3">
      <c r="A60" s="36"/>
      <c r="D60" s="39" t="s">
        <v>244</v>
      </c>
      <c r="E60" s="40" t="s">
        <v>32</v>
      </c>
      <c r="F60" s="40" t="s">
        <v>33</v>
      </c>
      <c r="G60" s="42"/>
    </row>
    <row r="61" spans="1:10" ht="13" x14ac:dyDescent="0.3">
      <c r="A61" s="36"/>
      <c r="B61" s="36" t="s">
        <v>121</v>
      </c>
      <c r="D61" s="33" t="s">
        <v>245</v>
      </c>
      <c r="E61" s="117">
        <v>-6503598.5180874765</v>
      </c>
      <c r="F61" s="38" t="s">
        <v>246</v>
      </c>
      <c r="G61" s="42"/>
    </row>
    <row r="62" spans="1:10" ht="13" x14ac:dyDescent="0.3">
      <c r="A62" s="36"/>
      <c r="B62" s="36" t="s">
        <v>125</v>
      </c>
      <c r="D62" s="33" t="s">
        <v>247</v>
      </c>
      <c r="E62" s="117">
        <v>-2814299.1675939336</v>
      </c>
      <c r="F62" s="38" t="s">
        <v>246</v>
      </c>
      <c r="G62" s="42"/>
      <c r="I62" s="118"/>
    </row>
    <row r="63" spans="1:10" ht="13" x14ac:dyDescent="0.3">
      <c r="A63" s="36"/>
      <c r="B63" s="36" t="s">
        <v>127</v>
      </c>
      <c r="D63" s="33" t="s">
        <v>248</v>
      </c>
      <c r="E63" s="119">
        <v>-9362216.8143185899</v>
      </c>
      <c r="F63" s="38" t="s">
        <v>246</v>
      </c>
      <c r="G63" s="42"/>
      <c r="I63" s="42"/>
    </row>
    <row r="64" spans="1:10" ht="13" x14ac:dyDescent="0.3">
      <c r="A64" s="36"/>
      <c r="B64" s="36" t="s">
        <v>129</v>
      </c>
      <c r="D64" s="52" t="s">
        <v>249</v>
      </c>
      <c r="E64" s="42">
        <f>SUM(E61:E63)</f>
        <v>-18680114.5</v>
      </c>
      <c r="F64" s="38" t="str">
        <f>"Sum of "&amp;B61&amp;" to "&amp;B63&amp;""</f>
        <v>Sum of d to f</v>
      </c>
      <c r="G64" s="42"/>
    </row>
    <row r="66" spans="1:6" ht="13" x14ac:dyDescent="0.3">
      <c r="B66" s="32" t="s">
        <v>250</v>
      </c>
    </row>
    <row r="67" spans="1:6" ht="13" x14ac:dyDescent="0.3">
      <c r="E67" s="40" t="s">
        <v>32</v>
      </c>
      <c r="F67" s="39" t="s">
        <v>251</v>
      </c>
    </row>
    <row r="68" spans="1:6" ht="13" x14ac:dyDescent="0.3">
      <c r="A68" s="36"/>
      <c r="B68" s="36" t="s">
        <v>114</v>
      </c>
      <c r="D68" s="52" t="s">
        <v>252</v>
      </c>
      <c r="E68" s="130">
        <v>0</v>
      </c>
      <c r="F68" s="38" t="s">
        <v>253</v>
      </c>
    </row>
    <row r="69" spans="1:6" ht="13" x14ac:dyDescent="0.3">
      <c r="A69" s="36"/>
      <c r="B69" s="36" t="s">
        <v>116</v>
      </c>
      <c r="D69" s="52" t="s">
        <v>254</v>
      </c>
      <c r="E69" s="131">
        <v>0</v>
      </c>
      <c r="F69" s="38" t="s">
        <v>255</v>
      </c>
    </row>
    <row r="70" spans="1:6" ht="13" x14ac:dyDescent="0.3">
      <c r="A70" s="36"/>
      <c r="B70" s="36" t="s">
        <v>119</v>
      </c>
      <c r="D70" s="52" t="s">
        <v>256</v>
      </c>
      <c r="E70" s="132">
        <v>0</v>
      </c>
      <c r="F70" s="38" t="s">
        <v>240</v>
      </c>
    </row>
    <row r="71" spans="1:6" ht="13" x14ac:dyDescent="0.3">
      <c r="A71" s="36"/>
      <c r="B71" s="36" t="s">
        <v>121</v>
      </c>
      <c r="D71" s="52" t="s">
        <v>257</v>
      </c>
      <c r="E71" s="42">
        <f>E70-E69</f>
        <v>0</v>
      </c>
      <c r="F71" s="38" t="str">
        <f>""&amp;B70&amp;" - "&amp;B69&amp;""</f>
        <v>c - b</v>
      </c>
    </row>
    <row r="72" spans="1:6" ht="13" x14ac:dyDescent="0.3">
      <c r="A72" s="36"/>
      <c r="B72" s="32" t="s">
        <v>258</v>
      </c>
      <c r="D72" s="52"/>
      <c r="E72" s="42"/>
      <c r="F72" s="38"/>
    </row>
    <row r="73" spans="1:6" ht="13" x14ac:dyDescent="0.3">
      <c r="A73" s="36"/>
      <c r="B73" s="32"/>
      <c r="C73" s="33" t="str">
        <f>"Amount in Line "&amp;A44&amp;", column 2 equals amount in Line "&amp;A13&amp;", column 1 because all Franchise Requirements Expenses are excluded"</f>
        <v>Amount in Line 31, column 2 equals amount in Line 8, column 1 because all Franchise Requirements Expenses are excluded</v>
      </c>
      <c r="D73" s="52"/>
      <c r="E73" s="42"/>
      <c r="F73" s="38"/>
    </row>
    <row r="74" spans="1:6" ht="13" x14ac:dyDescent="0.3">
      <c r="A74" s="36"/>
      <c r="B74" s="32"/>
      <c r="C74" s="33" t="s">
        <v>259</v>
      </c>
      <c r="D74" s="52"/>
      <c r="E74" s="42"/>
      <c r="F74" s="38"/>
    </row>
    <row r="75" spans="1:6" ht="13" x14ac:dyDescent="0.3">
      <c r="A75" s="36"/>
      <c r="B75" s="32" t="s">
        <v>423</v>
      </c>
      <c r="D75" s="52"/>
      <c r="E75" s="42"/>
      <c r="F75" s="38"/>
    </row>
    <row r="76" spans="1:6" ht="13" x14ac:dyDescent="0.3">
      <c r="A76" s="36"/>
      <c r="B76" s="32"/>
      <c r="C76" s="33" t="s">
        <v>424</v>
      </c>
      <c r="D76" s="52"/>
      <c r="E76" s="42"/>
      <c r="F76" s="38"/>
    </row>
    <row r="77" spans="1:6" ht="13" x14ac:dyDescent="0.3">
      <c r="A77" s="36"/>
      <c r="B77" s="32"/>
      <c r="C77" s="33" t="s">
        <v>425</v>
      </c>
      <c r="D77" s="52"/>
      <c r="E77" s="42"/>
      <c r="F77" s="38"/>
    </row>
    <row r="78" spans="1:6" x14ac:dyDescent="0.25">
      <c r="C78" s="33" t="s">
        <v>426</v>
      </c>
    </row>
    <row r="79" spans="1:6" ht="13" x14ac:dyDescent="0.3">
      <c r="B79" s="32" t="s">
        <v>104</v>
      </c>
    </row>
    <row r="80" spans="1:6" x14ac:dyDescent="0.25">
      <c r="C80" s="33" t="str">
        <f>"1) Enter amounts of A&amp;G expenses from FERC Form 1 in Lines "&amp;A6&amp;" to "&amp;A19&amp;"."</f>
        <v>1) Enter amounts of A&amp;G expenses from FERC Form 1 in Lines 1 to 14.</v>
      </c>
    </row>
    <row r="81" spans="3:7" x14ac:dyDescent="0.25">
      <c r="C81" s="33" t="s">
        <v>260</v>
      </c>
      <c r="G81" s="33" t="str">
        <f>"Column 3, Line "&amp;A37&amp;""</f>
        <v>Column 3, Line 24</v>
      </c>
    </row>
    <row r="82" spans="3:7" x14ac:dyDescent="0.25">
      <c r="C82" s="38" t="str">
        <f>"is calculated in Note 2.  The PBOPs exclusion in Column 4, Line "&amp;A43&amp;" is calculated in Note 3."</f>
        <v>is calculated in Note 2.  The PBOPs exclusion in Column 4, Line 30 is calculated in Note 3.</v>
      </c>
    </row>
    <row r="83" spans="3:7" x14ac:dyDescent="0.25">
      <c r="C83" s="38" t="s">
        <v>261</v>
      </c>
    </row>
    <row r="84" spans="3:7" x14ac:dyDescent="0.25">
      <c r="C84" s="38" t="s">
        <v>262</v>
      </c>
      <c r="D84" s="52"/>
      <c r="E84" s="42"/>
      <c r="F84" s="38"/>
    </row>
    <row r="85" spans="3:7" x14ac:dyDescent="0.25">
      <c r="C85" s="38" t="s">
        <v>263</v>
      </c>
      <c r="D85" s="52"/>
      <c r="E85" s="42"/>
      <c r="F85" s="38"/>
    </row>
    <row r="86" spans="3:7" x14ac:dyDescent="0.25">
      <c r="C86" s="38" t="s">
        <v>264</v>
      </c>
    </row>
    <row r="87" spans="3:7" x14ac:dyDescent="0.25">
      <c r="C87" s="38" t="s">
        <v>265</v>
      </c>
    </row>
    <row r="88" spans="3:7" x14ac:dyDescent="0.25">
      <c r="C88" s="38" t="s">
        <v>266</v>
      </c>
    </row>
    <row r="89" spans="3:7" x14ac:dyDescent="0.25">
      <c r="C89" s="38" t="s">
        <v>267</v>
      </c>
    </row>
    <row r="90" spans="3:7" x14ac:dyDescent="0.25">
      <c r="C90" s="38" t="s">
        <v>268</v>
      </c>
    </row>
    <row r="91" spans="3:7" x14ac:dyDescent="0.25">
      <c r="C91" s="38" t="s">
        <v>269</v>
      </c>
      <c r="E91" s="133"/>
      <c r="F91" s="133"/>
      <c r="G91" s="133"/>
    </row>
    <row r="92" spans="3:7" x14ac:dyDescent="0.25">
      <c r="C92" s="134" t="s">
        <v>270</v>
      </c>
      <c r="E92" s="133"/>
      <c r="F92" s="133"/>
      <c r="G92" s="133"/>
    </row>
    <row r="93" spans="3:7" x14ac:dyDescent="0.25">
      <c r="C93" s="134" t="s">
        <v>271</v>
      </c>
      <c r="E93" s="133"/>
      <c r="F93" s="133"/>
      <c r="G93" s="133"/>
    </row>
    <row r="94" spans="3:7" x14ac:dyDescent="0.25">
      <c r="C94" s="134" t="s">
        <v>272</v>
      </c>
      <c r="E94" s="133"/>
      <c r="F94" s="133"/>
      <c r="G94" s="133"/>
    </row>
    <row r="95" spans="3:7" x14ac:dyDescent="0.25">
      <c r="C95" s="38" t="s">
        <v>273</v>
      </c>
      <c r="E95" s="133"/>
      <c r="F95" s="133"/>
      <c r="G95" s="133"/>
    </row>
    <row r="96" spans="3:7" x14ac:dyDescent="0.25">
      <c r="C96" s="134" t="s">
        <v>274</v>
      </c>
      <c r="E96" s="133"/>
      <c r="F96" s="133"/>
      <c r="G96" s="133"/>
    </row>
    <row r="97" spans="3:10" x14ac:dyDescent="0.25">
      <c r="C97" s="134" t="s">
        <v>275</v>
      </c>
      <c r="E97" s="133"/>
      <c r="F97" s="133"/>
      <c r="G97" s="133"/>
    </row>
    <row r="98" spans="3:10" x14ac:dyDescent="0.25">
      <c r="C98" s="134" t="s">
        <v>276</v>
      </c>
      <c r="E98" s="133"/>
      <c r="F98" s="133"/>
      <c r="G98" s="133"/>
    </row>
    <row r="99" spans="3:10" x14ac:dyDescent="0.25">
      <c r="C99" s="134" t="s">
        <v>277</v>
      </c>
      <c r="E99" s="133"/>
      <c r="F99" s="133"/>
      <c r="G99" s="133"/>
    </row>
    <row r="100" spans="3:10" ht="13" x14ac:dyDescent="0.3">
      <c r="C100" s="68" t="s">
        <v>278</v>
      </c>
      <c r="D100" s="59"/>
      <c r="E100" s="59"/>
      <c r="F100" s="59"/>
      <c r="G100" s="59"/>
      <c r="H100" s="59"/>
      <c r="I100" s="59"/>
      <c r="J100" s="59"/>
    </row>
    <row r="101" spans="3:10" x14ac:dyDescent="0.25">
      <c r="C101" s="33" t="s">
        <v>279</v>
      </c>
    </row>
    <row r="102" spans="3:10" x14ac:dyDescent="0.25">
      <c r="C102" s="68" t="s">
        <v>280</v>
      </c>
      <c r="D102" s="59"/>
      <c r="E102" s="59"/>
      <c r="F102" s="59"/>
      <c r="G102" s="59"/>
      <c r="H102" s="59"/>
      <c r="I102" s="59"/>
    </row>
    <row r="103" spans="3:10" x14ac:dyDescent="0.25">
      <c r="C103" s="33" t="str">
        <f>"4) Determine the PBOPs exclusion.  The authorized amount of PBOPs expense (line "&amp;B68&amp;") may only be revised"</f>
        <v>4) Determine the PBOPs exclusion.  The authorized amount of PBOPs expense (line a) may only be revised</v>
      </c>
    </row>
    <row r="104" spans="3:10" x14ac:dyDescent="0.25">
      <c r="C104" s="33" t="s">
        <v>281</v>
      </c>
    </row>
    <row r="105" spans="3:10" x14ac:dyDescent="0.25">
      <c r="C105" s="33" t="s">
        <v>282</v>
      </c>
    </row>
    <row r="106" spans="3:10" x14ac:dyDescent="0.25">
      <c r="C106" s="33" t="s">
        <v>283</v>
      </c>
      <c r="I106" s="62" t="s">
        <v>427</v>
      </c>
      <c r="J106" s="62"/>
    </row>
    <row r="107" spans="3:10" x14ac:dyDescent="0.25">
      <c r="C107" s="33" t="s">
        <v>284</v>
      </c>
    </row>
    <row r="108" spans="3:10" x14ac:dyDescent="0.25">
      <c r="C108" s="33" t="s">
        <v>289</v>
      </c>
    </row>
    <row r="109" spans="3:10" x14ac:dyDescent="0.25">
      <c r="C109" s="33" t="s">
        <v>290</v>
      </c>
    </row>
    <row r="110" spans="3:10" x14ac:dyDescent="0.25">
      <c r="C110" s="33" t="s">
        <v>291</v>
      </c>
    </row>
    <row r="111" spans="3:10" x14ac:dyDescent="0.25">
      <c r="C111" s="33" t="s">
        <v>292</v>
      </c>
    </row>
    <row r="112" spans="3:10" x14ac:dyDescent="0.25">
      <c r="C112" s="33" t="s">
        <v>293</v>
      </c>
    </row>
    <row r="113" spans="3:3" x14ac:dyDescent="0.25">
      <c r="C113" s="163"/>
    </row>
  </sheetData>
  <pageMargins left="0.75" right="0.75" top="1" bottom="1" header="0.5" footer="0.5"/>
  <pageSetup scale="68" orientation="landscape" cellComments="asDisplayed" r:id="rId1"/>
  <headerFooter alignWithMargins="0">
    <oddHeader>&amp;CSchedule 20
Administrative and General Expenses
(Revised 2021 True Up TRR)&amp;RTO2024 Draft Annual Update
Attachment 4
WP-Schedule 3-One Time Adj Prior Period
Page &amp;P of &amp;N</oddHeader>
    <oddFooter>&amp;R&amp;A</oddFooter>
  </headerFooter>
  <rowBreaks count="2" manualBreakCount="2">
    <brk id="51" max="10" man="1"/>
    <brk id="78" max="16383" man="1"/>
  </rowBreaks>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61D3-C477-40EC-A6B5-E38DBB62EA8E}">
  <sheetPr>
    <tabColor rgb="FFFFCC99"/>
  </sheetPr>
  <dimension ref="A1:I42"/>
  <sheetViews>
    <sheetView zoomScaleNormal="100" workbookViewId="0">
      <selection activeCell="I14" sqref="I14"/>
    </sheetView>
  </sheetViews>
  <sheetFormatPr defaultRowHeight="12.5" x14ac:dyDescent="0.25"/>
  <cols>
    <col min="1" max="1" width="4.54296875" style="33" customWidth="1"/>
    <col min="2" max="2" width="3.54296875" style="33" customWidth="1"/>
    <col min="3" max="6" width="10.54296875" style="33" customWidth="1"/>
    <col min="7" max="7" width="11" style="33" bestFit="1" customWidth="1"/>
    <col min="8" max="8" width="4.54296875" style="33" customWidth="1"/>
    <col min="9" max="9" width="35.54296875" style="33" customWidth="1"/>
    <col min="10" max="16384" width="8.7265625" style="33"/>
  </cols>
  <sheetData>
    <row r="1" spans="1:9" ht="13" x14ac:dyDescent="0.3">
      <c r="A1" s="32" t="s">
        <v>310</v>
      </c>
    </row>
    <row r="2" spans="1:9" ht="13" x14ac:dyDescent="0.3">
      <c r="C2" s="282"/>
      <c r="D2" s="32" t="s">
        <v>285</v>
      </c>
      <c r="E2" s="62" t="s">
        <v>311</v>
      </c>
      <c r="F2" s="161"/>
    </row>
    <row r="3" spans="1:9" ht="13" x14ac:dyDescent="0.3">
      <c r="B3" s="32" t="s">
        <v>312</v>
      </c>
      <c r="I3" s="62" t="s">
        <v>171</v>
      </c>
    </row>
    <row r="4" spans="1:9" ht="13" x14ac:dyDescent="0.3">
      <c r="B4" s="32"/>
    </row>
    <row r="5" spans="1:9" ht="13" x14ac:dyDescent="0.3">
      <c r="E5" s="36" t="s">
        <v>313</v>
      </c>
    </row>
    <row r="6" spans="1:9" ht="13" x14ac:dyDescent="0.3">
      <c r="A6" s="39" t="s">
        <v>308</v>
      </c>
      <c r="C6" s="40" t="s">
        <v>111</v>
      </c>
      <c r="D6" s="40" t="s">
        <v>112</v>
      </c>
      <c r="E6" s="39" t="s">
        <v>314</v>
      </c>
      <c r="G6" s="40" t="s">
        <v>315</v>
      </c>
      <c r="I6" s="39" t="s">
        <v>316</v>
      </c>
    </row>
    <row r="7" spans="1:9" ht="13" x14ac:dyDescent="0.3">
      <c r="A7" s="36">
        <v>1</v>
      </c>
      <c r="C7" s="283">
        <v>2021</v>
      </c>
      <c r="D7" s="156" t="s">
        <v>317</v>
      </c>
      <c r="E7" s="156">
        <v>365</v>
      </c>
      <c r="G7" s="284">
        <v>9.3645816374923023E-3</v>
      </c>
      <c r="I7" s="285" t="s">
        <v>318</v>
      </c>
    </row>
    <row r="8" spans="1:9" ht="13" x14ac:dyDescent="0.3">
      <c r="A8" s="36">
        <v>2</v>
      </c>
      <c r="C8" s="62"/>
      <c r="D8" s="62"/>
      <c r="E8" s="62"/>
      <c r="G8" s="62"/>
      <c r="I8" s="62"/>
    </row>
    <row r="10" spans="1:9" ht="13" x14ac:dyDescent="0.3">
      <c r="B10" s="32" t="s">
        <v>319</v>
      </c>
    </row>
    <row r="11" spans="1:9" ht="13" x14ac:dyDescent="0.3">
      <c r="B11" s="32"/>
    </row>
    <row r="12" spans="1:9" ht="13" x14ac:dyDescent="0.3">
      <c r="E12" s="36" t="s">
        <v>313</v>
      </c>
    </row>
    <row r="13" spans="1:9" ht="13" x14ac:dyDescent="0.3">
      <c r="C13" s="40" t="s">
        <v>111</v>
      </c>
      <c r="D13" s="40" t="s">
        <v>112</v>
      </c>
      <c r="E13" s="39" t="s">
        <v>314</v>
      </c>
      <c r="G13" s="40" t="s">
        <v>320</v>
      </c>
      <c r="I13" s="39" t="s">
        <v>316</v>
      </c>
    </row>
    <row r="14" spans="1:9" ht="13" x14ac:dyDescent="0.3">
      <c r="A14" s="36">
        <v>3</v>
      </c>
      <c r="C14" s="283">
        <v>2021</v>
      </c>
      <c r="D14" s="156" t="s">
        <v>317</v>
      </c>
      <c r="E14" s="156">
        <v>365</v>
      </c>
      <c r="G14" s="295">
        <v>9.873264123544865E-3</v>
      </c>
      <c r="I14" s="62" t="s">
        <v>321</v>
      </c>
    </row>
    <row r="15" spans="1:9" ht="13" x14ac:dyDescent="0.3">
      <c r="A15" s="36">
        <v>4</v>
      </c>
      <c r="C15" s="283"/>
      <c r="D15" s="62"/>
      <c r="E15" s="62"/>
      <c r="G15" s="287"/>
      <c r="I15" s="62"/>
    </row>
    <row r="18" spans="1:9" ht="13" x14ac:dyDescent="0.3">
      <c r="B18" s="32" t="s">
        <v>322</v>
      </c>
    </row>
    <row r="19" spans="1:9" ht="13" x14ac:dyDescent="0.3">
      <c r="B19" s="32"/>
    </row>
    <row r="20" spans="1:9" ht="13" x14ac:dyDescent="0.3">
      <c r="C20" s="36" t="s">
        <v>323</v>
      </c>
      <c r="D20" s="36"/>
      <c r="E20" s="36"/>
    </row>
    <row r="21" spans="1:9" ht="13" x14ac:dyDescent="0.3">
      <c r="C21" s="40" t="s">
        <v>17</v>
      </c>
      <c r="D21" s="40" t="s">
        <v>315</v>
      </c>
      <c r="E21" s="40" t="s">
        <v>320</v>
      </c>
      <c r="I21" s="39" t="s">
        <v>42</v>
      </c>
    </row>
    <row r="22" spans="1:9" ht="13" x14ac:dyDescent="0.3">
      <c r="A22" s="36">
        <v>5</v>
      </c>
      <c r="C22" s="156">
        <v>2021</v>
      </c>
      <c r="D22" s="277">
        <f>E41</f>
        <v>9.3645816374923023E-3</v>
      </c>
      <c r="E22" s="277">
        <f>E42</f>
        <v>9.873264123544865E-3</v>
      </c>
      <c r="I22" s="33" t="s">
        <v>324</v>
      </c>
    </row>
    <row r="24" spans="1:9" ht="13" x14ac:dyDescent="0.3">
      <c r="B24" s="32" t="s">
        <v>152</v>
      </c>
    </row>
    <row r="25" spans="1:9" x14ac:dyDescent="0.25">
      <c r="B25" s="33" t="s">
        <v>325</v>
      </c>
    </row>
    <row r="26" spans="1:9" x14ac:dyDescent="0.25">
      <c r="B26" s="33" t="s">
        <v>326</v>
      </c>
    </row>
    <row r="28" spans="1:9" ht="13" x14ac:dyDescent="0.3">
      <c r="B28" s="32" t="s">
        <v>104</v>
      </c>
    </row>
    <row r="29" spans="1:9" x14ac:dyDescent="0.25">
      <c r="B29" s="33" t="s">
        <v>327</v>
      </c>
    </row>
    <row r="30" spans="1:9" x14ac:dyDescent="0.25">
      <c r="B30" s="33" t="s">
        <v>328</v>
      </c>
    </row>
    <row r="31" spans="1:9" x14ac:dyDescent="0.25">
      <c r="B31" s="33" t="s">
        <v>329</v>
      </c>
    </row>
    <row r="32" spans="1:9" x14ac:dyDescent="0.25">
      <c r="B32" s="33" t="s">
        <v>330</v>
      </c>
    </row>
    <row r="33" spans="2:7" x14ac:dyDescent="0.25">
      <c r="B33" s="33" t="s">
        <v>331</v>
      </c>
    </row>
    <row r="34" spans="2:7" x14ac:dyDescent="0.25">
      <c r="B34" s="33" t="s">
        <v>332</v>
      </c>
    </row>
    <row r="35" spans="2:7" x14ac:dyDescent="0.25">
      <c r="B35" s="33" t="s">
        <v>333</v>
      </c>
    </row>
    <row r="36" spans="2:7" x14ac:dyDescent="0.25">
      <c r="B36" s="33" t="s">
        <v>334</v>
      </c>
    </row>
    <row r="37" spans="2:7" x14ac:dyDescent="0.25">
      <c r="B37" s="33" t="s">
        <v>335</v>
      </c>
    </row>
    <row r="38" spans="2:7" x14ac:dyDescent="0.25">
      <c r="B38" s="33" t="s">
        <v>336</v>
      </c>
    </row>
    <row r="40" spans="2:7" ht="13" x14ac:dyDescent="0.3">
      <c r="E40" s="40" t="s">
        <v>337</v>
      </c>
      <c r="G40" s="39" t="s">
        <v>37</v>
      </c>
    </row>
    <row r="41" spans="2:7" x14ac:dyDescent="0.25">
      <c r="D41" s="52" t="s">
        <v>338</v>
      </c>
      <c r="E41" s="277">
        <f>((G7*E7) + (G8*E8))/(E7+E8)</f>
        <v>9.3645816374923023E-3</v>
      </c>
      <c r="G41" s="288" t="s">
        <v>339</v>
      </c>
    </row>
    <row r="42" spans="2:7" x14ac:dyDescent="0.25">
      <c r="D42" s="52" t="s">
        <v>340</v>
      </c>
      <c r="E42" s="277">
        <f>((G14*E14) + (G15*E15))/(E14+E15)</f>
        <v>9.873264123544865E-3</v>
      </c>
      <c r="G42" s="288" t="s">
        <v>341</v>
      </c>
    </row>
  </sheetData>
  <pageMargins left="0.75" right="0.75" top="1" bottom="1" header="0.5" footer="0.5"/>
  <pageSetup scale="82" orientation="portrait" cellComments="asDisplayed" r:id="rId1"/>
  <headerFooter alignWithMargins="0">
    <oddHeader>&amp;CSchedule 28
FF and U
(Revised 2021 True Up TRR)&amp;RTO2024 Draft Annual Update
Attachment 4
WP-Schedule 3-One Time Adj Prior Period
Page &amp;P of &amp;N</oddHeader>
    <oddFooter>&amp;R&amp;A</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69AF5-0514-4369-899C-BC753036E920}">
  <sheetPr>
    <tabColor rgb="FFFFCCCC"/>
  </sheetPr>
  <dimension ref="A3:H12"/>
  <sheetViews>
    <sheetView zoomScaleNormal="100" workbookViewId="0">
      <selection activeCell="B12" sqref="B12:H12"/>
    </sheetView>
  </sheetViews>
  <sheetFormatPr defaultRowHeight="12.5" x14ac:dyDescent="0.25"/>
  <cols>
    <col min="1" max="1" width="2.54296875" style="267" customWidth="1"/>
    <col min="5" max="5" width="15.81640625" customWidth="1"/>
    <col min="6" max="6" width="13.453125" customWidth="1"/>
    <col min="7" max="7" width="15.1796875" customWidth="1"/>
    <col min="8" max="8" width="17.453125" customWidth="1"/>
  </cols>
  <sheetData>
    <row r="3" spans="2:8" x14ac:dyDescent="0.25">
      <c r="B3" s="327" t="s">
        <v>342</v>
      </c>
      <c r="C3" s="327"/>
      <c r="D3" s="327"/>
      <c r="E3" s="327"/>
      <c r="F3" s="327"/>
      <c r="G3" s="327"/>
      <c r="H3" s="327"/>
    </row>
    <row r="4" spans="2:8" x14ac:dyDescent="0.25">
      <c r="B4" s="327"/>
      <c r="C4" s="327"/>
      <c r="D4" s="327"/>
      <c r="E4" s="327"/>
      <c r="F4" s="327"/>
      <c r="G4" s="327"/>
      <c r="H4" s="327"/>
    </row>
    <row r="5" spans="2:8" ht="14.5" x14ac:dyDescent="0.35">
      <c r="B5" s="328" t="s">
        <v>31</v>
      </c>
      <c r="C5" s="328"/>
      <c r="D5" s="328"/>
      <c r="E5" s="296" t="s">
        <v>32</v>
      </c>
      <c r="F5" s="329" t="s">
        <v>33</v>
      </c>
      <c r="G5" s="329"/>
      <c r="H5" s="329"/>
    </row>
    <row r="6" spans="2:8" ht="38.5" customHeight="1" x14ac:dyDescent="0.35">
      <c r="B6" s="317" t="s">
        <v>359</v>
      </c>
      <c r="C6" s="330"/>
      <c r="D6" s="331"/>
      <c r="E6" s="31">
        <f>'WP-2017 TO13 Sch4-TUTRR'!E73</f>
        <v>1014299779.1105522</v>
      </c>
      <c r="F6" s="332" t="s">
        <v>439</v>
      </c>
      <c r="G6" s="332"/>
      <c r="H6" s="332"/>
    </row>
    <row r="7" spans="2:8" ht="37" customHeight="1" x14ac:dyDescent="0.35">
      <c r="B7" s="317" t="s">
        <v>358</v>
      </c>
      <c r="C7" s="318"/>
      <c r="D7" s="319"/>
      <c r="E7" s="31">
        <f>'WP-2017 TO13 Sch4-TUTRR'!J71</f>
        <v>1014304831.2974253</v>
      </c>
      <c r="F7" s="317" t="s">
        <v>364</v>
      </c>
      <c r="G7" s="320"/>
      <c r="H7" s="321"/>
    </row>
    <row r="8" spans="2:8" ht="14.5" x14ac:dyDescent="0.35">
      <c r="B8" s="322" t="s">
        <v>34</v>
      </c>
      <c r="C8" s="322"/>
      <c r="D8" s="323"/>
      <c r="E8" s="299">
        <f>E6-E7</f>
        <v>-5052.1868730783463</v>
      </c>
      <c r="F8" s="324"/>
      <c r="G8" s="324"/>
      <c r="H8" s="324"/>
    </row>
    <row r="9" spans="2:8" ht="14.5" x14ac:dyDescent="0.35">
      <c r="B9" s="29"/>
      <c r="C9" s="29"/>
      <c r="D9" s="29"/>
      <c r="E9" s="29"/>
      <c r="F9" s="29"/>
      <c r="G9" s="29"/>
      <c r="H9" s="29"/>
    </row>
    <row r="10" spans="2:8" ht="14.5" x14ac:dyDescent="0.35">
      <c r="B10" s="29"/>
      <c r="C10" s="29"/>
      <c r="D10" s="29"/>
      <c r="E10" s="29"/>
      <c r="F10" s="29"/>
      <c r="G10" s="29"/>
      <c r="H10" s="29"/>
    </row>
    <row r="11" spans="2:8" ht="14.5" x14ac:dyDescent="0.35">
      <c r="B11" s="121" t="s">
        <v>141</v>
      </c>
      <c r="C11" s="29"/>
      <c r="D11" s="29"/>
      <c r="E11" s="29"/>
      <c r="F11" s="29"/>
      <c r="G11" s="29"/>
      <c r="H11" s="29"/>
    </row>
    <row r="12" spans="2:8" ht="29" customHeight="1" x14ac:dyDescent="0.35">
      <c r="B12" s="325" t="s">
        <v>447</v>
      </c>
      <c r="C12" s="326"/>
      <c r="D12" s="326"/>
      <c r="E12" s="326"/>
      <c r="F12" s="326"/>
      <c r="G12" s="326"/>
      <c r="H12" s="326"/>
    </row>
  </sheetData>
  <mergeCells count="10">
    <mergeCell ref="B3:H4"/>
    <mergeCell ref="B5:D5"/>
    <mergeCell ref="F5:H5"/>
    <mergeCell ref="B6:D6"/>
    <mergeCell ref="F6:H6"/>
    <mergeCell ref="B7:D7"/>
    <mergeCell ref="F7:H7"/>
    <mergeCell ref="B8:D8"/>
    <mergeCell ref="F8:H8"/>
    <mergeCell ref="B12:H12"/>
  </mergeCells>
  <pageMargins left="0.7" right="0.7" top="0.75" bottom="0.75" header="0.3" footer="0.3"/>
  <pageSetup orientation="portrait" r:id="rId1"/>
  <headerFooter>
    <oddHeader>&amp;RTO2024 Draft Annual Update
Attachment 4
WP-Schedule 3-One Time Adj Prior Period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6A9FA-E9A6-4224-AB7D-65D195A024A8}">
  <sheetPr>
    <tabColor rgb="FFFFCCCC"/>
  </sheetPr>
  <dimension ref="A1:L172"/>
  <sheetViews>
    <sheetView topLeftCell="A61" zoomScaleNormal="100" workbookViewId="0"/>
  </sheetViews>
  <sheetFormatPr defaultRowHeight="12.5" x14ac:dyDescent="0.25"/>
  <cols>
    <col min="1" max="2" width="4.7265625" style="234" customWidth="1"/>
    <col min="3" max="3" width="18.7265625" style="234" customWidth="1"/>
    <col min="4" max="4" width="10.26953125" style="234" bestFit="1" customWidth="1"/>
    <col min="5" max="7" width="15.7265625" style="234" customWidth="1"/>
    <col min="8" max="8" width="24.7265625" style="234" customWidth="1"/>
    <col min="9" max="9" width="4.54296875" style="234" customWidth="1"/>
    <col min="10" max="10" width="15.7265625" style="234" customWidth="1"/>
    <col min="11" max="11" width="16.453125" style="234" customWidth="1"/>
    <col min="12" max="12" width="26.6328125" style="234" customWidth="1"/>
    <col min="13" max="16384" width="8.7265625" style="234"/>
  </cols>
  <sheetData>
    <row r="1" spans="1:10" ht="13" x14ac:dyDescent="0.3">
      <c r="A1" s="166" t="s">
        <v>35</v>
      </c>
    </row>
    <row r="3" spans="1:10" ht="13" x14ac:dyDescent="0.3">
      <c r="B3" s="212" t="s">
        <v>36</v>
      </c>
    </row>
    <row r="4" spans="1:10" ht="13" x14ac:dyDescent="0.3">
      <c r="B4" s="213"/>
      <c r="F4" s="171" t="s">
        <v>37</v>
      </c>
      <c r="G4" s="171"/>
      <c r="H4" s="171" t="s">
        <v>38</v>
      </c>
    </row>
    <row r="5" spans="1:10" ht="13" x14ac:dyDescent="0.3">
      <c r="A5" s="172" t="s">
        <v>39</v>
      </c>
      <c r="B5" s="187"/>
      <c r="C5" s="195" t="s">
        <v>40</v>
      </c>
      <c r="F5" s="173" t="s">
        <v>41</v>
      </c>
      <c r="G5" s="173" t="s">
        <v>42</v>
      </c>
      <c r="H5" s="173" t="s">
        <v>43</v>
      </c>
      <c r="J5" s="173" t="s">
        <v>32</v>
      </c>
    </row>
    <row r="6" spans="1:10" ht="13" x14ac:dyDescent="0.3">
      <c r="A6" s="171">
        <v>1</v>
      </c>
      <c r="C6" s="208" t="s">
        <v>44</v>
      </c>
      <c r="F6" s="234" t="s">
        <v>45</v>
      </c>
      <c r="H6" s="208" t="s">
        <v>454</v>
      </c>
      <c r="J6" s="177">
        <v>8389794318.0711689</v>
      </c>
    </row>
    <row r="7" spans="1:10" ht="13" x14ac:dyDescent="0.3">
      <c r="A7" s="171">
        <f>A6+1</f>
        <v>2</v>
      </c>
      <c r="C7" s="208" t="s">
        <v>46</v>
      </c>
      <c r="F7" s="234" t="s">
        <v>47</v>
      </c>
      <c r="H7" s="208" t="s">
        <v>455</v>
      </c>
      <c r="J7" s="177">
        <v>252097756.36140126</v>
      </c>
    </row>
    <row r="8" spans="1:10" ht="13" x14ac:dyDescent="0.3">
      <c r="A8" s="171">
        <f>A7+1</f>
        <v>3</v>
      </c>
      <c r="C8" s="208" t="s">
        <v>48</v>
      </c>
      <c r="F8" s="234" t="s">
        <v>47</v>
      </c>
      <c r="H8" s="234" t="s">
        <v>456</v>
      </c>
      <c r="J8" s="177">
        <v>9942155</v>
      </c>
    </row>
    <row r="9" spans="1:10" ht="13" x14ac:dyDescent="0.3">
      <c r="A9" s="171">
        <f>A8+1</f>
        <v>4</v>
      </c>
      <c r="C9" s="208" t="s">
        <v>49</v>
      </c>
      <c r="F9" s="234" t="s">
        <v>47</v>
      </c>
      <c r="H9" s="176" t="s">
        <v>457</v>
      </c>
      <c r="J9" s="177">
        <v>0</v>
      </c>
    </row>
    <row r="10" spans="1:10" ht="13" x14ac:dyDescent="0.3">
      <c r="A10" s="171"/>
      <c r="C10" s="208"/>
      <c r="J10" s="177"/>
    </row>
    <row r="11" spans="1:10" ht="13" x14ac:dyDescent="0.3">
      <c r="A11" s="171"/>
      <c r="C11" s="214" t="s">
        <v>50</v>
      </c>
      <c r="J11" s="177"/>
    </row>
    <row r="12" spans="1:10" ht="13" x14ac:dyDescent="0.3">
      <c r="A12" s="171">
        <f>A9+1</f>
        <v>5</v>
      </c>
      <c r="C12" s="183" t="s">
        <v>51</v>
      </c>
      <c r="F12" s="234" t="s">
        <v>45</v>
      </c>
      <c r="H12" s="208" t="s">
        <v>458</v>
      </c>
      <c r="J12" s="177">
        <v>13057096.81033094</v>
      </c>
    </row>
    <row r="13" spans="1:10" ht="13" x14ac:dyDescent="0.3">
      <c r="A13" s="171">
        <f>A12+1</f>
        <v>6</v>
      </c>
      <c r="C13" s="187" t="s">
        <v>52</v>
      </c>
      <c r="F13" s="234" t="s">
        <v>45</v>
      </c>
      <c r="H13" s="208" t="s">
        <v>459</v>
      </c>
      <c r="J13" s="177">
        <v>10647092.7937865</v>
      </c>
    </row>
    <row r="14" spans="1:10" ht="13" x14ac:dyDescent="0.3">
      <c r="A14" s="171">
        <f>A13+1</f>
        <v>7</v>
      </c>
      <c r="C14" s="183" t="s">
        <v>53</v>
      </c>
      <c r="F14" s="176" t="s">
        <v>360</v>
      </c>
      <c r="H14" s="234" t="s">
        <v>460</v>
      </c>
      <c r="J14" s="179">
        <v>7811013.6433948725</v>
      </c>
    </row>
    <row r="15" spans="1:10" ht="13" x14ac:dyDescent="0.3">
      <c r="A15" s="171">
        <f>A14+1</f>
        <v>8</v>
      </c>
      <c r="C15" s="183" t="s">
        <v>54</v>
      </c>
      <c r="H15" s="234" t="str">
        <f>"Line "&amp;A12&amp;" + Line "&amp;A13&amp;" + Line "&amp;A14&amp;""</f>
        <v>Line 5 + Line 6 + Line 7</v>
      </c>
      <c r="J15" s="175">
        <f>SUM(J12:J14)</f>
        <v>31515203.247512311</v>
      </c>
    </row>
    <row r="16" spans="1:10" ht="13" x14ac:dyDescent="0.3">
      <c r="A16" s="171"/>
      <c r="C16" s="183"/>
      <c r="J16" s="177"/>
    </row>
    <row r="17" spans="1:10" ht="13" x14ac:dyDescent="0.3">
      <c r="A17" s="171"/>
      <c r="C17" s="215" t="s">
        <v>55</v>
      </c>
      <c r="J17" s="177"/>
    </row>
    <row r="18" spans="1:10" ht="13" x14ac:dyDescent="0.3">
      <c r="A18" s="171">
        <f>A15+1</f>
        <v>9</v>
      </c>
      <c r="C18" s="183" t="s">
        <v>56</v>
      </c>
      <c r="F18" s="234" t="s">
        <v>45</v>
      </c>
      <c r="G18" s="234" t="s">
        <v>57</v>
      </c>
      <c r="H18" s="208" t="s">
        <v>476</v>
      </c>
      <c r="J18" s="177">
        <v>-1549914566.8389716</v>
      </c>
    </row>
    <row r="19" spans="1:10" ht="13" x14ac:dyDescent="0.3">
      <c r="A19" s="171">
        <f>A18+1</f>
        <v>10</v>
      </c>
      <c r="C19" s="183" t="s">
        <v>58</v>
      </c>
      <c r="F19" s="234" t="s">
        <v>47</v>
      </c>
      <c r="G19" s="234" t="s">
        <v>57</v>
      </c>
      <c r="H19" s="208" t="s">
        <v>477</v>
      </c>
      <c r="J19" s="177">
        <v>0</v>
      </c>
    </row>
    <row r="20" spans="1:10" ht="13" x14ac:dyDescent="0.3">
      <c r="A20" s="171">
        <f>A19+1</f>
        <v>11</v>
      </c>
      <c r="C20" s="183" t="s">
        <v>59</v>
      </c>
      <c r="D20" s="47"/>
      <c r="F20" s="234" t="s">
        <v>47</v>
      </c>
      <c r="G20" s="234" t="s">
        <v>57</v>
      </c>
      <c r="H20" s="208" t="s">
        <v>478</v>
      </c>
      <c r="J20" s="184">
        <v>-102849091.48355895</v>
      </c>
    </row>
    <row r="21" spans="1:10" ht="13" x14ac:dyDescent="0.3">
      <c r="A21" s="171">
        <f>A20+1</f>
        <v>12</v>
      </c>
      <c r="C21" s="49" t="s">
        <v>60</v>
      </c>
      <c r="D21" s="47"/>
      <c r="H21" s="234" t="str">
        <f>"Line "&amp;A18&amp;" + Line "&amp;A19&amp;" + Line "&amp;A20&amp;""</f>
        <v>Line 9 + Line 10 + Line 11</v>
      </c>
      <c r="J21" s="177">
        <f>SUM(J18:J20)</f>
        <v>-1652763658.3225305</v>
      </c>
    </row>
    <row r="22" spans="1:10" ht="13" x14ac:dyDescent="0.3">
      <c r="A22" s="171"/>
      <c r="C22" s="176"/>
      <c r="J22" s="177"/>
    </row>
    <row r="23" spans="1:10" ht="13" x14ac:dyDescent="0.3">
      <c r="A23" s="171">
        <f>A21+1</f>
        <v>13</v>
      </c>
      <c r="C23" s="216" t="s">
        <v>61</v>
      </c>
      <c r="F23" s="234" t="s">
        <v>47</v>
      </c>
      <c r="H23" s="208" t="s">
        <v>479</v>
      </c>
      <c r="J23" s="177">
        <v>-1600478571.7718422</v>
      </c>
    </row>
    <row r="24" spans="1:10" ht="13" x14ac:dyDescent="0.3">
      <c r="A24" s="171">
        <f>A23+1</f>
        <v>14</v>
      </c>
      <c r="C24" s="208" t="s">
        <v>62</v>
      </c>
      <c r="F24" s="234" t="s">
        <v>45</v>
      </c>
      <c r="H24" s="208" t="s">
        <v>493</v>
      </c>
      <c r="J24" s="175">
        <v>106455574.58566985</v>
      </c>
    </row>
    <row r="25" spans="1:10" ht="13" x14ac:dyDescent="0.3">
      <c r="A25" s="171">
        <f>A24+1</f>
        <v>15</v>
      </c>
      <c r="C25" s="216" t="s">
        <v>63</v>
      </c>
      <c r="F25" s="234" t="s">
        <v>47</v>
      </c>
      <c r="G25" s="234" t="s">
        <v>57</v>
      </c>
      <c r="H25" s="208" t="s">
        <v>494</v>
      </c>
      <c r="J25" s="177">
        <v>-106562330.36</v>
      </c>
    </row>
    <row r="26" spans="1:10" ht="13" x14ac:dyDescent="0.3">
      <c r="A26" s="171" t="s">
        <v>309</v>
      </c>
      <c r="C26" s="208" t="s">
        <v>64</v>
      </c>
      <c r="H26" s="176" t="s">
        <v>482</v>
      </c>
      <c r="J26" s="177">
        <v>-10165090.793968515</v>
      </c>
    </row>
    <row r="27" spans="1:10" ht="13" x14ac:dyDescent="0.3">
      <c r="A27" s="171">
        <v>16</v>
      </c>
      <c r="C27" s="216" t="s">
        <v>65</v>
      </c>
      <c r="F27" s="234" t="s">
        <v>47</v>
      </c>
      <c r="H27" s="208" t="s">
        <v>483</v>
      </c>
      <c r="J27" s="177">
        <v>0</v>
      </c>
    </row>
    <row r="28" spans="1:10" ht="13" x14ac:dyDescent="0.3">
      <c r="A28" s="171"/>
      <c r="C28" s="216"/>
    </row>
    <row r="29" spans="1:10" ht="13" x14ac:dyDescent="0.3">
      <c r="A29" s="171">
        <v>17</v>
      </c>
      <c r="C29" s="234" t="s">
        <v>66</v>
      </c>
      <c r="H29" s="234" t="str">
        <f>"L"&amp;A6&amp;"+L"&amp;A7&amp;"+L"&amp;A8&amp;"+L"&amp;A9&amp;"+L"&amp;A15&amp;"+L"&amp;A21&amp;"+"</f>
        <v>L1+L2+L3+L4+L8+L12+</v>
      </c>
      <c r="J29" s="175">
        <f>J6+ J7+J8+J9+J15+J21+J23+J24+J25+J26+J27</f>
        <v>5419835356.0174112</v>
      </c>
    </row>
    <row r="30" spans="1:10" ht="13" x14ac:dyDescent="0.3">
      <c r="A30" s="171"/>
      <c r="H30" s="234" t="str">
        <f>"L"&amp;A23&amp;"+L"&amp;A24&amp;"+L"&amp;A25&amp;"+L"&amp;A26&amp;"+L"&amp;A27&amp;""</f>
        <v>L13+L14+L15+L15a+L16</v>
      </c>
      <c r="J30" s="177"/>
    </row>
    <row r="31" spans="1:10" ht="13" x14ac:dyDescent="0.3">
      <c r="A31" s="171"/>
      <c r="B31" s="166" t="s">
        <v>67</v>
      </c>
      <c r="J31" s="177"/>
    </row>
    <row r="32" spans="1:10" ht="13" x14ac:dyDescent="0.3">
      <c r="A32" s="172" t="s">
        <v>39</v>
      </c>
      <c r="C32" s="166"/>
      <c r="J32" s="177"/>
    </row>
    <row r="33" spans="1:10" ht="13" x14ac:dyDescent="0.3">
      <c r="A33" s="171">
        <f>A29+1</f>
        <v>18</v>
      </c>
      <c r="C33" s="234" t="s">
        <v>68</v>
      </c>
      <c r="G33" s="176" t="s">
        <v>69</v>
      </c>
      <c r="H33" s="176" t="str">
        <f>"Instruction 1, Line "&amp;B98&amp;""</f>
        <v>Instruction 1, Line j</v>
      </c>
      <c r="J33" s="217">
        <f>E98</f>
        <v>7.2499706024635166E-2</v>
      </c>
    </row>
    <row r="34" spans="1:10" ht="13" x14ac:dyDescent="0.3">
      <c r="A34" s="171">
        <f>A33+1</f>
        <v>19</v>
      </c>
      <c r="C34" s="176" t="s">
        <v>70</v>
      </c>
      <c r="D34" s="176"/>
      <c r="E34" s="176"/>
      <c r="F34" s="176"/>
      <c r="G34" s="176"/>
      <c r="H34" s="234" t="str">
        <f>"Line "&amp;A29&amp;" * Line "&amp;A33&amp;""</f>
        <v>Line 17 * Line 18</v>
      </c>
      <c r="J34" s="181">
        <f>J29*J33</f>
        <v>392936470.01318622</v>
      </c>
    </row>
    <row r="35" spans="1:10" ht="13" x14ac:dyDescent="0.3">
      <c r="A35" s="171"/>
      <c r="B35" s="187"/>
    </row>
    <row r="36" spans="1:10" ht="13" x14ac:dyDescent="0.3">
      <c r="A36" s="171"/>
      <c r="B36" s="166" t="s">
        <v>71</v>
      </c>
    </row>
    <row r="37" spans="1:10" ht="13" x14ac:dyDescent="0.3">
      <c r="A37" s="171"/>
      <c r="B37" s="187"/>
    </row>
    <row r="38" spans="1:10" ht="13" x14ac:dyDescent="0.3">
      <c r="A38" s="171">
        <f>A34+1</f>
        <v>20</v>
      </c>
      <c r="C38" s="176" t="s">
        <v>72</v>
      </c>
      <c r="J38" s="175">
        <f>(((J29*J42) + J45) *(J43/(1-J43)))+(J44/(1-J43))</f>
        <v>201959869.12858835</v>
      </c>
    </row>
    <row r="39" spans="1:10" ht="13" x14ac:dyDescent="0.3">
      <c r="A39" s="171"/>
      <c r="J39" s="176"/>
    </row>
    <row r="40" spans="1:10" ht="13" x14ac:dyDescent="0.3">
      <c r="A40" s="171"/>
      <c r="D40" s="234" t="s">
        <v>73</v>
      </c>
    </row>
    <row r="41" spans="1:10" ht="13" x14ac:dyDescent="0.3">
      <c r="A41" s="171">
        <f>A38+1</f>
        <v>21</v>
      </c>
      <c r="D41" s="187" t="s">
        <v>74</v>
      </c>
      <c r="H41" s="234" t="str">
        <f>"Line "&amp;A29&amp;""</f>
        <v>Line 17</v>
      </c>
      <c r="J41" s="175">
        <f>J29</f>
        <v>5419835356.0174112</v>
      </c>
    </row>
    <row r="42" spans="1:10" ht="13" x14ac:dyDescent="0.3">
      <c r="A42" s="171">
        <f>A41+1</f>
        <v>22</v>
      </c>
      <c r="D42" s="183" t="s">
        <v>75</v>
      </c>
      <c r="G42" s="176" t="s">
        <v>76</v>
      </c>
      <c r="H42" s="176" t="str">
        <f>"Instruction 1, Line "&amp;B103&amp;""</f>
        <v>Instruction 1, Line k</v>
      </c>
      <c r="J42" s="186">
        <f>E103</f>
        <v>5.2592059258897372E-2</v>
      </c>
    </row>
    <row r="43" spans="1:10" ht="13" x14ac:dyDescent="0.3">
      <c r="A43" s="171">
        <f>A42+1</f>
        <v>23</v>
      </c>
      <c r="D43" s="187" t="s">
        <v>77</v>
      </c>
      <c r="H43" s="234" t="s">
        <v>486</v>
      </c>
      <c r="J43" s="186">
        <v>0.40745999999999999</v>
      </c>
    </row>
    <row r="44" spans="1:10" ht="13" x14ac:dyDescent="0.3">
      <c r="A44" s="171">
        <f>A43+1</f>
        <v>24</v>
      </c>
      <c r="D44" s="187" t="s">
        <v>78</v>
      </c>
      <c r="H44" s="234" t="s">
        <v>487</v>
      </c>
      <c r="J44" s="177">
        <v>2086200</v>
      </c>
    </row>
    <row r="45" spans="1:10" ht="13" x14ac:dyDescent="0.3">
      <c r="A45" s="171">
        <f>A44+1</f>
        <v>25</v>
      </c>
      <c r="D45" s="187" t="s">
        <v>79</v>
      </c>
      <c r="H45" s="234" t="s">
        <v>488</v>
      </c>
      <c r="J45" s="194">
        <v>3535511</v>
      </c>
    </row>
    <row r="46" spans="1:10" ht="13" x14ac:dyDescent="0.3">
      <c r="A46" s="171"/>
      <c r="B46" s="187"/>
    </row>
    <row r="47" spans="1:10" ht="13" x14ac:dyDescent="0.3">
      <c r="A47" s="171"/>
      <c r="B47" s="166" t="s">
        <v>80</v>
      </c>
    </row>
    <row r="48" spans="1:10" ht="13" x14ac:dyDescent="0.3">
      <c r="A48" s="171">
        <f>A45+1</f>
        <v>26</v>
      </c>
      <c r="B48" s="187"/>
      <c r="C48" s="234" t="s">
        <v>81</v>
      </c>
      <c r="H48" s="234" t="s">
        <v>463</v>
      </c>
      <c r="J48" s="177">
        <v>78644833.663867712</v>
      </c>
    </row>
    <row r="49" spans="1:10" ht="13" x14ac:dyDescent="0.3">
      <c r="A49" s="171">
        <f t="shared" ref="A49:A60" si="0">A48+1</f>
        <v>27</v>
      </c>
      <c r="B49" s="187"/>
      <c r="C49" s="176" t="s">
        <v>82</v>
      </c>
      <c r="H49" s="234" t="s">
        <v>464</v>
      </c>
      <c r="J49" s="175">
        <v>46331384.630450249</v>
      </c>
    </row>
    <row r="50" spans="1:10" ht="13" x14ac:dyDescent="0.3">
      <c r="A50" s="171" t="s">
        <v>361</v>
      </c>
      <c r="B50" s="187"/>
      <c r="C50" s="176" t="s">
        <v>362</v>
      </c>
      <c r="H50" s="234" t="s">
        <v>495</v>
      </c>
      <c r="J50" s="177">
        <v>-6504.559255276572</v>
      </c>
    </row>
    <row r="51" spans="1:10" ht="13" x14ac:dyDescent="0.3">
      <c r="A51" s="171">
        <f>A49+1</f>
        <v>28</v>
      </c>
      <c r="B51" s="187"/>
      <c r="C51" s="234" t="s">
        <v>83</v>
      </c>
      <c r="H51" s="234" t="s">
        <v>465</v>
      </c>
      <c r="J51" s="177">
        <v>6116850.9299999997</v>
      </c>
    </row>
    <row r="52" spans="1:10" ht="13" x14ac:dyDescent="0.3">
      <c r="A52" s="171">
        <f t="shared" si="0"/>
        <v>29</v>
      </c>
      <c r="B52" s="187"/>
      <c r="C52" s="176" t="s">
        <v>84</v>
      </c>
      <c r="H52" s="234" t="s">
        <v>466</v>
      </c>
      <c r="J52" s="177">
        <v>239582730.61420554</v>
      </c>
    </row>
    <row r="53" spans="1:10" ht="13" x14ac:dyDescent="0.3">
      <c r="A53" s="171">
        <f t="shared" si="0"/>
        <v>30</v>
      </c>
      <c r="B53" s="187"/>
      <c r="C53" s="176" t="s">
        <v>85</v>
      </c>
      <c r="H53" s="234" t="s">
        <v>467</v>
      </c>
      <c r="J53" s="177">
        <v>0</v>
      </c>
    </row>
    <row r="54" spans="1:10" ht="13" x14ac:dyDescent="0.3">
      <c r="A54" s="171">
        <f t="shared" si="0"/>
        <v>31</v>
      </c>
      <c r="B54" s="187"/>
      <c r="C54" s="176" t="s">
        <v>86</v>
      </c>
      <c r="H54" s="234" t="s">
        <v>468</v>
      </c>
      <c r="J54" s="177">
        <v>60990526.802731596</v>
      </c>
    </row>
    <row r="55" spans="1:10" ht="13" x14ac:dyDescent="0.3">
      <c r="A55" s="171">
        <f t="shared" si="0"/>
        <v>32</v>
      </c>
      <c r="B55" s="187"/>
      <c r="C55" s="234" t="s">
        <v>87</v>
      </c>
      <c r="G55" s="176"/>
      <c r="H55" s="234" t="s">
        <v>469</v>
      </c>
      <c r="J55" s="177">
        <v>-58832605.54180719</v>
      </c>
    </row>
    <row r="56" spans="1:10" ht="13" x14ac:dyDescent="0.3">
      <c r="A56" s="171">
        <f t="shared" si="0"/>
        <v>33</v>
      </c>
      <c r="B56" s="187"/>
      <c r="C56" s="234" t="s">
        <v>88</v>
      </c>
      <c r="H56" s="234" t="str">
        <f>"Line "&amp;A34&amp;""</f>
        <v>Line 19</v>
      </c>
      <c r="J56" s="175">
        <f>J34</f>
        <v>392936470.01318622</v>
      </c>
    </row>
    <row r="57" spans="1:10" ht="13" x14ac:dyDescent="0.3">
      <c r="A57" s="171">
        <f t="shared" si="0"/>
        <v>34</v>
      </c>
      <c r="B57" s="187"/>
      <c r="C57" s="234" t="s">
        <v>89</v>
      </c>
      <c r="H57" s="234" t="str">
        <f>"Line "&amp;A38&amp;""</f>
        <v>Line 20</v>
      </c>
      <c r="J57" s="181">
        <f>J38</f>
        <v>201959869.12858835</v>
      </c>
    </row>
    <row r="58" spans="1:10" ht="13" x14ac:dyDescent="0.3">
      <c r="A58" s="171">
        <f t="shared" si="0"/>
        <v>35</v>
      </c>
      <c r="B58" s="187"/>
      <c r="C58" s="176" t="s">
        <v>90</v>
      </c>
      <c r="H58" s="234" t="s">
        <v>489</v>
      </c>
      <c r="J58" s="194">
        <v>0</v>
      </c>
    </row>
    <row r="59" spans="1:10" ht="13" x14ac:dyDescent="0.3">
      <c r="A59" s="171">
        <f t="shared" si="0"/>
        <v>36</v>
      </c>
      <c r="B59" s="187"/>
      <c r="C59" s="51" t="s">
        <v>91</v>
      </c>
      <c r="D59" s="51"/>
      <c r="H59" s="234" t="s">
        <v>471</v>
      </c>
      <c r="J59" s="184">
        <v>0</v>
      </c>
    </row>
    <row r="60" spans="1:10" ht="13" x14ac:dyDescent="0.3">
      <c r="A60" s="171">
        <f t="shared" si="0"/>
        <v>37</v>
      </c>
      <c r="B60" s="187"/>
      <c r="C60" s="176" t="s">
        <v>92</v>
      </c>
      <c r="H60" s="234" t="str">
        <f>"Sum Line "&amp;A48&amp;" to Line "&amp;A59&amp;""</f>
        <v>Sum Line 26 to Line 36</v>
      </c>
      <c r="J60" s="175">
        <f>SUM(J48:J59)</f>
        <v>967723555.68196714</v>
      </c>
    </row>
    <row r="61" spans="1:10" ht="13" x14ac:dyDescent="0.3">
      <c r="A61" s="171"/>
      <c r="B61" s="187"/>
      <c r="J61" s="177"/>
    </row>
    <row r="62" spans="1:10" ht="12.75" customHeight="1" x14ac:dyDescent="0.3">
      <c r="A62" s="171">
        <f>A60+1</f>
        <v>38</v>
      </c>
      <c r="B62" s="187"/>
      <c r="C62" s="176" t="s">
        <v>93</v>
      </c>
      <c r="H62" s="234" t="s">
        <v>484</v>
      </c>
      <c r="J62" s="177">
        <v>34932082.703325152</v>
      </c>
    </row>
    <row r="63" spans="1:10" ht="13" x14ac:dyDescent="0.3">
      <c r="A63" s="171"/>
      <c r="B63" s="187"/>
      <c r="C63" s="176"/>
      <c r="J63" s="177"/>
    </row>
    <row r="64" spans="1:10" ht="13" x14ac:dyDescent="0.3">
      <c r="A64" s="171">
        <f>A62+1</f>
        <v>39</v>
      </c>
      <c r="B64" s="187"/>
      <c r="C64" s="176" t="s">
        <v>94</v>
      </c>
      <c r="H64" s="234" t="str">
        <f>"Line "&amp;A60&amp;" + Line "&amp;A62&amp;""</f>
        <v>Line 37 + Line 38</v>
      </c>
      <c r="J64" s="175">
        <f>J60+J62</f>
        <v>1002655638.3852923</v>
      </c>
    </row>
    <row r="65" spans="1:12" ht="13" x14ac:dyDescent="0.3">
      <c r="A65" s="171"/>
      <c r="B65" s="187"/>
      <c r="C65" s="176"/>
      <c r="J65" s="177"/>
    </row>
    <row r="66" spans="1:12" ht="13" x14ac:dyDescent="0.3">
      <c r="A66" s="171"/>
      <c r="B66" s="212" t="s">
        <v>95</v>
      </c>
      <c r="C66" s="176"/>
      <c r="J66" s="177"/>
    </row>
    <row r="67" spans="1:12" ht="13.5" thickBot="1" x14ac:dyDescent="0.35">
      <c r="A67" s="172" t="s">
        <v>39</v>
      </c>
      <c r="B67" s="216"/>
      <c r="G67" s="195" t="s">
        <v>96</v>
      </c>
    </row>
    <row r="68" spans="1:12" ht="13" x14ac:dyDescent="0.3">
      <c r="A68" s="171">
        <f>A64+1</f>
        <v>40</v>
      </c>
      <c r="B68" s="216"/>
      <c r="D68" s="182" t="s">
        <v>97</v>
      </c>
      <c r="E68" s="175">
        <f>J64</f>
        <v>1002655638.3852923</v>
      </c>
      <c r="G68" s="234" t="str">
        <f>"Line "&amp;A64&amp;""</f>
        <v>Line 39</v>
      </c>
      <c r="J68" s="254" t="s">
        <v>98</v>
      </c>
    </row>
    <row r="69" spans="1:12" ht="13" x14ac:dyDescent="0.3">
      <c r="A69" s="171">
        <f>A68+1</f>
        <v>41</v>
      </c>
      <c r="B69" s="216"/>
      <c r="D69" s="182" t="s">
        <v>99</v>
      </c>
      <c r="E69" s="218">
        <v>9.2057000000000007E-3</v>
      </c>
      <c r="G69" s="234" t="s">
        <v>485</v>
      </c>
      <c r="J69" s="255" t="s">
        <v>363</v>
      </c>
    </row>
    <row r="70" spans="1:12" ht="13" x14ac:dyDescent="0.3">
      <c r="A70" s="171">
        <f>A69+1</f>
        <v>42</v>
      </c>
      <c r="B70" s="216"/>
      <c r="D70" s="180" t="s">
        <v>100</v>
      </c>
      <c r="E70" s="175">
        <v>9230147.0102834851</v>
      </c>
      <c r="G70" s="234" t="str">
        <f>"Line "&amp;A68&amp;" * Line "&amp;A69&amp;""</f>
        <v>Line 40 * Line 41</v>
      </c>
      <c r="J70" s="256">
        <f>E73</f>
        <v>1014299779.1105522</v>
      </c>
    </row>
    <row r="71" spans="1:12" ht="28" customHeight="1" x14ac:dyDescent="0.3">
      <c r="A71" s="171">
        <f>A70+1</f>
        <v>43</v>
      </c>
      <c r="B71" s="216"/>
      <c r="D71" s="182" t="s">
        <v>101</v>
      </c>
      <c r="E71" s="218">
        <v>2.4076000000000002E-3</v>
      </c>
      <c r="G71" s="234" t="s">
        <v>485</v>
      </c>
      <c r="J71" s="257">
        <v>1014304831.2974253</v>
      </c>
      <c r="K71" s="333" t="s">
        <v>364</v>
      </c>
      <c r="L71" s="334"/>
    </row>
    <row r="72" spans="1:12" ht="13.5" thickBot="1" x14ac:dyDescent="0.35">
      <c r="A72" s="171">
        <f>A71+1</f>
        <v>44</v>
      </c>
      <c r="B72" s="216"/>
      <c r="D72" s="182" t="s">
        <v>102</v>
      </c>
      <c r="E72" s="175">
        <v>2413993.7149764299</v>
      </c>
      <c r="G72" s="234" t="str">
        <f>"Line "&amp;A70&amp;" * Line "&amp;A71&amp;""</f>
        <v>Line 42 * Line 43</v>
      </c>
      <c r="J72" s="258">
        <f>J70-J71</f>
        <v>-5052.1868730783463</v>
      </c>
    </row>
    <row r="73" spans="1:12" ht="13" x14ac:dyDescent="0.3">
      <c r="A73" s="171">
        <f>A72+1</f>
        <v>45</v>
      </c>
      <c r="B73" s="216"/>
      <c r="D73" s="182" t="s">
        <v>103</v>
      </c>
      <c r="E73" s="175">
        <f>E68+E70+E72</f>
        <v>1014299779.1105522</v>
      </c>
      <c r="G73" s="234" t="str">
        <f>"L "&amp;A68&amp;" + L "&amp;A70&amp;" + L "&amp;A72&amp;""</f>
        <v>L 40 + L 42 + L 44</v>
      </c>
      <c r="K73" s="259">
        <f>J72</f>
        <v>-5052.1868730783463</v>
      </c>
      <c r="L73" s="260" t="s">
        <v>448</v>
      </c>
    </row>
    <row r="74" spans="1:12" ht="13" x14ac:dyDescent="0.3">
      <c r="B74" s="212" t="s">
        <v>104</v>
      </c>
      <c r="D74" s="180"/>
      <c r="E74" s="177"/>
      <c r="H74" s="59"/>
      <c r="K74" s="184"/>
    </row>
    <row r="75" spans="1:12" ht="13" x14ac:dyDescent="0.3">
      <c r="A75" s="171"/>
      <c r="B75" s="176" t="s">
        <v>365</v>
      </c>
      <c r="C75" s="212"/>
      <c r="D75" s="180"/>
      <c r="E75" s="177"/>
      <c r="K75" s="177"/>
    </row>
    <row r="76" spans="1:12" ht="13" x14ac:dyDescent="0.3">
      <c r="A76" s="171"/>
      <c r="B76" s="176" t="s">
        <v>366</v>
      </c>
      <c r="C76" s="212"/>
      <c r="D76" s="180"/>
      <c r="E76" s="177"/>
    </row>
    <row r="77" spans="1:12" ht="13" x14ac:dyDescent="0.3">
      <c r="A77" s="171"/>
      <c r="B77" s="208" t="s">
        <v>105</v>
      </c>
      <c r="C77" s="176"/>
      <c r="D77" s="180"/>
      <c r="E77" s="177"/>
    </row>
    <row r="78" spans="1:12" ht="13" x14ac:dyDescent="0.3">
      <c r="A78" s="171"/>
      <c r="B78" s="208" t="s">
        <v>106</v>
      </c>
      <c r="D78" s="180"/>
      <c r="E78" s="177"/>
    </row>
    <row r="79" spans="1:12" ht="13" x14ac:dyDescent="0.3">
      <c r="A79" s="171"/>
    </row>
    <row r="80" spans="1:12" ht="13" x14ac:dyDescent="0.3">
      <c r="A80" s="171"/>
      <c r="B80" s="176" t="s">
        <v>107</v>
      </c>
    </row>
    <row r="81" spans="1:12" ht="13" x14ac:dyDescent="0.3">
      <c r="A81" s="171"/>
      <c r="B81" s="176"/>
      <c r="C81" s="176" t="s">
        <v>108</v>
      </c>
    </row>
    <row r="82" spans="1:12" ht="13" x14ac:dyDescent="0.3">
      <c r="A82" s="171"/>
      <c r="B82" s="176"/>
      <c r="J82" s="171" t="s">
        <v>109</v>
      </c>
    </row>
    <row r="83" spans="1:12" ht="13" x14ac:dyDescent="0.3">
      <c r="A83" s="171"/>
      <c r="E83" s="173" t="s">
        <v>110</v>
      </c>
      <c r="F83" s="195" t="s">
        <v>96</v>
      </c>
      <c r="G83" s="173" t="s">
        <v>111</v>
      </c>
      <c r="H83" s="173" t="s">
        <v>112</v>
      </c>
      <c r="J83" s="173" t="s">
        <v>113</v>
      </c>
    </row>
    <row r="84" spans="1:12" ht="13" x14ac:dyDescent="0.3">
      <c r="B84" s="205" t="s">
        <v>114</v>
      </c>
      <c r="C84" s="176" t="s">
        <v>115</v>
      </c>
      <c r="E84" s="222">
        <v>9.8000000000000004E-2</v>
      </c>
      <c r="F84" s="234" t="s">
        <v>490</v>
      </c>
      <c r="G84" s="261" t="s">
        <v>367</v>
      </c>
      <c r="H84" s="262" t="s">
        <v>368</v>
      </c>
      <c r="I84" s="176"/>
      <c r="J84" s="188">
        <v>365</v>
      </c>
      <c r="K84" s="176"/>
      <c r="L84" s="176"/>
    </row>
    <row r="85" spans="1:12" ht="13" x14ac:dyDescent="0.3">
      <c r="B85" s="205" t="s">
        <v>116</v>
      </c>
      <c r="C85" s="176" t="s">
        <v>117</v>
      </c>
      <c r="E85" s="263">
        <v>9.8000000000000004E-2</v>
      </c>
      <c r="F85" s="176" t="s">
        <v>118</v>
      </c>
      <c r="G85" s="261"/>
      <c r="H85" s="262"/>
      <c r="I85" s="176"/>
      <c r="J85" s="188"/>
      <c r="K85" s="176"/>
      <c r="L85" s="176"/>
    </row>
    <row r="86" spans="1:12" ht="13" x14ac:dyDescent="0.3">
      <c r="B86" s="205" t="s">
        <v>119</v>
      </c>
      <c r="C86" s="176"/>
      <c r="E86" s="221"/>
      <c r="F86" s="176"/>
      <c r="G86" s="207"/>
      <c r="H86" s="207"/>
      <c r="I86" s="182" t="s">
        <v>120</v>
      </c>
      <c r="J86" s="176">
        <f>SUM(J84:J85)</f>
        <v>365</v>
      </c>
      <c r="K86" s="176"/>
      <c r="L86" s="176"/>
    </row>
    <row r="87" spans="1:12" ht="13" x14ac:dyDescent="0.3">
      <c r="B87" s="205" t="s">
        <v>121</v>
      </c>
      <c r="C87" s="176" t="s">
        <v>122</v>
      </c>
      <c r="E87" s="222">
        <f>((E84*J84) + (E85* J85)) / J86</f>
        <v>9.8000000000000004E-2</v>
      </c>
      <c r="F87" s="176" t="s">
        <v>123</v>
      </c>
      <c r="H87" s="176"/>
      <c r="I87" s="176"/>
      <c r="J87" s="176"/>
      <c r="K87" s="176"/>
      <c r="L87" s="176"/>
    </row>
    <row r="88" spans="1:12" ht="13" x14ac:dyDescent="0.3">
      <c r="A88" s="171"/>
      <c r="B88" s="176"/>
      <c r="H88" s="176"/>
      <c r="I88" s="176"/>
      <c r="J88" s="176"/>
      <c r="K88" s="176"/>
      <c r="L88" s="176"/>
    </row>
    <row r="89" spans="1:12" ht="13" x14ac:dyDescent="0.3">
      <c r="A89" s="171"/>
      <c r="B89" s="176" t="s">
        <v>124</v>
      </c>
      <c r="H89" s="176"/>
      <c r="I89" s="176"/>
      <c r="J89" s="176"/>
      <c r="K89" s="176"/>
      <c r="L89" s="176"/>
    </row>
    <row r="90" spans="1:12" ht="13" x14ac:dyDescent="0.3">
      <c r="A90" s="171"/>
      <c r="B90" s="176"/>
      <c r="E90" s="195" t="s">
        <v>96</v>
      </c>
      <c r="H90" s="176"/>
      <c r="I90" s="176"/>
      <c r="J90" s="176"/>
      <c r="K90" s="176"/>
      <c r="L90" s="176"/>
    </row>
    <row r="91" spans="1:12" ht="13" x14ac:dyDescent="0.3">
      <c r="B91" s="205" t="s">
        <v>125</v>
      </c>
      <c r="C91" s="176" t="s">
        <v>126</v>
      </c>
      <c r="E91" s="168" t="s">
        <v>369</v>
      </c>
      <c r="F91" s="168"/>
      <c r="G91" s="168"/>
      <c r="H91" s="188"/>
      <c r="I91" s="188"/>
      <c r="J91" s="188"/>
      <c r="K91" s="176"/>
      <c r="L91" s="176"/>
    </row>
    <row r="92" spans="1:12" ht="13" x14ac:dyDescent="0.3">
      <c r="B92" s="205" t="s">
        <v>127</v>
      </c>
      <c r="C92" s="176" t="s">
        <v>128</v>
      </c>
      <c r="E92" s="168" t="s">
        <v>369</v>
      </c>
      <c r="F92" s="168"/>
      <c r="G92" s="168"/>
      <c r="H92" s="188"/>
      <c r="I92" s="188"/>
      <c r="J92" s="188"/>
      <c r="K92" s="176"/>
      <c r="L92" s="176"/>
    </row>
    <row r="93" spans="1:12" x14ac:dyDescent="0.25">
      <c r="C93" s="176"/>
      <c r="E93" s="207"/>
      <c r="I93" s="176"/>
      <c r="J93" s="176"/>
      <c r="K93" s="176"/>
      <c r="L93" s="176"/>
    </row>
    <row r="94" spans="1:12" ht="13" x14ac:dyDescent="0.3">
      <c r="E94" s="173" t="s">
        <v>110</v>
      </c>
      <c r="F94" s="195" t="s">
        <v>96</v>
      </c>
      <c r="H94" s="176"/>
      <c r="I94" s="176"/>
    </row>
    <row r="95" spans="1:12" ht="13" x14ac:dyDescent="0.3">
      <c r="B95" s="205" t="s">
        <v>129</v>
      </c>
      <c r="C95" s="176" t="s">
        <v>130</v>
      </c>
      <c r="D95" s="176"/>
      <c r="E95" s="186">
        <v>1.9907646765737794E-2</v>
      </c>
      <c r="F95" s="234" t="s">
        <v>491</v>
      </c>
      <c r="H95" s="176"/>
      <c r="I95" s="176"/>
    </row>
    <row r="96" spans="1:12" ht="13" x14ac:dyDescent="0.3">
      <c r="B96" s="205" t="s">
        <v>131</v>
      </c>
      <c r="C96" s="176" t="s">
        <v>132</v>
      </c>
      <c r="E96" s="186">
        <v>4.9514327156233075E-3</v>
      </c>
      <c r="F96" s="234" t="s">
        <v>473</v>
      </c>
      <c r="H96" s="176"/>
      <c r="I96" s="176"/>
    </row>
    <row r="97" spans="1:10" ht="13" x14ac:dyDescent="0.3">
      <c r="B97" s="205" t="s">
        <v>133</v>
      </c>
      <c r="C97" s="176" t="s">
        <v>134</v>
      </c>
      <c r="E97" s="185">
        <v>4.7640626543274063E-2</v>
      </c>
      <c r="F97" s="234" t="s">
        <v>492</v>
      </c>
      <c r="G97" s="176"/>
      <c r="H97" s="176"/>
    </row>
    <row r="98" spans="1:10" ht="13" x14ac:dyDescent="0.3">
      <c r="B98" s="171" t="s">
        <v>135</v>
      </c>
      <c r="C98" s="183" t="s">
        <v>68</v>
      </c>
      <c r="E98" s="217">
        <f>SUM(E95:E97)</f>
        <v>7.2499706024635166E-2</v>
      </c>
      <c r="F98" s="177" t="str">
        <f>"Sum of Lines "&amp;B92&amp;" to "&amp;B96&amp;""</f>
        <v>Sum of Lines f to h</v>
      </c>
      <c r="G98" s="206"/>
      <c r="J98" s="227"/>
    </row>
    <row r="99" spans="1:10" ht="13" x14ac:dyDescent="0.3">
      <c r="A99" s="171"/>
      <c r="C99" s="68"/>
      <c r="D99" s="69"/>
      <c r="E99" s="177"/>
      <c r="F99" s="177"/>
      <c r="G99" s="206"/>
      <c r="H99" s="177"/>
      <c r="J99" s="227"/>
    </row>
    <row r="100" spans="1:10" ht="13" x14ac:dyDescent="0.3">
      <c r="A100" s="171"/>
      <c r="B100" s="176" t="s">
        <v>136</v>
      </c>
    </row>
    <row r="101" spans="1:10" ht="13" x14ac:dyDescent="0.3">
      <c r="A101" s="171"/>
    </row>
    <row r="102" spans="1:10" ht="13" x14ac:dyDescent="0.3">
      <c r="A102" s="171"/>
      <c r="E102" s="173" t="s">
        <v>110</v>
      </c>
      <c r="F102" s="195" t="s">
        <v>96</v>
      </c>
    </row>
    <row r="103" spans="1:10" ht="13" x14ac:dyDescent="0.3">
      <c r="B103" s="205" t="s">
        <v>137</v>
      </c>
      <c r="E103" s="186">
        <f>E96+E97</f>
        <v>5.2592059258897372E-2</v>
      </c>
      <c r="F103" s="177" t="str">
        <f>"Sum of Lines "&amp;B95&amp;" to "&amp;B96&amp;""</f>
        <v>Sum of Lines g to h</v>
      </c>
    </row>
    <row r="104" spans="1:10" ht="13" x14ac:dyDescent="0.3">
      <c r="A104" s="171"/>
      <c r="E104" s="186"/>
      <c r="F104" s="177"/>
    </row>
    <row r="105" spans="1:10" ht="13" x14ac:dyDescent="0.3">
      <c r="A105" s="171"/>
      <c r="B105" s="208" t="s">
        <v>370</v>
      </c>
      <c r="E105" s="206"/>
      <c r="F105" s="206"/>
      <c r="G105" s="206"/>
      <c r="H105" s="177"/>
    </row>
    <row r="106" spans="1:10" ht="13" x14ac:dyDescent="0.3">
      <c r="A106" s="171"/>
      <c r="B106" s="176" t="s">
        <v>371</v>
      </c>
    </row>
    <row r="107" spans="1:10" ht="13" x14ac:dyDescent="0.3">
      <c r="A107" s="171"/>
      <c r="B107" s="176" t="s">
        <v>372</v>
      </c>
      <c r="D107" s="171"/>
      <c r="E107" s="171"/>
      <c r="F107" s="171"/>
      <c r="G107" s="171"/>
      <c r="H107" s="171"/>
    </row>
    <row r="108" spans="1:10" ht="13" x14ac:dyDescent="0.3">
      <c r="A108" s="171"/>
      <c r="B108" s="208" t="s">
        <v>373</v>
      </c>
      <c r="D108" s="171"/>
      <c r="E108" s="171"/>
      <c r="F108" s="171"/>
      <c r="G108" s="171"/>
      <c r="H108" s="171"/>
    </row>
    <row r="109" spans="1:10" ht="13" x14ac:dyDescent="0.3">
      <c r="A109" s="171"/>
      <c r="B109" s="234" t="s">
        <v>374</v>
      </c>
      <c r="C109" s="70"/>
      <c r="D109" s="70"/>
      <c r="E109" s="173"/>
      <c r="F109" s="173"/>
      <c r="G109" s="173"/>
      <c r="H109" s="173"/>
    </row>
    <row r="110" spans="1:10" ht="13" x14ac:dyDescent="0.3">
      <c r="A110" s="171"/>
    </row>
    <row r="111" spans="1:10" ht="13" x14ac:dyDescent="0.3">
      <c r="A111" s="171"/>
    </row>
    <row r="112" spans="1:10" ht="13" x14ac:dyDescent="0.3">
      <c r="A112" s="171"/>
    </row>
    <row r="113" spans="1:10" ht="13" x14ac:dyDescent="0.3">
      <c r="A113" s="171"/>
      <c r="C113" s="68"/>
      <c r="E113" s="177"/>
      <c r="F113" s="177"/>
      <c r="H113" s="177"/>
      <c r="J113" s="227"/>
    </row>
    <row r="114" spans="1:10" ht="13" x14ac:dyDescent="0.3">
      <c r="A114" s="171"/>
      <c r="C114" s="68"/>
      <c r="E114" s="177"/>
      <c r="F114" s="177"/>
      <c r="H114" s="177"/>
      <c r="J114" s="227"/>
    </row>
    <row r="115" spans="1:10" ht="13" x14ac:dyDescent="0.3">
      <c r="A115" s="172"/>
      <c r="C115" s="68"/>
      <c r="E115" s="177"/>
      <c r="F115" s="177"/>
      <c r="H115" s="177"/>
      <c r="J115" s="227"/>
    </row>
    <row r="116" spans="1:10" ht="13" x14ac:dyDescent="0.3">
      <c r="A116" s="171"/>
      <c r="D116" s="71"/>
      <c r="E116" s="177"/>
      <c r="F116" s="177"/>
      <c r="G116" s="176"/>
      <c r="H116" s="177"/>
      <c r="J116" s="227"/>
    </row>
    <row r="117" spans="1:10" ht="13" x14ac:dyDescent="0.3">
      <c r="A117" s="171"/>
      <c r="C117" s="68"/>
      <c r="D117" s="182"/>
      <c r="E117" s="184"/>
      <c r="F117" s="177"/>
      <c r="G117" s="176"/>
      <c r="H117" s="177"/>
      <c r="J117" s="227"/>
    </row>
    <row r="118" spans="1:10" ht="13" x14ac:dyDescent="0.3">
      <c r="A118" s="171"/>
      <c r="C118" s="68"/>
      <c r="D118" s="182"/>
      <c r="E118" s="177"/>
      <c r="F118" s="177"/>
      <c r="G118" s="176"/>
      <c r="H118" s="177"/>
      <c r="J118" s="227"/>
    </row>
    <row r="119" spans="1:10" ht="13" x14ac:dyDescent="0.3">
      <c r="A119" s="171"/>
    </row>
    <row r="120" spans="1:10" ht="13" x14ac:dyDescent="0.3">
      <c r="A120" s="171"/>
      <c r="B120" s="166"/>
    </row>
    <row r="121" spans="1:10" ht="13" x14ac:dyDescent="0.3">
      <c r="A121" s="171"/>
    </row>
    <row r="122" spans="1:10" ht="13" x14ac:dyDescent="0.3">
      <c r="A122" s="171"/>
    </row>
    <row r="123" spans="1:10" ht="13" x14ac:dyDescent="0.3">
      <c r="A123" s="171"/>
      <c r="F123" s="171"/>
    </row>
    <row r="124" spans="1:10" ht="13" x14ac:dyDescent="0.3">
      <c r="A124" s="171"/>
      <c r="F124" s="171"/>
    </row>
    <row r="125" spans="1:10" ht="13" x14ac:dyDescent="0.3">
      <c r="A125" s="171"/>
      <c r="D125" s="171"/>
      <c r="E125" s="171"/>
      <c r="F125" s="171"/>
      <c r="H125" s="171"/>
    </row>
    <row r="126" spans="1:10" ht="13" x14ac:dyDescent="0.3">
      <c r="A126" s="171"/>
      <c r="D126" s="171"/>
      <c r="E126" s="171"/>
      <c r="F126" s="171"/>
      <c r="G126" s="171"/>
      <c r="H126" s="205"/>
    </row>
    <row r="127" spans="1:10" ht="13" x14ac:dyDescent="0.3">
      <c r="A127" s="172"/>
      <c r="C127" s="70"/>
      <c r="D127" s="70"/>
      <c r="E127" s="173"/>
      <c r="F127" s="170"/>
      <c r="G127" s="173"/>
      <c r="H127" s="205"/>
    </row>
    <row r="128" spans="1:10" ht="13" x14ac:dyDescent="0.3">
      <c r="A128" s="171"/>
      <c r="C128" s="68"/>
      <c r="D128" s="69"/>
      <c r="E128" s="177"/>
      <c r="F128" s="177"/>
      <c r="G128" s="222"/>
      <c r="H128" s="177"/>
    </row>
    <row r="129" spans="1:8" ht="13" x14ac:dyDescent="0.3">
      <c r="A129" s="171"/>
      <c r="C129" s="68"/>
      <c r="D129" s="69"/>
      <c r="E129" s="177"/>
      <c r="F129" s="177"/>
      <c r="G129" s="222"/>
      <c r="H129" s="177"/>
    </row>
    <row r="130" spans="1:8" ht="13" x14ac:dyDescent="0.3">
      <c r="A130" s="171"/>
      <c r="C130" s="68"/>
      <c r="D130" s="69"/>
      <c r="E130" s="177"/>
      <c r="F130" s="177"/>
      <c r="G130" s="222"/>
      <c r="H130" s="177"/>
    </row>
    <row r="131" spans="1:8" ht="13" x14ac:dyDescent="0.3">
      <c r="A131" s="171"/>
      <c r="C131" s="68"/>
      <c r="D131" s="69"/>
      <c r="E131" s="177"/>
      <c r="F131" s="177"/>
      <c r="G131" s="222"/>
      <c r="H131" s="177"/>
    </row>
    <row r="132" spans="1:8" ht="13" x14ac:dyDescent="0.3">
      <c r="A132" s="171"/>
      <c r="C132" s="68"/>
      <c r="D132" s="69"/>
      <c r="E132" s="177"/>
      <c r="F132" s="177"/>
      <c r="G132" s="222"/>
      <c r="H132" s="177"/>
    </row>
    <row r="133" spans="1:8" ht="13" x14ac:dyDescent="0.3">
      <c r="A133" s="171"/>
      <c r="C133" s="68"/>
      <c r="D133" s="69"/>
      <c r="E133" s="177"/>
      <c r="F133" s="177"/>
      <c r="G133" s="222"/>
      <c r="H133" s="177"/>
    </row>
    <row r="134" spans="1:8" ht="13" x14ac:dyDescent="0.3">
      <c r="A134" s="171"/>
      <c r="C134" s="68"/>
      <c r="D134" s="69"/>
      <c r="E134" s="177"/>
      <c r="F134" s="177"/>
      <c r="G134" s="222"/>
      <c r="H134" s="177"/>
    </row>
    <row r="135" spans="1:8" ht="13" x14ac:dyDescent="0.3">
      <c r="A135" s="171"/>
      <c r="C135" s="68"/>
      <c r="D135" s="69"/>
      <c r="E135" s="177"/>
      <c r="F135" s="177"/>
      <c r="G135" s="222"/>
      <c r="H135" s="177"/>
    </row>
    <row r="136" spans="1:8" ht="13" x14ac:dyDescent="0.3">
      <c r="A136" s="171"/>
      <c r="C136" s="68"/>
      <c r="D136" s="69"/>
      <c r="E136" s="177"/>
      <c r="F136" s="177"/>
      <c r="G136" s="222"/>
      <c r="H136" s="177"/>
    </row>
    <row r="137" spans="1:8" ht="13" x14ac:dyDescent="0.3">
      <c r="A137" s="171"/>
      <c r="C137" s="68"/>
      <c r="D137" s="69"/>
      <c r="E137" s="177"/>
      <c r="F137" s="177"/>
      <c r="G137" s="222"/>
      <c r="H137" s="177"/>
    </row>
    <row r="138" spans="1:8" ht="13" x14ac:dyDescent="0.3">
      <c r="A138" s="171"/>
      <c r="C138" s="68"/>
      <c r="D138" s="69"/>
      <c r="E138" s="177"/>
      <c r="F138" s="177"/>
      <c r="G138" s="222"/>
      <c r="H138" s="177"/>
    </row>
    <row r="139" spans="1:8" ht="13" x14ac:dyDescent="0.3">
      <c r="A139" s="171"/>
      <c r="C139" s="68"/>
      <c r="D139" s="69"/>
      <c r="E139" s="177"/>
      <c r="F139" s="177"/>
      <c r="G139" s="222"/>
      <c r="H139" s="184"/>
    </row>
    <row r="140" spans="1:8" ht="13" x14ac:dyDescent="0.3">
      <c r="A140" s="171"/>
      <c r="H140" s="177"/>
    </row>
    <row r="141" spans="1:8" ht="13" x14ac:dyDescent="0.3">
      <c r="A141" s="171"/>
      <c r="C141" s="68"/>
      <c r="D141" s="69"/>
      <c r="F141" s="228"/>
      <c r="G141" s="222"/>
      <c r="H141" s="228"/>
    </row>
    <row r="142" spans="1:8" ht="13" x14ac:dyDescent="0.3">
      <c r="A142" s="171"/>
      <c r="B142" s="166"/>
      <c r="C142" s="68"/>
      <c r="D142" s="69"/>
      <c r="F142" s="228"/>
      <c r="G142" s="222"/>
      <c r="H142" s="228"/>
    </row>
    <row r="143" spans="1:8" ht="13" x14ac:dyDescent="0.3">
      <c r="A143" s="172"/>
      <c r="B143" s="166"/>
      <c r="C143" s="68"/>
      <c r="D143" s="69"/>
      <c r="F143" s="228"/>
      <c r="G143" s="222"/>
      <c r="H143" s="228"/>
    </row>
    <row r="144" spans="1:8" ht="13" x14ac:dyDescent="0.3">
      <c r="A144" s="171"/>
      <c r="C144" s="68"/>
      <c r="D144" s="74"/>
      <c r="E144" s="177"/>
      <c r="F144" s="229"/>
      <c r="G144" s="222"/>
      <c r="H144" s="228"/>
    </row>
    <row r="145" spans="1:8" ht="13" x14ac:dyDescent="0.3">
      <c r="A145" s="171"/>
      <c r="C145" s="68"/>
      <c r="D145" s="180"/>
      <c r="E145" s="177"/>
      <c r="F145" s="229"/>
      <c r="G145" s="222"/>
      <c r="H145" s="228"/>
    </row>
    <row r="146" spans="1:8" ht="13" x14ac:dyDescent="0.3">
      <c r="A146" s="171"/>
      <c r="C146" s="68"/>
      <c r="D146" s="180"/>
      <c r="E146" s="184"/>
      <c r="F146" s="229"/>
      <c r="G146" s="222"/>
      <c r="H146" s="228"/>
    </row>
    <row r="147" spans="1:8" ht="13" x14ac:dyDescent="0.3">
      <c r="A147" s="171"/>
      <c r="C147" s="68"/>
      <c r="D147" s="74"/>
      <c r="E147" s="177"/>
      <c r="F147" s="228"/>
      <c r="G147" s="222"/>
      <c r="H147" s="228"/>
    </row>
    <row r="148" spans="1:8" ht="13" x14ac:dyDescent="0.3">
      <c r="A148" s="171"/>
      <c r="C148" s="68"/>
      <c r="D148" s="69"/>
      <c r="F148" s="228"/>
      <c r="G148" s="222"/>
      <c r="H148" s="228"/>
    </row>
    <row r="149" spans="1:8" ht="13" x14ac:dyDescent="0.3">
      <c r="A149" s="171"/>
    </row>
    <row r="150" spans="1:8" ht="13" x14ac:dyDescent="0.3">
      <c r="A150" s="171"/>
    </row>
    <row r="151" spans="1:8" ht="13" x14ac:dyDescent="0.3">
      <c r="A151" s="171"/>
    </row>
    <row r="152" spans="1:8" ht="13" x14ac:dyDescent="0.3">
      <c r="A152" s="171"/>
      <c r="B152" s="166"/>
    </row>
    <row r="153" spans="1:8" ht="13" x14ac:dyDescent="0.3">
      <c r="A153" s="171"/>
      <c r="B153" s="176"/>
    </row>
    <row r="154" spans="1:8" ht="13" x14ac:dyDescent="0.3">
      <c r="A154" s="171"/>
      <c r="B154" s="176"/>
    </row>
    <row r="155" spans="1:8" ht="13" x14ac:dyDescent="0.3">
      <c r="A155" s="171"/>
      <c r="B155" s="176"/>
    </row>
    <row r="156" spans="1:8" ht="13" x14ac:dyDescent="0.3">
      <c r="A156" s="171"/>
    </row>
    <row r="157" spans="1:8" ht="13" x14ac:dyDescent="0.3">
      <c r="A157" s="171"/>
      <c r="B157" s="166"/>
    </row>
    <row r="158" spans="1:8" ht="13" x14ac:dyDescent="0.3">
      <c r="A158" s="171"/>
    </row>
    <row r="159" spans="1:8" ht="13" x14ac:dyDescent="0.3">
      <c r="A159" s="172"/>
      <c r="C159" s="70"/>
      <c r="D159" s="173"/>
    </row>
    <row r="160" spans="1:8" ht="13" x14ac:dyDescent="0.3">
      <c r="A160" s="171"/>
      <c r="C160" s="68"/>
      <c r="D160" s="230"/>
      <c r="F160" s="186"/>
    </row>
    <row r="161" spans="1:6" ht="13" x14ac:dyDescent="0.3">
      <c r="A161" s="171"/>
      <c r="C161" s="68"/>
      <c r="D161" s="230"/>
      <c r="F161" s="186"/>
    </row>
    <row r="162" spans="1:6" ht="13" x14ac:dyDescent="0.3">
      <c r="A162" s="171"/>
      <c r="C162" s="68"/>
      <c r="D162" s="230"/>
      <c r="F162" s="186"/>
    </row>
    <row r="163" spans="1:6" ht="13" x14ac:dyDescent="0.3">
      <c r="A163" s="171"/>
      <c r="C163" s="68"/>
      <c r="D163" s="230"/>
      <c r="F163" s="186"/>
    </row>
    <row r="164" spans="1:6" ht="13" x14ac:dyDescent="0.3">
      <c r="A164" s="171"/>
      <c r="C164" s="68"/>
      <c r="D164" s="230"/>
      <c r="F164" s="186"/>
    </row>
    <row r="165" spans="1:6" ht="13" x14ac:dyDescent="0.3">
      <c r="A165" s="171"/>
      <c r="C165" s="68"/>
      <c r="D165" s="230"/>
      <c r="F165" s="186"/>
    </row>
    <row r="166" spans="1:6" ht="13" x14ac:dyDescent="0.3">
      <c r="A166" s="171"/>
      <c r="C166" s="68"/>
      <c r="D166" s="230"/>
      <c r="F166" s="186"/>
    </row>
    <row r="167" spans="1:6" ht="13" x14ac:dyDescent="0.3">
      <c r="A167" s="171"/>
      <c r="C167" s="68"/>
      <c r="D167" s="230"/>
      <c r="F167" s="186"/>
    </row>
    <row r="168" spans="1:6" ht="13" x14ac:dyDescent="0.3">
      <c r="A168" s="171"/>
      <c r="C168" s="68"/>
      <c r="D168" s="230"/>
      <c r="F168" s="186"/>
    </row>
    <row r="169" spans="1:6" ht="13" x14ac:dyDescent="0.3">
      <c r="A169" s="171"/>
      <c r="C169" s="68"/>
      <c r="D169" s="230"/>
      <c r="F169" s="186"/>
    </row>
    <row r="170" spans="1:6" ht="13" x14ac:dyDescent="0.3">
      <c r="A170" s="171"/>
      <c r="C170" s="68"/>
      <c r="D170" s="230"/>
      <c r="F170" s="186"/>
    </row>
    <row r="171" spans="1:6" ht="13" x14ac:dyDescent="0.3">
      <c r="A171" s="171"/>
      <c r="C171" s="68"/>
      <c r="D171" s="231"/>
      <c r="F171" s="185"/>
    </row>
    <row r="172" spans="1:6" ht="13" x14ac:dyDescent="0.3">
      <c r="A172" s="171"/>
      <c r="C172" s="71"/>
      <c r="D172" s="230"/>
    </row>
  </sheetData>
  <mergeCells count="1">
    <mergeCell ref="K71:L71"/>
  </mergeCells>
  <pageMargins left="0.75" right="0.75" top="1" bottom="1" header="0.5" footer="0.5"/>
  <pageSetup scale="70" orientation="landscape" cellComments="asDisplayed" r:id="rId1"/>
  <headerFooter alignWithMargins="0">
    <oddHeader>&amp;CSchedule 4
True Up TRR
(Revised 2017 
TO13 True Up TRR)&amp;RTO2024 Draft Annual Update
Attachment 4
WP-Schedule 3-One Time Adj Prior Period
Page &amp;P of &amp;N</oddHeader>
    <oddFooter>&amp;R&amp;A</oddFooter>
  </headerFooter>
  <rowBreaks count="4" manualBreakCount="4">
    <brk id="46" max="11"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69854-4E40-405F-B649-15E6B852122C}">
  <sheetPr>
    <tabColor rgb="FFFFCCCC"/>
  </sheetPr>
  <dimension ref="A1:X113"/>
  <sheetViews>
    <sheetView topLeftCell="A43" zoomScaleNormal="100" workbookViewId="0">
      <selection activeCell="H17" sqref="H17"/>
    </sheetView>
  </sheetViews>
  <sheetFormatPr defaultRowHeight="12.5" x14ac:dyDescent="0.25"/>
  <cols>
    <col min="1" max="1" width="4.7265625" style="234" customWidth="1"/>
    <col min="2" max="2" width="2.7265625" style="234" customWidth="1"/>
    <col min="3" max="3" width="6.7265625" style="234" customWidth="1"/>
    <col min="4" max="4" width="32.54296875" style="234" customWidth="1"/>
    <col min="5" max="5" width="14.7265625" style="234" customWidth="1"/>
    <col min="6" max="6" width="15.7265625" style="234" customWidth="1"/>
    <col min="7" max="8" width="14.7265625" style="234" customWidth="1"/>
    <col min="9" max="9" width="20" style="234" customWidth="1"/>
    <col min="10" max="10" width="18" style="234" customWidth="1"/>
    <col min="11" max="11" width="11" style="234" bestFit="1" customWidth="1"/>
    <col min="12" max="16384" width="8.7265625" style="234"/>
  </cols>
  <sheetData>
    <row r="1" spans="1:24" ht="13" x14ac:dyDescent="0.3">
      <c r="A1" s="166" t="s">
        <v>170</v>
      </c>
      <c r="F1" s="167" t="s">
        <v>171</v>
      </c>
      <c r="G1" s="168"/>
      <c r="H1" s="169"/>
      <c r="I1" s="169"/>
    </row>
    <row r="2" spans="1:24" ht="13" x14ac:dyDescent="0.3">
      <c r="E2" s="170" t="s">
        <v>172</v>
      </c>
      <c r="F2" s="170" t="s">
        <v>173</v>
      </c>
      <c r="G2" s="170" t="s">
        <v>174</v>
      </c>
      <c r="H2" s="170" t="s">
        <v>175</v>
      </c>
      <c r="I2" s="169"/>
    </row>
    <row r="3" spans="1:24" x14ac:dyDescent="0.25">
      <c r="G3" s="169" t="s">
        <v>176</v>
      </c>
    </row>
    <row r="4" spans="1:24" ht="13" x14ac:dyDescent="0.3">
      <c r="E4" s="171" t="s">
        <v>177</v>
      </c>
      <c r="F4" s="116" t="s">
        <v>178</v>
      </c>
      <c r="G4" s="171" t="s">
        <v>179</v>
      </c>
      <c r="I4" s="171"/>
    </row>
    <row r="5" spans="1:24" ht="13" x14ac:dyDescent="0.3">
      <c r="A5" s="172" t="s">
        <v>39</v>
      </c>
      <c r="B5" s="173"/>
      <c r="C5" s="173" t="s">
        <v>180</v>
      </c>
      <c r="D5" s="173" t="s">
        <v>31</v>
      </c>
      <c r="E5" s="173" t="s">
        <v>32</v>
      </c>
      <c r="F5" s="70" t="s">
        <v>33</v>
      </c>
      <c r="G5" s="173" t="s">
        <v>181</v>
      </c>
      <c r="H5" s="173" t="s">
        <v>82</v>
      </c>
      <c r="I5" s="173" t="s">
        <v>42</v>
      </c>
      <c r="K5" s="173"/>
      <c r="L5" s="173"/>
      <c r="M5" s="173"/>
      <c r="N5" s="173"/>
      <c r="O5" s="173"/>
      <c r="P5" s="173"/>
      <c r="Q5" s="173"/>
      <c r="R5" s="173"/>
      <c r="S5" s="173"/>
      <c r="T5" s="173"/>
      <c r="U5" s="173"/>
      <c r="V5" s="173"/>
      <c r="W5" s="173"/>
      <c r="X5" s="173"/>
    </row>
    <row r="6" spans="1:24" ht="13" x14ac:dyDescent="0.3">
      <c r="A6" s="171">
        <v>1</v>
      </c>
      <c r="C6" s="169">
        <v>920</v>
      </c>
      <c r="D6" s="234" t="s">
        <v>182</v>
      </c>
      <c r="E6" s="174">
        <v>354859044</v>
      </c>
      <c r="F6" s="169" t="s">
        <v>183</v>
      </c>
      <c r="G6" s="177">
        <f>D37</f>
        <v>69867000.913848624</v>
      </c>
      <c r="H6" s="177">
        <f t="shared" ref="H6:H19" si="0">E6-G6</f>
        <v>284992043.08615136</v>
      </c>
      <c r="J6" s="176"/>
    </row>
    <row r="7" spans="1:24" ht="13" x14ac:dyDescent="0.3">
      <c r="A7" s="171">
        <f>A6+1</f>
        <v>2</v>
      </c>
      <c r="C7" s="169">
        <v>921</v>
      </c>
      <c r="D7" s="234" t="s">
        <v>184</v>
      </c>
      <c r="E7" s="174">
        <v>249803334</v>
      </c>
      <c r="F7" s="169" t="s">
        <v>185</v>
      </c>
      <c r="G7" s="177">
        <f t="shared" ref="G7:G19" si="1">D38</f>
        <v>5868285.4679282326</v>
      </c>
      <c r="H7" s="177">
        <f t="shared" si="0"/>
        <v>243935048.53207177</v>
      </c>
      <c r="J7" s="176"/>
    </row>
    <row r="8" spans="1:24" ht="13" x14ac:dyDescent="0.3">
      <c r="A8" s="171">
        <f>A7+1</f>
        <v>3</v>
      </c>
      <c r="C8" s="169">
        <v>922</v>
      </c>
      <c r="D8" s="234" t="s">
        <v>186</v>
      </c>
      <c r="E8" s="174">
        <v>-145897634</v>
      </c>
      <c r="F8" s="169" t="s">
        <v>187</v>
      </c>
      <c r="G8" s="177">
        <f t="shared" si="1"/>
        <v>-48972720</v>
      </c>
      <c r="H8" s="177">
        <f t="shared" si="0"/>
        <v>-96924914</v>
      </c>
      <c r="I8" s="187" t="s">
        <v>188</v>
      </c>
      <c r="J8" s="176"/>
    </row>
    <row r="9" spans="1:24" ht="13" x14ac:dyDescent="0.3">
      <c r="A9" s="171">
        <f t="shared" ref="A9:A20" si="2">A8+1</f>
        <v>4</v>
      </c>
      <c r="B9" s="171"/>
      <c r="C9" s="169">
        <v>923</v>
      </c>
      <c r="D9" s="234" t="s">
        <v>189</v>
      </c>
      <c r="E9" s="174">
        <v>54121017</v>
      </c>
      <c r="F9" s="169" t="s">
        <v>190</v>
      </c>
      <c r="G9" s="175">
        <f t="shared" si="1"/>
        <v>7846217.6600000001</v>
      </c>
      <c r="H9" s="175">
        <f t="shared" si="0"/>
        <v>46274799.340000004</v>
      </c>
      <c r="J9" s="176"/>
    </row>
    <row r="10" spans="1:24" ht="13" x14ac:dyDescent="0.3">
      <c r="A10" s="171">
        <f t="shared" si="2"/>
        <v>5</v>
      </c>
      <c r="B10" s="171"/>
      <c r="C10" s="169">
        <v>924</v>
      </c>
      <c r="D10" s="234" t="s">
        <v>191</v>
      </c>
      <c r="E10" s="174">
        <v>14497978</v>
      </c>
      <c r="F10" s="169" t="s">
        <v>192</v>
      </c>
      <c r="G10" s="177">
        <f t="shared" si="1"/>
        <v>0</v>
      </c>
      <c r="H10" s="177">
        <f t="shared" si="0"/>
        <v>14497978</v>
      </c>
      <c r="J10" s="176"/>
    </row>
    <row r="11" spans="1:24" ht="13" x14ac:dyDescent="0.3">
      <c r="A11" s="171">
        <f t="shared" si="2"/>
        <v>6</v>
      </c>
      <c r="B11" s="171"/>
      <c r="C11" s="169">
        <v>925</v>
      </c>
      <c r="D11" s="234" t="s">
        <v>193</v>
      </c>
      <c r="E11" s="174">
        <v>117581984</v>
      </c>
      <c r="F11" s="169" t="s">
        <v>194</v>
      </c>
      <c r="G11" s="177">
        <f t="shared" si="1"/>
        <v>3113513</v>
      </c>
      <c r="H11" s="177">
        <f t="shared" si="0"/>
        <v>114468471</v>
      </c>
      <c r="J11" s="176"/>
    </row>
    <row r="12" spans="1:24" ht="13" x14ac:dyDescent="0.3">
      <c r="A12" s="171">
        <f t="shared" si="2"/>
        <v>7</v>
      </c>
      <c r="B12" s="171"/>
      <c r="C12" s="169">
        <v>926</v>
      </c>
      <c r="D12" s="234" t="s">
        <v>195</v>
      </c>
      <c r="E12" s="174">
        <v>142806958</v>
      </c>
      <c r="F12" s="169" t="s">
        <v>196</v>
      </c>
      <c r="G12" s="177">
        <f t="shared" si="1"/>
        <v>-15693853.432685971</v>
      </c>
      <c r="H12" s="177">
        <f t="shared" si="0"/>
        <v>158500811.43268597</v>
      </c>
      <c r="J12" s="176"/>
    </row>
    <row r="13" spans="1:24" ht="13" x14ac:dyDescent="0.3">
      <c r="A13" s="171">
        <f t="shared" si="2"/>
        <v>8</v>
      </c>
      <c r="B13" s="171"/>
      <c r="C13" s="169">
        <v>927</v>
      </c>
      <c r="D13" s="234" t="s">
        <v>197</v>
      </c>
      <c r="E13" s="174">
        <v>110632750</v>
      </c>
      <c r="F13" s="169" t="s">
        <v>198</v>
      </c>
      <c r="G13" s="177">
        <f t="shared" si="1"/>
        <v>110632750</v>
      </c>
      <c r="H13" s="177">
        <f t="shared" si="0"/>
        <v>0</v>
      </c>
      <c r="J13" s="176"/>
    </row>
    <row r="14" spans="1:24" ht="13" x14ac:dyDescent="0.3">
      <c r="A14" s="171">
        <f t="shared" si="2"/>
        <v>9</v>
      </c>
      <c r="B14" s="171"/>
      <c r="C14" s="169">
        <v>928</v>
      </c>
      <c r="D14" s="176" t="s">
        <v>199</v>
      </c>
      <c r="E14" s="174">
        <v>16012736</v>
      </c>
      <c r="F14" s="169" t="s">
        <v>200</v>
      </c>
      <c r="G14" s="177">
        <f t="shared" si="1"/>
        <v>17351998</v>
      </c>
      <c r="H14" s="177">
        <f t="shared" si="0"/>
        <v>-1339262</v>
      </c>
      <c r="J14" s="176"/>
    </row>
    <row r="15" spans="1:24" ht="13" x14ac:dyDescent="0.3">
      <c r="A15" s="171">
        <f t="shared" si="2"/>
        <v>10</v>
      </c>
      <c r="B15" s="171"/>
      <c r="C15" s="169">
        <v>929</v>
      </c>
      <c r="D15" s="234" t="s">
        <v>201</v>
      </c>
      <c r="E15" s="174">
        <v>0</v>
      </c>
      <c r="F15" s="169" t="s">
        <v>202</v>
      </c>
      <c r="G15" s="177">
        <f t="shared" si="1"/>
        <v>0</v>
      </c>
      <c r="H15" s="177">
        <f t="shared" si="0"/>
        <v>0</v>
      </c>
      <c r="J15" s="176"/>
    </row>
    <row r="16" spans="1:24" ht="13" x14ac:dyDescent="0.3">
      <c r="A16" s="171">
        <f t="shared" si="2"/>
        <v>11</v>
      </c>
      <c r="B16" s="171"/>
      <c r="C16" s="169">
        <v>930.1</v>
      </c>
      <c r="D16" s="234" t="s">
        <v>203</v>
      </c>
      <c r="E16" s="174">
        <v>5718074</v>
      </c>
      <c r="F16" s="169" t="s">
        <v>204</v>
      </c>
      <c r="G16" s="177">
        <f t="shared" si="1"/>
        <v>0</v>
      </c>
      <c r="H16" s="177">
        <f t="shared" si="0"/>
        <v>5718074</v>
      </c>
      <c r="J16" s="176"/>
    </row>
    <row r="17" spans="1:10" ht="13" x14ac:dyDescent="0.3">
      <c r="A17" s="171">
        <f t="shared" si="2"/>
        <v>12</v>
      </c>
      <c r="B17" s="171"/>
      <c r="C17" s="169">
        <v>930.2</v>
      </c>
      <c r="D17" s="234" t="s">
        <v>205</v>
      </c>
      <c r="E17" s="174">
        <v>34422373</v>
      </c>
      <c r="F17" s="169" t="s">
        <v>206</v>
      </c>
      <c r="G17" s="177">
        <f t="shared" si="1"/>
        <v>24004995.530000001</v>
      </c>
      <c r="H17" s="177">
        <f t="shared" si="0"/>
        <v>10417377.469999999</v>
      </c>
      <c r="J17" s="176"/>
    </row>
    <row r="18" spans="1:10" ht="13" x14ac:dyDescent="0.3">
      <c r="A18" s="171">
        <f t="shared" si="2"/>
        <v>13</v>
      </c>
      <c r="B18" s="171"/>
      <c r="C18" s="169">
        <v>931</v>
      </c>
      <c r="D18" s="234" t="s">
        <v>207</v>
      </c>
      <c r="E18" s="174">
        <v>6627867</v>
      </c>
      <c r="F18" s="169" t="s">
        <v>208</v>
      </c>
      <c r="G18" s="177">
        <f t="shared" si="1"/>
        <v>11411119</v>
      </c>
      <c r="H18" s="177">
        <f t="shared" si="0"/>
        <v>-4783252</v>
      </c>
      <c r="J18" s="176"/>
    </row>
    <row r="19" spans="1:10" ht="13" x14ac:dyDescent="0.3">
      <c r="A19" s="171">
        <f t="shared" si="2"/>
        <v>14</v>
      </c>
      <c r="B19" s="171"/>
      <c r="C19" s="169">
        <v>935</v>
      </c>
      <c r="D19" s="234" t="s">
        <v>209</v>
      </c>
      <c r="E19" s="178">
        <v>13296044</v>
      </c>
      <c r="F19" s="169" t="s">
        <v>210</v>
      </c>
      <c r="G19" s="177">
        <f t="shared" si="1"/>
        <v>697671</v>
      </c>
      <c r="H19" s="184">
        <f t="shared" si="0"/>
        <v>12598373</v>
      </c>
      <c r="J19" s="176"/>
    </row>
    <row r="20" spans="1:10" ht="13" x14ac:dyDescent="0.3">
      <c r="A20" s="171">
        <f t="shared" si="2"/>
        <v>15</v>
      </c>
      <c r="E20" s="177">
        <f>SUM(E6:E19)</f>
        <v>974482525</v>
      </c>
      <c r="G20" s="180" t="s">
        <v>211</v>
      </c>
      <c r="H20" s="181">
        <f>SUM(H6:H19)</f>
        <v>788355547.8609091</v>
      </c>
    </row>
    <row r="22" spans="1:10" ht="13" x14ac:dyDescent="0.3">
      <c r="F22" s="173" t="s">
        <v>32</v>
      </c>
      <c r="G22" s="173" t="s">
        <v>33</v>
      </c>
    </row>
    <row r="23" spans="1:10" ht="13" x14ac:dyDescent="0.3">
      <c r="A23" s="171">
        <f>A20+1</f>
        <v>16</v>
      </c>
      <c r="E23" s="182" t="s">
        <v>212</v>
      </c>
      <c r="F23" s="175">
        <f>H20</f>
        <v>788355547.8609091</v>
      </c>
      <c r="G23" s="183" t="str">
        <f>"Line "&amp;A20&amp;""</f>
        <v>Line 15</v>
      </c>
    </row>
    <row r="24" spans="1:10" ht="13" x14ac:dyDescent="0.3">
      <c r="A24" s="171">
        <f t="shared" ref="A24:A30" si="3">A23+1</f>
        <v>17</v>
      </c>
      <c r="E24" s="182" t="s">
        <v>213</v>
      </c>
      <c r="F24" s="184">
        <f>E10</f>
        <v>14497978</v>
      </c>
      <c r="G24" s="183" t="str">
        <f>"Line "&amp;A10&amp;""</f>
        <v>Line 5</v>
      </c>
    </row>
    <row r="25" spans="1:10" ht="13" x14ac:dyDescent="0.3">
      <c r="A25" s="171">
        <f t="shared" si="3"/>
        <v>18</v>
      </c>
      <c r="E25" s="182" t="s">
        <v>214</v>
      </c>
      <c r="F25" s="175">
        <f>F23-F24</f>
        <v>773857569.8609091</v>
      </c>
      <c r="G25" s="183" t="str">
        <f>"Line "&amp;A23&amp;" - Line "&amp;A24&amp;""</f>
        <v>Line 16 - Line 17</v>
      </c>
    </row>
    <row r="26" spans="1:10" ht="13" x14ac:dyDescent="0.3">
      <c r="A26" s="171">
        <f t="shared" si="3"/>
        <v>19</v>
      </c>
      <c r="E26" s="180" t="s">
        <v>215</v>
      </c>
      <c r="F26" s="185">
        <v>5.6290212846604806E-2</v>
      </c>
      <c r="G26" s="183" t="s">
        <v>496</v>
      </c>
    </row>
    <row r="27" spans="1:10" ht="13" x14ac:dyDescent="0.3">
      <c r="A27" s="171">
        <f t="shared" si="3"/>
        <v>20</v>
      </c>
      <c r="E27" s="182" t="s">
        <v>217</v>
      </c>
      <c r="F27" s="175">
        <f>F25*F26</f>
        <v>43560607.320426919</v>
      </c>
      <c r="G27" s="183" t="str">
        <f>"Line "&amp;A25&amp;" * Line "&amp;A26&amp;""</f>
        <v>Line 18 * Line 19</v>
      </c>
    </row>
    <row r="28" spans="1:10" ht="13" x14ac:dyDescent="0.3">
      <c r="A28" s="171">
        <f t="shared" si="3"/>
        <v>21</v>
      </c>
      <c r="E28" s="182" t="s">
        <v>218</v>
      </c>
      <c r="F28" s="186">
        <v>0.19111474096755637</v>
      </c>
      <c r="G28" s="187" t="s">
        <v>497</v>
      </c>
    </row>
    <row r="29" spans="1:10" ht="13" x14ac:dyDescent="0.3">
      <c r="A29" s="171">
        <f t="shared" si="3"/>
        <v>22</v>
      </c>
      <c r="E29" s="182" t="s">
        <v>220</v>
      </c>
      <c r="F29" s="184">
        <f>H10*F28</f>
        <v>2770777.3100233311</v>
      </c>
      <c r="G29" s="183" t="str">
        <f>"Line "&amp;A10&amp;" Col 4 * Line "&amp;A28&amp;""</f>
        <v>Line 5 Col 4 * Line 21</v>
      </c>
    </row>
    <row r="30" spans="1:10" ht="13" x14ac:dyDescent="0.3">
      <c r="A30" s="171">
        <f t="shared" si="3"/>
        <v>23</v>
      </c>
      <c r="E30" s="182" t="s">
        <v>221</v>
      </c>
      <c r="F30" s="181">
        <f>F27+F29</f>
        <v>46331384.630450249</v>
      </c>
      <c r="G30" s="183" t="str">
        <f>"Line "&amp;A27&amp;" + Line "&amp;A29&amp;""</f>
        <v>Line 20 + Line 22</v>
      </c>
    </row>
    <row r="32" spans="1:10" ht="13" x14ac:dyDescent="0.3">
      <c r="B32" s="166" t="s">
        <v>222</v>
      </c>
      <c r="E32" s="170" t="s">
        <v>172</v>
      </c>
      <c r="F32" s="170" t="s">
        <v>173</v>
      </c>
      <c r="G32" s="170" t="s">
        <v>174</v>
      </c>
      <c r="H32" s="170" t="s">
        <v>175</v>
      </c>
    </row>
    <row r="33" spans="1:11" ht="13" x14ac:dyDescent="0.3">
      <c r="B33" s="166"/>
      <c r="E33" s="171" t="s">
        <v>223</v>
      </c>
      <c r="F33" s="170"/>
      <c r="G33" s="170"/>
      <c r="H33" s="170"/>
    </row>
    <row r="34" spans="1:11" ht="13" x14ac:dyDescent="0.3">
      <c r="E34" s="171" t="s">
        <v>224</v>
      </c>
    </row>
    <row r="35" spans="1:11" ht="13" x14ac:dyDescent="0.3">
      <c r="D35" s="171" t="s">
        <v>225</v>
      </c>
      <c r="E35" s="171" t="s">
        <v>226</v>
      </c>
      <c r="F35" s="171" t="s">
        <v>227</v>
      </c>
      <c r="G35" s="171"/>
      <c r="H35" s="171"/>
    </row>
    <row r="36" spans="1:11" ht="13" x14ac:dyDescent="0.3">
      <c r="C36" s="173" t="s">
        <v>180</v>
      </c>
      <c r="D36" s="170" t="s">
        <v>228</v>
      </c>
      <c r="E36" s="173" t="s">
        <v>229</v>
      </c>
      <c r="F36" s="173" t="s">
        <v>230</v>
      </c>
      <c r="G36" s="173" t="s">
        <v>231</v>
      </c>
      <c r="H36" s="173" t="s">
        <v>232</v>
      </c>
      <c r="I36" s="173" t="s">
        <v>42</v>
      </c>
    </row>
    <row r="37" spans="1:11" ht="13" x14ac:dyDescent="0.3">
      <c r="A37" s="171">
        <f>A30+1</f>
        <v>24</v>
      </c>
      <c r="C37" s="169">
        <v>920</v>
      </c>
      <c r="D37" s="192">
        <f>SUM(E37:H37)</f>
        <v>69867000.913848624</v>
      </c>
      <c r="E37" s="193">
        <v>-11516850.328934595</v>
      </c>
      <c r="F37" s="191"/>
      <c r="G37" s="177">
        <f>G59</f>
        <v>81383851.242783219</v>
      </c>
      <c r="H37" s="191"/>
      <c r="I37" s="183" t="s">
        <v>233</v>
      </c>
    </row>
    <row r="38" spans="1:11" ht="13" x14ac:dyDescent="0.3">
      <c r="A38" s="171">
        <f>A37+1</f>
        <v>25</v>
      </c>
      <c r="C38" s="169">
        <v>921</v>
      </c>
      <c r="D38" s="192">
        <f t="shared" ref="D38:D50" si="4">SUM(E38:H38)</f>
        <v>5868285.4679282326</v>
      </c>
      <c r="E38" s="193">
        <v>5868285.4679282326</v>
      </c>
      <c r="F38" s="191"/>
      <c r="G38" s="191">
        <v>0</v>
      </c>
      <c r="H38" s="191"/>
      <c r="I38" s="187"/>
    </row>
    <row r="39" spans="1:11" ht="13.5" thickBot="1" x14ac:dyDescent="0.35">
      <c r="A39" s="171">
        <f t="shared" ref="A39:A50" si="5">A38+1</f>
        <v>26</v>
      </c>
      <c r="C39" s="169">
        <v>922</v>
      </c>
      <c r="D39" s="192">
        <f t="shared" si="4"/>
        <v>-48972720</v>
      </c>
      <c r="E39" s="193">
        <v>-7655813</v>
      </c>
      <c r="F39" s="191"/>
      <c r="G39" s="117">
        <v>-41316907</v>
      </c>
      <c r="H39" s="191"/>
      <c r="I39" s="187"/>
    </row>
    <row r="40" spans="1:11" ht="13.5" thickBot="1" x14ac:dyDescent="0.35">
      <c r="A40" s="171">
        <f t="shared" si="5"/>
        <v>27</v>
      </c>
      <c r="C40" s="169">
        <v>923</v>
      </c>
      <c r="D40" s="189">
        <f t="shared" si="4"/>
        <v>7846217.6600000001</v>
      </c>
      <c r="E40" s="190">
        <v>7846217.6600000001</v>
      </c>
      <c r="F40" s="191"/>
      <c r="G40" s="191">
        <v>0</v>
      </c>
      <c r="H40" s="191"/>
      <c r="I40" s="187"/>
      <c r="J40" s="173"/>
      <c r="K40" s="173"/>
    </row>
    <row r="41" spans="1:11" ht="13" x14ac:dyDescent="0.3">
      <c r="A41" s="171">
        <f t="shared" si="5"/>
        <v>28</v>
      </c>
      <c r="C41" s="169">
        <v>924</v>
      </c>
      <c r="D41" s="192">
        <f t="shared" si="4"/>
        <v>0</v>
      </c>
      <c r="E41" s="193">
        <v>0</v>
      </c>
      <c r="F41" s="191"/>
      <c r="G41" s="191">
        <v>0</v>
      </c>
      <c r="H41" s="191"/>
      <c r="I41" s="187"/>
      <c r="K41" s="177"/>
    </row>
    <row r="42" spans="1:11" ht="13" x14ac:dyDescent="0.3">
      <c r="A42" s="171">
        <f t="shared" si="5"/>
        <v>29</v>
      </c>
      <c r="C42" s="169">
        <v>925</v>
      </c>
      <c r="D42" s="192">
        <f t="shared" si="4"/>
        <v>3113513</v>
      </c>
      <c r="E42" s="193">
        <v>3113513</v>
      </c>
      <c r="F42" s="191"/>
      <c r="G42" s="191">
        <v>0</v>
      </c>
      <c r="H42" s="191"/>
      <c r="I42" s="183"/>
      <c r="K42" s="177"/>
    </row>
    <row r="43" spans="1:11" ht="13" x14ac:dyDescent="0.3">
      <c r="A43" s="171">
        <f t="shared" si="5"/>
        <v>30</v>
      </c>
      <c r="C43" s="169">
        <v>926</v>
      </c>
      <c r="D43" s="192">
        <f t="shared" si="4"/>
        <v>-15693853.432685971</v>
      </c>
      <c r="E43" s="193">
        <v>19430852.567314029</v>
      </c>
      <c r="F43" s="191"/>
      <c r="G43" s="191">
        <v>0</v>
      </c>
      <c r="H43" s="177">
        <f>E71</f>
        <v>-35124706</v>
      </c>
      <c r="I43" s="183" t="s">
        <v>234</v>
      </c>
      <c r="K43" s="177"/>
    </row>
    <row r="44" spans="1:11" ht="13" x14ac:dyDescent="0.3">
      <c r="A44" s="171">
        <f t="shared" si="5"/>
        <v>31</v>
      </c>
      <c r="C44" s="169">
        <v>927</v>
      </c>
      <c r="D44" s="192">
        <f t="shared" si="4"/>
        <v>110632750</v>
      </c>
      <c r="E44" s="177">
        <v>0</v>
      </c>
      <c r="F44" s="177">
        <f>E13</f>
        <v>110632750</v>
      </c>
      <c r="G44" s="177">
        <v>0</v>
      </c>
      <c r="H44" s="177">
        <v>0</v>
      </c>
      <c r="I44" s="187" t="s">
        <v>235</v>
      </c>
      <c r="K44" s="177"/>
    </row>
    <row r="45" spans="1:11" ht="13" x14ac:dyDescent="0.3">
      <c r="A45" s="171">
        <f t="shared" si="5"/>
        <v>32</v>
      </c>
      <c r="C45" s="169">
        <v>928</v>
      </c>
      <c r="D45" s="192">
        <f t="shared" si="4"/>
        <v>17351998</v>
      </c>
      <c r="E45" s="193">
        <v>17351998</v>
      </c>
      <c r="F45" s="191"/>
      <c r="G45" s="117">
        <v>0</v>
      </c>
      <c r="H45" s="191"/>
      <c r="I45" s="187"/>
      <c r="K45" s="177"/>
    </row>
    <row r="46" spans="1:11" ht="13" x14ac:dyDescent="0.3">
      <c r="A46" s="171">
        <f t="shared" si="5"/>
        <v>33</v>
      </c>
      <c r="C46" s="169">
        <v>929</v>
      </c>
      <c r="D46" s="192">
        <f t="shared" si="4"/>
        <v>0</v>
      </c>
      <c r="E46" s="193">
        <v>0</v>
      </c>
      <c r="F46" s="191"/>
      <c r="G46" s="117">
        <v>0</v>
      </c>
      <c r="H46" s="191"/>
      <c r="I46" s="187"/>
      <c r="K46" s="177"/>
    </row>
    <row r="47" spans="1:11" ht="13" x14ac:dyDescent="0.3">
      <c r="A47" s="171">
        <f t="shared" si="5"/>
        <v>34</v>
      </c>
      <c r="C47" s="169">
        <v>930.1</v>
      </c>
      <c r="D47" s="192">
        <f t="shared" si="4"/>
        <v>0</v>
      </c>
      <c r="E47" s="193">
        <v>0</v>
      </c>
      <c r="F47" s="191"/>
      <c r="G47" s="117">
        <v>0</v>
      </c>
      <c r="H47" s="191"/>
      <c r="I47" s="187"/>
      <c r="K47" s="177"/>
    </row>
    <row r="48" spans="1:11" ht="13" x14ac:dyDescent="0.3">
      <c r="A48" s="171">
        <f t="shared" si="5"/>
        <v>35</v>
      </c>
      <c r="C48" s="169">
        <v>930.2</v>
      </c>
      <c r="D48" s="192">
        <f t="shared" si="4"/>
        <v>24004995.530000001</v>
      </c>
      <c r="E48" s="193">
        <v>24004995.530000001</v>
      </c>
      <c r="F48" s="191"/>
      <c r="G48" s="117">
        <v>0</v>
      </c>
      <c r="H48" s="191"/>
      <c r="I48" s="187"/>
      <c r="J48" s="194"/>
    </row>
    <row r="49" spans="1:10" ht="13" x14ac:dyDescent="0.3">
      <c r="A49" s="171">
        <f t="shared" si="5"/>
        <v>36</v>
      </c>
      <c r="C49" s="169">
        <v>931</v>
      </c>
      <c r="D49" s="192">
        <f t="shared" si="4"/>
        <v>11411119</v>
      </c>
      <c r="E49" s="193">
        <v>11411119</v>
      </c>
      <c r="F49" s="191"/>
      <c r="G49" s="117">
        <v>0</v>
      </c>
      <c r="H49" s="191"/>
      <c r="I49" s="187"/>
      <c r="J49" s="177"/>
    </row>
    <row r="50" spans="1:10" ht="13" x14ac:dyDescent="0.3">
      <c r="A50" s="171">
        <f t="shared" si="5"/>
        <v>37</v>
      </c>
      <c r="C50" s="169">
        <v>935</v>
      </c>
      <c r="D50" s="192">
        <f t="shared" si="4"/>
        <v>697671</v>
      </c>
      <c r="E50" s="193">
        <v>697671</v>
      </c>
      <c r="F50" s="191"/>
      <c r="G50" s="117">
        <v>0</v>
      </c>
      <c r="H50" s="191"/>
      <c r="I50" s="187"/>
    </row>
    <row r="51" spans="1:10" ht="13" x14ac:dyDescent="0.3">
      <c r="A51" s="171"/>
      <c r="C51" s="169"/>
      <c r="D51" s="192"/>
      <c r="E51" s="194"/>
      <c r="F51" s="177"/>
      <c r="G51" s="264"/>
      <c r="H51" s="177"/>
      <c r="I51" s="187"/>
    </row>
    <row r="52" spans="1:10" ht="13" x14ac:dyDescent="0.3">
      <c r="B52" s="166" t="s">
        <v>236</v>
      </c>
    </row>
    <row r="53" spans="1:10" ht="13" x14ac:dyDescent="0.3">
      <c r="B53" s="166"/>
      <c r="C53" s="234" t="s">
        <v>375</v>
      </c>
    </row>
    <row r="54" spans="1:10" ht="13" x14ac:dyDescent="0.3">
      <c r="B54" s="166"/>
      <c r="C54" s="176" t="s">
        <v>237</v>
      </c>
      <c r="G54" s="171"/>
      <c r="H54" s="171"/>
    </row>
    <row r="55" spans="1:10" ht="13" x14ac:dyDescent="0.3">
      <c r="B55" s="166"/>
      <c r="C55" s="59" t="s">
        <v>238</v>
      </c>
      <c r="D55" s="59"/>
      <c r="E55" s="59"/>
      <c r="G55" s="171"/>
      <c r="H55" s="171"/>
    </row>
    <row r="56" spans="1:10" ht="13" x14ac:dyDescent="0.3">
      <c r="B56" s="166"/>
      <c r="G56" s="173" t="s">
        <v>32</v>
      </c>
      <c r="H56" s="173" t="s">
        <v>33</v>
      </c>
    </row>
    <row r="57" spans="1:10" ht="13" x14ac:dyDescent="0.3">
      <c r="A57" s="171"/>
      <c r="B57" s="171" t="s">
        <v>114</v>
      </c>
      <c r="F57" s="182" t="s">
        <v>239</v>
      </c>
      <c r="G57" s="193">
        <v>103811324.56999999</v>
      </c>
      <c r="H57" s="183" t="s">
        <v>240</v>
      </c>
    </row>
    <row r="58" spans="1:10" ht="13" x14ac:dyDescent="0.3">
      <c r="A58" s="171"/>
      <c r="B58" s="171" t="s">
        <v>116</v>
      </c>
      <c r="C58" s="176"/>
      <c r="F58" s="182" t="s">
        <v>241</v>
      </c>
      <c r="G58" s="184">
        <f>E62</f>
        <v>22427473.327216774</v>
      </c>
      <c r="H58" s="183" t="str">
        <f>"Note 2, "&amp;B62&amp;""</f>
        <v>Note 2, d</v>
      </c>
    </row>
    <row r="59" spans="1:10" ht="13" x14ac:dyDescent="0.3">
      <c r="A59" s="171"/>
      <c r="B59" s="171" t="s">
        <v>119</v>
      </c>
      <c r="F59" s="182" t="s">
        <v>242</v>
      </c>
      <c r="G59" s="177">
        <f>G57-G58</f>
        <v>81383851.242783219</v>
      </c>
    </row>
    <row r="60" spans="1:10" ht="13" x14ac:dyDescent="0.3">
      <c r="A60" s="171"/>
      <c r="C60" s="59" t="s">
        <v>243</v>
      </c>
      <c r="D60" s="59"/>
      <c r="E60" s="59"/>
      <c r="G60" s="177"/>
    </row>
    <row r="61" spans="1:10" ht="13" x14ac:dyDescent="0.3">
      <c r="A61" s="171"/>
      <c r="D61" s="195" t="s">
        <v>244</v>
      </c>
      <c r="E61" s="173" t="s">
        <v>32</v>
      </c>
      <c r="F61" s="173" t="s">
        <v>33</v>
      </c>
      <c r="G61" s="177"/>
    </row>
    <row r="62" spans="1:10" ht="13" x14ac:dyDescent="0.3">
      <c r="A62" s="171"/>
      <c r="B62" s="171" t="s">
        <v>121</v>
      </c>
      <c r="D62" s="234" t="s">
        <v>245</v>
      </c>
      <c r="E62" s="117">
        <v>22427473.327216774</v>
      </c>
      <c r="F62" s="183" t="s">
        <v>246</v>
      </c>
      <c r="G62" s="177"/>
    </row>
    <row r="63" spans="1:10" ht="13" x14ac:dyDescent="0.3">
      <c r="A63" s="171"/>
      <c r="B63" s="171" t="s">
        <v>125</v>
      </c>
      <c r="D63" s="176" t="s">
        <v>247</v>
      </c>
      <c r="E63" s="117">
        <v>10140103.249080425</v>
      </c>
      <c r="F63" s="183" t="s">
        <v>246</v>
      </c>
      <c r="G63" s="177"/>
      <c r="I63" s="118"/>
    </row>
    <row r="64" spans="1:10" ht="13" x14ac:dyDescent="0.3">
      <c r="A64" s="171"/>
      <c r="B64" s="171" t="s">
        <v>127</v>
      </c>
      <c r="D64" s="176" t="s">
        <v>248</v>
      </c>
      <c r="E64" s="119">
        <v>33565144.913702808</v>
      </c>
      <c r="F64" s="183" t="s">
        <v>246</v>
      </c>
      <c r="G64" s="177"/>
      <c r="I64" s="177"/>
    </row>
    <row r="65" spans="1:7" ht="13" x14ac:dyDescent="0.3">
      <c r="A65" s="171"/>
      <c r="B65" s="171" t="s">
        <v>129</v>
      </c>
      <c r="D65" s="182" t="s">
        <v>249</v>
      </c>
      <c r="E65" s="177">
        <f>SUM(E62:E64)</f>
        <v>66132721.49000001</v>
      </c>
      <c r="F65" s="183" t="str">
        <f>"Sum of "&amp;B62&amp;" to "&amp;B64&amp;""</f>
        <v>Sum of d to f</v>
      </c>
      <c r="G65" s="177"/>
    </row>
    <row r="67" spans="1:7" ht="13" x14ac:dyDescent="0.3">
      <c r="B67" s="166" t="s">
        <v>250</v>
      </c>
    </row>
    <row r="68" spans="1:7" ht="13" x14ac:dyDescent="0.3">
      <c r="E68" s="173" t="s">
        <v>32</v>
      </c>
      <c r="F68" s="195" t="s">
        <v>251</v>
      </c>
    </row>
    <row r="69" spans="1:7" ht="13" x14ac:dyDescent="0.3">
      <c r="A69" s="171"/>
      <c r="B69" s="171" t="s">
        <v>114</v>
      </c>
      <c r="D69" s="182" t="s">
        <v>376</v>
      </c>
      <c r="E69" s="196">
        <v>40171333</v>
      </c>
      <c r="F69" s="183" t="s">
        <v>253</v>
      </c>
    </row>
    <row r="70" spans="1:7" ht="13" x14ac:dyDescent="0.3">
      <c r="A70" s="171"/>
      <c r="B70" s="171" t="s">
        <v>116</v>
      </c>
      <c r="D70" s="182" t="s">
        <v>256</v>
      </c>
      <c r="E70" s="198">
        <v>5046627</v>
      </c>
      <c r="F70" s="183" t="s">
        <v>240</v>
      </c>
    </row>
    <row r="71" spans="1:7" ht="13" x14ac:dyDescent="0.3">
      <c r="A71" s="171"/>
      <c r="B71" s="171" t="s">
        <v>119</v>
      </c>
      <c r="D71" s="182" t="s">
        <v>257</v>
      </c>
      <c r="E71" s="177">
        <f>E70-E69</f>
        <v>-35124706</v>
      </c>
      <c r="F71" s="183" t="str">
        <f>""&amp;B70&amp;" - "&amp;B69&amp;""</f>
        <v>b - a</v>
      </c>
    </row>
    <row r="72" spans="1:7" ht="13" x14ac:dyDescent="0.3">
      <c r="A72" s="171"/>
      <c r="B72" s="166" t="s">
        <v>258</v>
      </c>
      <c r="D72" s="182"/>
      <c r="E72" s="177"/>
      <c r="F72" s="183"/>
    </row>
    <row r="73" spans="1:7" ht="13" x14ac:dyDescent="0.3">
      <c r="A73" s="171"/>
      <c r="B73" s="166"/>
      <c r="C73" s="234" t="str">
        <f>"Amount in Line "&amp;A44&amp;", column 2 equals amount in Line "&amp;A13&amp;", column 1 because all Franchise Requirements Expenses are excluded"</f>
        <v>Amount in Line 31, column 2 equals amount in Line 8, column 1 because all Franchise Requirements Expenses are excluded</v>
      </c>
      <c r="D73" s="182"/>
      <c r="E73" s="177"/>
      <c r="F73" s="183"/>
    </row>
    <row r="74" spans="1:7" ht="13" x14ac:dyDescent="0.3">
      <c r="A74" s="171"/>
      <c r="B74" s="166"/>
      <c r="C74" s="176" t="s">
        <v>259</v>
      </c>
      <c r="D74" s="182"/>
      <c r="E74" s="177"/>
      <c r="F74" s="183"/>
    </row>
    <row r="76" spans="1:7" ht="13" x14ac:dyDescent="0.3">
      <c r="B76" s="166" t="s">
        <v>104</v>
      </c>
    </row>
    <row r="77" spans="1:7" x14ac:dyDescent="0.25">
      <c r="C77" s="176" t="str">
        <f>"1) Enter amounts of A&amp;G expenses from FERC Form 1 in Lines "&amp;A6&amp;" to "&amp;A19&amp;"."</f>
        <v>1) Enter amounts of A&amp;G expenses from FERC Form 1 in Lines 1 to 14.</v>
      </c>
    </row>
    <row r="78" spans="1:7" x14ac:dyDescent="0.25">
      <c r="C78" s="176" t="s">
        <v>260</v>
      </c>
      <c r="G78" s="234" t="str">
        <f>"Column 3, Line "&amp;A37&amp;""</f>
        <v>Column 3, Line 24</v>
      </c>
    </row>
    <row r="79" spans="1:7" x14ac:dyDescent="0.25">
      <c r="C79" s="183" t="str">
        <f>"is calculated in Note 2.  The PBOPs exclusion in Column 4, Line "&amp;A43&amp;" is calculated in Note 3."</f>
        <v>is calculated in Note 2.  The PBOPs exclusion in Column 4, Line 30 is calculated in Note 3.</v>
      </c>
      <c r="G79" s="176"/>
    </row>
    <row r="80" spans="1:7" x14ac:dyDescent="0.25">
      <c r="C80" s="183" t="s">
        <v>261</v>
      </c>
    </row>
    <row r="81" spans="3:7" x14ac:dyDescent="0.25">
      <c r="C81" s="183" t="s">
        <v>262</v>
      </c>
      <c r="D81" s="182"/>
      <c r="E81" s="177"/>
      <c r="F81" s="183"/>
    </row>
    <row r="82" spans="3:7" x14ac:dyDescent="0.25">
      <c r="C82" s="183" t="s">
        <v>263</v>
      </c>
      <c r="D82" s="182"/>
      <c r="E82" s="177"/>
      <c r="F82" s="183"/>
    </row>
    <row r="83" spans="3:7" x14ac:dyDescent="0.25">
      <c r="C83" s="183" t="s">
        <v>264</v>
      </c>
    </row>
    <row r="84" spans="3:7" x14ac:dyDescent="0.25">
      <c r="C84" s="183" t="s">
        <v>265</v>
      </c>
    </row>
    <row r="85" spans="3:7" x14ac:dyDescent="0.25">
      <c r="C85" s="183" t="s">
        <v>266</v>
      </c>
    </row>
    <row r="86" spans="3:7" x14ac:dyDescent="0.25">
      <c r="C86" s="183" t="s">
        <v>267</v>
      </c>
    </row>
    <row r="87" spans="3:7" x14ac:dyDescent="0.25">
      <c r="C87" s="183" t="s">
        <v>268</v>
      </c>
    </row>
    <row r="88" spans="3:7" x14ac:dyDescent="0.25">
      <c r="C88" s="183" t="s">
        <v>269</v>
      </c>
      <c r="D88" s="176"/>
      <c r="E88" s="199"/>
      <c r="F88" s="199"/>
      <c r="G88" s="199"/>
    </row>
    <row r="89" spans="3:7" x14ac:dyDescent="0.25">
      <c r="C89" s="200" t="s">
        <v>270</v>
      </c>
      <c r="D89" s="176"/>
      <c r="E89" s="199"/>
      <c r="F89" s="199"/>
      <c r="G89" s="199"/>
    </row>
    <row r="90" spans="3:7" x14ac:dyDescent="0.25">
      <c r="C90" s="200" t="s">
        <v>271</v>
      </c>
      <c r="D90" s="176"/>
      <c r="E90" s="199"/>
      <c r="F90" s="199"/>
      <c r="G90" s="199"/>
    </row>
    <row r="91" spans="3:7" x14ac:dyDescent="0.25">
      <c r="C91" s="200" t="s">
        <v>272</v>
      </c>
      <c r="D91" s="176"/>
      <c r="E91" s="199"/>
      <c r="F91" s="199"/>
      <c r="G91" s="199"/>
    </row>
    <row r="92" spans="3:7" x14ac:dyDescent="0.25">
      <c r="C92" s="183" t="s">
        <v>273</v>
      </c>
      <c r="D92" s="176"/>
      <c r="E92" s="199"/>
      <c r="F92" s="199"/>
      <c r="G92" s="199"/>
    </row>
    <row r="93" spans="3:7" x14ac:dyDescent="0.25">
      <c r="C93" s="200" t="s">
        <v>274</v>
      </c>
      <c r="D93" s="176"/>
      <c r="E93" s="199"/>
      <c r="F93" s="199"/>
      <c r="G93" s="199"/>
    </row>
    <row r="94" spans="3:7" x14ac:dyDescent="0.25">
      <c r="C94" s="200" t="s">
        <v>275</v>
      </c>
      <c r="D94" s="176"/>
      <c r="E94" s="199"/>
      <c r="F94" s="199"/>
      <c r="G94" s="199"/>
    </row>
    <row r="95" spans="3:7" x14ac:dyDescent="0.25">
      <c r="C95" s="200" t="s">
        <v>377</v>
      </c>
      <c r="D95" s="176"/>
      <c r="E95" s="199"/>
      <c r="F95" s="199"/>
      <c r="G95" s="199"/>
    </row>
    <row r="96" spans="3:7" x14ac:dyDescent="0.25">
      <c r="C96" s="200" t="s">
        <v>277</v>
      </c>
      <c r="D96" s="176"/>
      <c r="E96" s="199"/>
      <c r="F96" s="199"/>
      <c r="G96" s="199"/>
    </row>
    <row r="97" spans="3:10" x14ac:dyDescent="0.25">
      <c r="C97" s="183" t="s">
        <v>378</v>
      </c>
      <c r="D97" s="176"/>
      <c r="E97" s="199"/>
      <c r="F97" s="199"/>
      <c r="G97" s="199"/>
      <c r="H97" s="199"/>
    </row>
    <row r="98" spans="3:10" x14ac:dyDescent="0.25">
      <c r="C98" s="200" t="s">
        <v>379</v>
      </c>
      <c r="D98" s="176"/>
      <c r="E98" s="199"/>
      <c r="F98" s="199"/>
      <c r="G98" s="199"/>
    </row>
    <row r="99" spans="3:10" x14ac:dyDescent="0.25">
      <c r="C99" s="265" t="s">
        <v>380</v>
      </c>
      <c r="D99" s="176"/>
      <c r="E99" s="199"/>
      <c r="F99" s="199"/>
      <c r="G99" s="199"/>
    </row>
    <row r="100" spans="3:10" x14ac:dyDescent="0.25">
      <c r="C100" s="265" t="s">
        <v>381</v>
      </c>
      <c r="D100" s="176"/>
      <c r="E100" s="199"/>
      <c r="F100" s="199"/>
      <c r="G100" s="199"/>
    </row>
    <row r="101" spans="3:10" x14ac:dyDescent="0.25">
      <c r="C101" s="265" t="s">
        <v>382</v>
      </c>
      <c r="D101" s="176"/>
      <c r="E101" s="199"/>
      <c r="F101" s="199"/>
      <c r="G101" s="199"/>
    </row>
    <row r="102" spans="3:10" x14ac:dyDescent="0.25">
      <c r="C102" s="265" t="s">
        <v>381</v>
      </c>
      <c r="D102" s="176"/>
      <c r="E102" s="199"/>
      <c r="F102" s="199"/>
      <c r="G102" s="199"/>
    </row>
    <row r="103" spans="3:10" x14ac:dyDescent="0.25">
      <c r="C103" s="265" t="s">
        <v>383</v>
      </c>
      <c r="D103" s="176"/>
      <c r="E103" s="199"/>
      <c r="F103" s="199"/>
      <c r="G103" s="199"/>
    </row>
    <row r="104" spans="3:10" x14ac:dyDescent="0.25">
      <c r="C104" s="200" t="s">
        <v>384</v>
      </c>
      <c r="D104" s="176"/>
      <c r="E104" s="199"/>
      <c r="F104" s="199"/>
      <c r="G104" s="199"/>
    </row>
    <row r="105" spans="3:10" x14ac:dyDescent="0.25">
      <c r="C105" s="200" t="s">
        <v>385</v>
      </c>
      <c r="D105" s="176"/>
      <c r="E105" s="199"/>
      <c r="F105" s="199"/>
      <c r="G105" s="199"/>
    </row>
    <row r="106" spans="3:10" ht="13" x14ac:dyDescent="0.3">
      <c r="C106" s="68" t="s">
        <v>278</v>
      </c>
      <c r="D106" s="59"/>
      <c r="E106" s="59"/>
      <c r="F106" s="59"/>
      <c r="G106" s="59"/>
      <c r="H106" s="59"/>
      <c r="I106" s="59"/>
      <c r="J106" s="59"/>
    </row>
    <row r="107" spans="3:10" x14ac:dyDescent="0.25">
      <c r="C107" s="176" t="s">
        <v>279</v>
      </c>
    </row>
    <row r="108" spans="3:10" x14ac:dyDescent="0.25">
      <c r="C108" s="68" t="s">
        <v>280</v>
      </c>
      <c r="D108" s="59"/>
      <c r="E108" s="59"/>
      <c r="F108" s="59"/>
      <c r="G108" s="59"/>
      <c r="H108" s="59"/>
      <c r="I108" s="59"/>
    </row>
    <row r="109" spans="3:10" x14ac:dyDescent="0.25">
      <c r="C109" s="176" t="str">
        <f>"4) Determine the PBOPs exclusion.  The authorized amount of PBOPs expense (line "&amp;B69&amp;") may only be revised"</f>
        <v>4) Determine the PBOPs exclusion.  The authorized amount of PBOPs expense (line a) may only be revised</v>
      </c>
    </row>
    <row r="110" spans="3:10" x14ac:dyDescent="0.25">
      <c r="C110" s="176" t="s">
        <v>281</v>
      </c>
    </row>
    <row r="111" spans="3:10" x14ac:dyDescent="0.25">
      <c r="C111" s="176" t="s">
        <v>386</v>
      </c>
    </row>
    <row r="112" spans="3:10" x14ac:dyDescent="0.25">
      <c r="C112" s="176" t="s">
        <v>387</v>
      </c>
      <c r="I112" s="188" t="s">
        <v>388</v>
      </c>
      <c r="J112" s="168"/>
    </row>
    <row r="113" spans="3:3" x14ac:dyDescent="0.25">
      <c r="C113" s="176" t="s">
        <v>284</v>
      </c>
    </row>
  </sheetData>
  <pageMargins left="0.75" right="0.75" top="1" bottom="1" header="0.5" footer="0.5"/>
  <pageSetup scale="70" orientation="landscape" cellComments="asDisplayed" r:id="rId1"/>
  <headerFooter alignWithMargins="0">
    <oddHeader>&amp;CSchedule 20
Administrative and General Expenses
(Revised 2017 
TO13 True Up TRR)&amp;RTO2024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58EB-BA1D-44C7-84CE-5636351971A0}">
  <sheetPr>
    <tabColor rgb="FFCC99FF"/>
  </sheetPr>
  <dimension ref="B3:H12"/>
  <sheetViews>
    <sheetView zoomScaleNormal="100" workbookViewId="0">
      <selection activeCell="G13" sqref="G13"/>
    </sheetView>
  </sheetViews>
  <sheetFormatPr defaultRowHeight="12.5" x14ac:dyDescent="0.25"/>
  <cols>
    <col min="1" max="1" width="2" style="267" customWidth="1"/>
    <col min="2" max="4" width="8.7265625" style="267"/>
    <col min="5" max="5" width="15.54296875" style="267" customWidth="1"/>
    <col min="6" max="6" width="13.453125" style="267" customWidth="1"/>
    <col min="7" max="7" width="15.1796875" style="267" customWidth="1"/>
    <col min="8" max="8" width="17.453125" style="267" customWidth="1"/>
    <col min="9" max="16384" width="8.7265625" style="267"/>
  </cols>
  <sheetData>
    <row r="3" spans="2:8" x14ac:dyDescent="0.25">
      <c r="B3" s="327" t="s">
        <v>389</v>
      </c>
      <c r="C3" s="327"/>
      <c r="D3" s="327"/>
      <c r="E3" s="327"/>
      <c r="F3" s="327"/>
      <c r="G3" s="327"/>
      <c r="H3" s="327"/>
    </row>
    <row r="4" spans="2:8" x14ac:dyDescent="0.25">
      <c r="B4" s="327"/>
      <c r="C4" s="327"/>
      <c r="D4" s="327"/>
      <c r="E4" s="327"/>
      <c r="F4" s="327"/>
      <c r="G4" s="327"/>
      <c r="H4" s="327"/>
    </row>
    <row r="5" spans="2:8" ht="14.5" x14ac:dyDescent="0.35">
      <c r="B5" s="328" t="s">
        <v>31</v>
      </c>
      <c r="C5" s="328"/>
      <c r="D5" s="328"/>
      <c r="E5" s="266" t="s">
        <v>32</v>
      </c>
      <c r="F5" s="329" t="s">
        <v>33</v>
      </c>
      <c r="G5" s="329"/>
      <c r="H5" s="329"/>
    </row>
    <row r="6" spans="2:8" ht="38.5" customHeight="1" x14ac:dyDescent="0.35">
      <c r="B6" s="336" t="s">
        <v>390</v>
      </c>
      <c r="C6" s="330"/>
      <c r="D6" s="331"/>
      <c r="E6" s="31">
        <f>'WP-2018 TO2020 Sch4-TUTRR'!E73</f>
        <v>1082933917.4765646</v>
      </c>
      <c r="F6" s="332" t="s">
        <v>440</v>
      </c>
      <c r="G6" s="332"/>
      <c r="H6" s="332"/>
    </row>
    <row r="7" spans="2:8" ht="37" customHeight="1" x14ac:dyDescent="0.35">
      <c r="B7" s="336" t="s">
        <v>304</v>
      </c>
      <c r="C7" s="318"/>
      <c r="D7" s="319"/>
      <c r="E7" s="31">
        <f>'WP-2018 TO2020 Sch4-TUTRR'!J71</f>
        <v>1082953610.6734653</v>
      </c>
      <c r="F7" s="336" t="s">
        <v>392</v>
      </c>
      <c r="G7" s="320"/>
      <c r="H7" s="321"/>
    </row>
    <row r="8" spans="2:8" ht="14.5" x14ac:dyDescent="0.35">
      <c r="B8" s="322" t="s">
        <v>34</v>
      </c>
      <c r="C8" s="322"/>
      <c r="D8" s="323"/>
      <c r="E8" s="298">
        <f>E6-E7</f>
        <v>-19693.196900606155</v>
      </c>
      <c r="F8" s="324"/>
      <c r="G8" s="324"/>
      <c r="H8" s="324"/>
    </row>
    <row r="9" spans="2:8" ht="14.5" x14ac:dyDescent="0.35">
      <c r="B9" s="29"/>
      <c r="C9" s="29"/>
      <c r="D9" s="29"/>
      <c r="E9" s="29"/>
      <c r="F9" s="29"/>
      <c r="G9" s="29"/>
      <c r="H9" s="29"/>
    </row>
    <row r="10" spans="2:8" ht="14.5" x14ac:dyDescent="0.35">
      <c r="B10" s="29"/>
      <c r="C10" s="29"/>
      <c r="D10" s="29"/>
      <c r="E10" s="29"/>
      <c r="F10" s="29"/>
      <c r="G10" s="29"/>
      <c r="H10" s="29"/>
    </row>
    <row r="11" spans="2:8" ht="14.5" x14ac:dyDescent="0.35">
      <c r="B11" s="121" t="s">
        <v>141</v>
      </c>
      <c r="C11" s="29"/>
      <c r="D11" s="29"/>
      <c r="E11" s="29"/>
      <c r="F11" s="29"/>
      <c r="G11" s="29"/>
      <c r="H11" s="29"/>
    </row>
    <row r="12" spans="2:8" ht="31" customHeight="1" x14ac:dyDescent="0.35">
      <c r="B12" s="335" t="s">
        <v>430</v>
      </c>
      <c r="C12" s="326"/>
      <c r="D12" s="326"/>
      <c r="E12" s="326"/>
      <c r="F12" s="326"/>
      <c r="G12" s="326"/>
      <c r="H12" s="326"/>
    </row>
  </sheetData>
  <mergeCells count="10">
    <mergeCell ref="B8:D8"/>
    <mergeCell ref="F8:H8"/>
    <mergeCell ref="B12:H12"/>
    <mergeCell ref="B3:H4"/>
    <mergeCell ref="B5:D5"/>
    <mergeCell ref="F5:H5"/>
    <mergeCell ref="B6:D6"/>
    <mergeCell ref="F6:H6"/>
    <mergeCell ref="B7:D7"/>
    <mergeCell ref="F7:H7"/>
  </mergeCells>
  <pageMargins left="0.7" right="0.7" top="0.75" bottom="0.75" header="0.3" footer="0.3"/>
  <pageSetup orientation="portrait" r:id="rId1"/>
  <headerFooter>
    <oddHeader>&amp;RTO2024 Draft Annual Update
Attachment 4
WP-Schedule 3-One Time Adj Prior Period
Page &amp;P of &amp;N</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75ECB-8DB5-4AAD-B429-9D0C678F2334}">
  <sheetPr>
    <tabColor rgb="FFCC99FF"/>
  </sheetPr>
  <dimension ref="A1:N172"/>
  <sheetViews>
    <sheetView topLeftCell="A61" zoomScaleNormal="100" workbookViewId="0"/>
  </sheetViews>
  <sheetFormatPr defaultRowHeight="12.5" x14ac:dyDescent="0.25"/>
  <cols>
    <col min="1" max="2" width="4.7265625" style="267" customWidth="1"/>
    <col min="3" max="3" width="18.7265625" style="267" customWidth="1"/>
    <col min="4" max="4" width="10.26953125" style="267" bestFit="1" customWidth="1"/>
    <col min="5" max="7" width="15.7265625" style="267" customWidth="1"/>
    <col min="8" max="8" width="24.7265625" style="267" customWidth="1"/>
    <col min="9" max="9" width="4.54296875" style="267" customWidth="1"/>
    <col min="10" max="10" width="15.7265625" style="267" customWidth="1"/>
    <col min="11" max="11" width="16.6328125" style="267" customWidth="1"/>
    <col min="12" max="12" width="14.26953125" style="267" customWidth="1"/>
    <col min="13" max="13" width="4.453125" style="267" customWidth="1"/>
    <col min="14" max="14" width="15.26953125" style="267" customWidth="1"/>
    <col min="15" max="16384" width="8.7265625" style="267"/>
  </cols>
  <sheetData>
    <row r="1" spans="1:14" ht="13" x14ac:dyDescent="0.3">
      <c r="A1" s="166" t="s">
        <v>35</v>
      </c>
    </row>
    <row r="3" spans="1:14" ht="13" x14ac:dyDescent="0.3">
      <c r="B3" s="212" t="s">
        <v>36</v>
      </c>
      <c r="L3" s="171"/>
    </row>
    <row r="4" spans="1:14" ht="13" x14ac:dyDescent="0.3">
      <c r="B4" s="213"/>
      <c r="F4" s="171" t="s">
        <v>37</v>
      </c>
      <c r="G4" s="171"/>
      <c r="H4" s="171" t="s">
        <v>38</v>
      </c>
      <c r="L4" s="171"/>
      <c r="N4" s="171"/>
    </row>
    <row r="5" spans="1:14" ht="13" x14ac:dyDescent="0.3">
      <c r="A5" s="172" t="s">
        <v>39</v>
      </c>
      <c r="B5" s="187"/>
      <c r="C5" s="195" t="s">
        <v>40</v>
      </c>
      <c r="F5" s="173" t="s">
        <v>41</v>
      </c>
      <c r="G5" s="173" t="s">
        <v>42</v>
      </c>
      <c r="H5" s="173" t="s">
        <v>43</v>
      </c>
      <c r="J5" s="173" t="s">
        <v>32</v>
      </c>
      <c r="L5" s="173"/>
      <c r="N5" s="173"/>
    </row>
    <row r="6" spans="1:14" ht="13" x14ac:dyDescent="0.3">
      <c r="A6" s="171">
        <v>1</v>
      </c>
      <c r="C6" s="208" t="s">
        <v>44</v>
      </c>
      <c r="F6" s="267" t="s">
        <v>45</v>
      </c>
      <c r="H6" s="208" t="s">
        <v>454</v>
      </c>
      <c r="J6" s="177">
        <v>8666375346.7182045</v>
      </c>
      <c r="L6" s="173"/>
      <c r="N6" s="177"/>
    </row>
    <row r="7" spans="1:14" ht="13" x14ac:dyDescent="0.3">
      <c r="A7" s="171">
        <f>A6+1</f>
        <v>2</v>
      </c>
      <c r="C7" s="208" t="s">
        <v>46</v>
      </c>
      <c r="F7" s="267" t="s">
        <v>47</v>
      </c>
      <c r="H7" s="208" t="s">
        <v>455</v>
      </c>
      <c r="J7" s="177">
        <v>250784298.74780104</v>
      </c>
      <c r="L7" s="173"/>
      <c r="N7" s="177"/>
    </row>
    <row r="8" spans="1:14" ht="13" x14ac:dyDescent="0.3">
      <c r="A8" s="171">
        <f>A7+1</f>
        <v>3</v>
      </c>
      <c r="C8" s="208" t="s">
        <v>48</v>
      </c>
      <c r="F8" s="267" t="s">
        <v>47</v>
      </c>
      <c r="H8" s="267" t="s">
        <v>456</v>
      </c>
      <c r="J8" s="177">
        <v>9942155</v>
      </c>
      <c r="L8" s="173"/>
      <c r="N8" s="177"/>
    </row>
    <row r="9" spans="1:14" ht="13" x14ac:dyDescent="0.3">
      <c r="A9" s="171">
        <f>A8+1</f>
        <v>4</v>
      </c>
      <c r="C9" s="208" t="s">
        <v>49</v>
      </c>
      <c r="F9" s="267" t="s">
        <v>47</v>
      </c>
      <c r="H9" s="176" t="s">
        <v>457</v>
      </c>
      <c r="J9" s="177">
        <v>0</v>
      </c>
      <c r="L9" s="173"/>
      <c r="N9" s="177"/>
    </row>
    <row r="10" spans="1:14" ht="13" x14ac:dyDescent="0.3">
      <c r="A10" s="171"/>
      <c r="C10" s="208"/>
      <c r="J10" s="177"/>
      <c r="L10" s="173"/>
      <c r="N10" s="177"/>
    </row>
    <row r="11" spans="1:14" ht="13" x14ac:dyDescent="0.3">
      <c r="A11" s="171"/>
      <c r="C11" s="214" t="s">
        <v>50</v>
      </c>
      <c r="J11" s="177"/>
      <c r="L11" s="173"/>
      <c r="N11" s="177"/>
    </row>
    <row r="12" spans="1:14" ht="13" x14ac:dyDescent="0.3">
      <c r="A12" s="171">
        <f>A9+1</f>
        <v>5</v>
      </c>
      <c r="C12" s="183" t="s">
        <v>51</v>
      </c>
      <c r="F12" s="267" t="s">
        <v>45</v>
      </c>
      <c r="H12" s="208" t="s">
        <v>458</v>
      </c>
      <c r="J12" s="177">
        <v>14561673.642511051</v>
      </c>
      <c r="L12" s="173"/>
      <c r="N12" s="177"/>
    </row>
    <row r="13" spans="1:14" ht="13" x14ac:dyDescent="0.3">
      <c r="A13" s="171">
        <f>A12+1</f>
        <v>6</v>
      </c>
      <c r="C13" s="187" t="s">
        <v>52</v>
      </c>
      <c r="F13" s="267" t="s">
        <v>45</v>
      </c>
      <c r="H13" s="208" t="s">
        <v>459</v>
      </c>
      <c r="J13" s="177">
        <v>11258426.521027757</v>
      </c>
      <c r="L13" s="173"/>
      <c r="N13" s="177"/>
    </row>
    <row r="14" spans="1:14" ht="13" x14ac:dyDescent="0.3">
      <c r="A14" s="171">
        <f>A13+1</f>
        <v>7</v>
      </c>
      <c r="C14" s="183" t="s">
        <v>53</v>
      </c>
      <c r="F14" s="176" t="s">
        <v>144</v>
      </c>
      <c r="H14" s="267" t="s">
        <v>460</v>
      </c>
      <c r="J14" s="179">
        <v>34900475.097199216</v>
      </c>
      <c r="L14" s="173"/>
      <c r="N14" s="177"/>
    </row>
    <row r="15" spans="1:14" ht="13" x14ac:dyDescent="0.3">
      <c r="A15" s="171">
        <f>A14+1</f>
        <v>8</v>
      </c>
      <c r="C15" s="183" t="s">
        <v>54</v>
      </c>
      <c r="H15" s="267" t="str">
        <f>"Line "&amp;A12&amp;" + Line "&amp;A13&amp;" + Line "&amp;A14&amp;""</f>
        <v>Line 5 + Line 6 + Line 7</v>
      </c>
      <c r="J15" s="175">
        <f>SUM(J12:J14)</f>
        <v>60720575.260738023</v>
      </c>
      <c r="L15" s="173"/>
      <c r="N15" s="177"/>
    </row>
    <row r="16" spans="1:14" ht="13" x14ac:dyDescent="0.3">
      <c r="A16" s="171"/>
      <c r="C16" s="183"/>
      <c r="J16" s="177"/>
      <c r="L16" s="173"/>
      <c r="N16" s="177"/>
    </row>
    <row r="17" spans="1:14" ht="13" x14ac:dyDescent="0.3">
      <c r="A17" s="171"/>
      <c r="C17" s="215" t="s">
        <v>55</v>
      </c>
      <c r="J17" s="177"/>
      <c r="L17" s="173"/>
      <c r="N17" s="177"/>
    </row>
    <row r="18" spans="1:14" ht="13" x14ac:dyDescent="0.3">
      <c r="A18" s="171">
        <f>A15+1</f>
        <v>9</v>
      </c>
      <c r="C18" s="183" t="s">
        <v>56</v>
      </c>
      <c r="F18" s="267" t="s">
        <v>45</v>
      </c>
      <c r="G18" s="267" t="s">
        <v>57</v>
      </c>
      <c r="H18" s="208" t="s">
        <v>476</v>
      </c>
      <c r="J18" s="177">
        <v>-1696750194.7350788</v>
      </c>
      <c r="L18" s="173"/>
      <c r="N18" s="177"/>
    </row>
    <row r="19" spans="1:14" ht="13" x14ac:dyDescent="0.3">
      <c r="A19" s="171">
        <f>A18+1</f>
        <v>10</v>
      </c>
      <c r="C19" s="183" t="s">
        <v>58</v>
      </c>
      <c r="F19" s="267" t="s">
        <v>47</v>
      </c>
      <c r="G19" s="267" t="s">
        <v>57</v>
      </c>
      <c r="H19" s="208" t="s">
        <v>477</v>
      </c>
      <c r="J19" s="177">
        <v>0</v>
      </c>
      <c r="L19" s="173"/>
      <c r="N19" s="177"/>
    </row>
    <row r="20" spans="1:14" ht="13" x14ac:dyDescent="0.3">
      <c r="A20" s="171">
        <f>A19+1</f>
        <v>11</v>
      </c>
      <c r="C20" s="183" t="s">
        <v>59</v>
      </c>
      <c r="D20" s="47"/>
      <c r="F20" s="267" t="s">
        <v>47</v>
      </c>
      <c r="G20" s="267" t="s">
        <v>57</v>
      </c>
      <c r="H20" s="208" t="s">
        <v>478</v>
      </c>
      <c r="J20" s="184">
        <v>-96157604.895406127</v>
      </c>
      <c r="L20" s="173"/>
      <c r="N20" s="177"/>
    </row>
    <row r="21" spans="1:14" ht="13" x14ac:dyDescent="0.3">
      <c r="A21" s="171">
        <f>A20+1</f>
        <v>12</v>
      </c>
      <c r="C21" s="49" t="s">
        <v>60</v>
      </c>
      <c r="D21" s="47"/>
      <c r="H21" s="267" t="str">
        <f>"Line "&amp;A18&amp;" + Line "&amp;A19&amp;" + Line "&amp;A20&amp;""</f>
        <v>Line 9 + Line 10 + Line 11</v>
      </c>
      <c r="J21" s="177">
        <f>SUM(J18:J20)</f>
        <v>-1792907799.6304851</v>
      </c>
      <c r="L21" s="173"/>
      <c r="N21" s="177"/>
    </row>
    <row r="22" spans="1:14" ht="13" x14ac:dyDescent="0.3">
      <c r="A22" s="171"/>
      <c r="C22" s="176"/>
      <c r="J22" s="177"/>
      <c r="L22" s="173"/>
      <c r="N22" s="177"/>
    </row>
    <row r="23" spans="1:14" ht="13" x14ac:dyDescent="0.3">
      <c r="A23" s="171">
        <f>A21+1</f>
        <v>13</v>
      </c>
      <c r="C23" s="216" t="s">
        <v>61</v>
      </c>
      <c r="F23" s="267" t="s">
        <v>47</v>
      </c>
      <c r="H23" s="208" t="s">
        <v>479</v>
      </c>
      <c r="J23" s="177">
        <v>-1646877466.9842367</v>
      </c>
      <c r="L23" s="173"/>
      <c r="N23" s="177"/>
    </row>
    <row r="24" spans="1:14" ht="13" x14ac:dyDescent="0.3">
      <c r="A24" s="171">
        <f>A23+1</f>
        <v>14</v>
      </c>
      <c r="C24" s="208" t="s">
        <v>62</v>
      </c>
      <c r="F24" s="267" t="s">
        <v>45</v>
      </c>
      <c r="H24" s="208" t="s">
        <v>480</v>
      </c>
      <c r="J24" s="177">
        <v>297744428.87125176</v>
      </c>
      <c r="L24" s="173"/>
      <c r="N24" s="177"/>
    </row>
    <row r="25" spans="1:14" ht="13" x14ac:dyDescent="0.3">
      <c r="A25" s="171">
        <f>A24+1</f>
        <v>15</v>
      </c>
      <c r="C25" s="216" t="s">
        <v>63</v>
      </c>
      <c r="F25" s="267" t="s">
        <v>47</v>
      </c>
      <c r="G25" s="267" t="s">
        <v>57</v>
      </c>
      <c r="H25" s="208" t="s">
        <v>481</v>
      </c>
      <c r="J25" s="177">
        <v>-78952573</v>
      </c>
      <c r="L25" s="173"/>
      <c r="N25" s="177"/>
    </row>
    <row r="26" spans="1:14" ht="13" x14ac:dyDescent="0.3">
      <c r="A26" s="171">
        <f t="shared" ref="A26:A27" si="0">A25+1</f>
        <v>16</v>
      </c>
      <c r="C26" s="208" t="s">
        <v>64</v>
      </c>
      <c r="H26" s="176" t="s">
        <v>482</v>
      </c>
      <c r="J26" s="177">
        <v>-86758063.662293404</v>
      </c>
      <c r="L26" s="173"/>
      <c r="N26" s="177"/>
    </row>
    <row r="27" spans="1:14" ht="13" x14ac:dyDescent="0.3">
      <c r="A27" s="171">
        <f t="shared" si="0"/>
        <v>17</v>
      </c>
      <c r="C27" s="216" t="s">
        <v>65</v>
      </c>
      <c r="F27" s="267" t="s">
        <v>47</v>
      </c>
      <c r="H27" s="208" t="s">
        <v>483</v>
      </c>
      <c r="J27" s="177">
        <v>0</v>
      </c>
      <c r="L27" s="173"/>
      <c r="N27" s="177"/>
    </row>
    <row r="28" spans="1:14" ht="13" x14ac:dyDescent="0.3">
      <c r="A28" s="171"/>
      <c r="C28" s="216"/>
      <c r="L28" s="173"/>
      <c r="N28" s="177"/>
    </row>
    <row r="29" spans="1:14" ht="13" x14ac:dyDescent="0.3">
      <c r="A29" s="171">
        <f>A27+1</f>
        <v>18</v>
      </c>
      <c r="C29" s="267" t="s">
        <v>66</v>
      </c>
      <c r="H29" s="267" t="str">
        <f>"L"&amp;A6&amp;"+L"&amp;A7&amp;"+L"&amp;A8&amp;"+L"&amp;A9&amp;"+L"&amp;A15&amp;"+L"&amp;A21&amp;"+"</f>
        <v>L1+L2+L3+L4+L8+L12+</v>
      </c>
      <c r="J29" s="175">
        <f>J6+ J7+J8+J9+J15+J21+J23+J24+J25+J26+J27</f>
        <v>5680070901.3209801</v>
      </c>
      <c r="L29" s="173"/>
      <c r="N29" s="177"/>
    </row>
    <row r="30" spans="1:14" ht="13" x14ac:dyDescent="0.3">
      <c r="A30" s="171"/>
      <c r="H30" s="267" t="str">
        <f>"L"&amp;A23&amp;"+L"&amp;A24&amp;"+L"&amp;A25&amp;"+L"&amp;A26&amp;"+L"&amp;A27&amp;""</f>
        <v>L13+L14+L15+L16+L17</v>
      </c>
      <c r="J30" s="177"/>
      <c r="L30" s="173"/>
      <c r="N30" s="177"/>
    </row>
    <row r="31" spans="1:14" ht="13" x14ac:dyDescent="0.3">
      <c r="A31" s="171"/>
      <c r="B31" s="166" t="s">
        <v>67</v>
      </c>
      <c r="J31" s="177"/>
      <c r="L31" s="173"/>
      <c r="N31" s="177"/>
    </row>
    <row r="32" spans="1:14" ht="13" x14ac:dyDescent="0.3">
      <c r="A32" s="172" t="s">
        <v>39</v>
      </c>
      <c r="C32" s="166"/>
      <c r="J32" s="177"/>
      <c r="L32" s="173"/>
      <c r="N32" s="177"/>
    </row>
    <row r="33" spans="1:14" ht="13" x14ac:dyDescent="0.3">
      <c r="A33" s="171">
        <f>A29+1</f>
        <v>19</v>
      </c>
      <c r="B33" s="176"/>
      <c r="C33" s="176" t="s">
        <v>68</v>
      </c>
      <c r="D33" s="176"/>
      <c r="E33" s="176"/>
      <c r="F33" s="176"/>
      <c r="G33" s="176" t="s">
        <v>69</v>
      </c>
      <c r="H33" s="176" t="str">
        <f>"Instruction 1, Line "&amp;B98&amp;""</f>
        <v>Instruction 1, Line j</v>
      </c>
      <c r="I33" s="176"/>
      <c r="J33" s="217">
        <f>E98</f>
        <v>7.8018766760959951E-2</v>
      </c>
      <c r="L33" s="173"/>
      <c r="M33" s="186"/>
      <c r="N33" s="177"/>
    </row>
    <row r="34" spans="1:14" ht="13" x14ac:dyDescent="0.3">
      <c r="A34" s="171">
        <f>A33+1</f>
        <v>20</v>
      </c>
      <c r="C34" s="176" t="s">
        <v>70</v>
      </c>
      <c r="D34" s="176"/>
      <c r="E34" s="176"/>
      <c r="F34" s="176"/>
      <c r="G34" s="176"/>
      <c r="H34" s="267" t="str">
        <f>"Line "&amp;A29&amp;" * Line "&amp;A33&amp;""</f>
        <v>Line 18 * Line 19</v>
      </c>
      <c r="J34" s="181">
        <f>J29*J33</f>
        <v>443152126.83587712</v>
      </c>
      <c r="L34" s="173"/>
      <c r="N34" s="177"/>
    </row>
    <row r="35" spans="1:14" ht="13" x14ac:dyDescent="0.3">
      <c r="A35" s="171"/>
      <c r="B35" s="187"/>
      <c r="L35" s="173"/>
      <c r="N35" s="177"/>
    </row>
    <row r="36" spans="1:14" ht="13" x14ac:dyDescent="0.3">
      <c r="A36" s="171"/>
      <c r="B36" s="166" t="s">
        <v>71</v>
      </c>
      <c r="L36" s="173"/>
      <c r="N36" s="177"/>
    </row>
    <row r="37" spans="1:14" ht="13" x14ac:dyDescent="0.3">
      <c r="A37" s="171"/>
      <c r="B37" s="187"/>
      <c r="L37" s="173"/>
      <c r="N37" s="177"/>
    </row>
    <row r="38" spans="1:14" ht="13" x14ac:dyDescent="0.3">
      <c r="A38" s="171">
        <f>A34+1</f>
        <v>21</v>
      </c>
      <c r="C38" s="176" t="s">
        <v>72</v>
      </c>
      <c r="J38" s="175">
        <f>(((J29*J42) + J45) *(J43/(1-J43)))+(J44/(1-J43))</f>
        <v>91581421.724850833</v>
      </c>
      <c r="L38" s="173"/>
      <c r="N38" s="177"/>
    </row>
    <row r="39" spans="1:14" ht="13" x14ac:dyDescent="0.3">
      <c r="A39" s="171"/>
      <c r="J39" s="176"/>
      <c r="L39" s="173"/>
      <c r="N39" s="177"/>
    </row>
    <row r="40" spans="1:14" ht="13" x14ac:dyDescent="0.3">
      <c r="A40" s="171"/>
      <c r="D40" s="267" t="s">
        <v>73</v>
      </c>
      <c r="L40" s="173"/>
      <c r="N40" s="177"/>
    </row>
    <row r="41" spans="1:14" ht="13" x14ac:dyDescent="0.3">
      <c r="A41" s="171">
        <f>A38+1</f>
        <v>22</v>
      </c>
      <c r="D41" s="187" t="s">
        <v>74</v>
      </c>
      <c r="H41" s="267" t="str">
        <f>"Line "&amp;A29&amp;""</f>
        <v>Line 18</v>
      </c>
      <c r="J41" s="175">
        <f>J29</f>
        <v>5680070901.3209801</v>
      </c>
      <c r="L41" s="173"/>
      <c r="N41" s="177"/>
    </row>
    <row r="42" spans="1:14" ht="13" x14ac:dyDescent="0.3">
      <c r="A42" s="171">
        <f>A41+1</f>
        <v>23</v>
      </c>
      <c r="D42" s="183" t="s">
        <v>75</v>
      </c>
      <c r="G42" s="176" t="s">
        <v>76</v>
      </c>
      <c r="H42" s="176" t="str">
        <f>"Instruction 1, Line "&amp;B103&amp;""</f>
        <v>Instruction 1, Line k</v>
      </c>
      <c r="J42" s="217">
        <f>E103</f>
        <v>5.6848332774048153E-2</v>
      </c>
      <c r="L42" s="173"/>
      <c r="M42" s="186"/>
      <c r="N42" s="177"/>
    </row>
    <row r="43" spans="1:14" ht="13" x14ac:dyDescent="0.3">
      <c r="A43" s="171">
        <f>A42+1</f>
        <v>24</v>
      </c>
      <c r="D43" s="187" t="s">
        <v>77</v>
      </c>
      <c r="H43" s="267" t="s">
        <v>461</v>
      </c>
      <c r="J43" s="186">
        <v>0.27983599999999997</v>
      </c>
      <c r="L43" s="173"/>
      <c r="M43" s="186"/>
      <c r="N43" s="177"/>
    </row>
    <row r="44" spans="1:14" ht="13" x14ac:dyDescent="0.3">
      <c r="A44" s="171">
        <f>A43+1</f>
        <v>25</v>
      </c>
      <c r="D44" s="187" t="s">
        <v>78</v>
      </c>
      <c r="H44" s="267" t="s">
        <v>462</v>
      </c>
      <c r="J44" s="177">
        <v>-25416331</v>
      </c>
      <c r="L44" s="173"/>
      <c r="N44" s="177"/>
    </row>
    <row r="45" spans="1:14" ht="13" x14ac:dyDescent="0.3">
      <c r="A45" s="171">
        <f>A44+1</f>
        <v>26</v>
      </c>
      <c r="D45" s="187" t="s">
        <v>79</v>
      </c>
      <c r="H45" s="267" t="s">
        <v>463</v>
      </c>
      <c r="J45" s="194">
        <v>3610018</v>
      </c>
      <c r="L45" s="173"/>
      <c r="N45" s="177"/>
    </row>
    <row r="46" spans="1:14" ht="13" x14ac:dyDescent="0.3">
      <c r="A46" s="171"/>
      <c r="B46" s="187"/>
      <c r="L46" s="173"/>
      <c r="N46" s="177"/>
    </row>
    <row r="47" spans="1:14" ht="13" x14ac:dyDescent="0.3">
      <c r="A47" s="171"/>
      <c r="B47" s="166" t="s">
        <v>80</v>
      </c>
      <c r="L47" s="173"/>
      <c r="N47" s="177"/>
    </row>
    <row r="48" spans="1:14" ht="13" x14ac:dyDescent="0.3">
      <c r="A48" s="171">
        <f>A45+1</f>
        <v>27</v>
      </c>
      <c r="B48" s="187"/>
      <c r="C48" s="267" t="s">
        <v>81</v>
      </c>
      <c r="H48" s="267" t="s">
        <v>464</v>
      </c>
      <c r="J48" s="177">
        <v>68175046.600722671</v>
      </c>
      <c r="L48" s="173"/>
      <c r="N48" s="177"/>
    </row>
    <row r="49" spans="1:14" ht="13" x14ac:dyDescent="0.3">
      <c r="A49" s="171">
        <f t="shared" ref="A49:A59" si="1">A48+1</f>
        <v>28</v>
      </c>
      <c r="B49" s="187"/>
      <c r="C49" s="176" t="s">
        <v>82</v>
      </c>
      <c r="H49" s="267" t="s">
        <v>465</v>
      </c>
      <c r="J49" s="175">
        <v>211028754.17687109</v>
      </c>
      <c r="L49" s="173"/>
      <c r="N49" s="177"/>
    </row>
    <row r="50" spans="1:14" ht="13" x14ac:dyDescent="0.3">
      <c r="A50" s="171">
        <f>A49+1</f>
        <v>29</v>
      </c>
      <c r="B50" s="187"/>
      <c r="C50" s="267" t="s">
        <v>83</v>
      </c>
      <c r="H50" s="267" t="s">
        <v>466</v>
      </c>
      <c r="J50" s="177">
        <v>5429238</v>
      </c>
      <c r="L50" s="173"/>
      <c r="N50" s="177"/>
    </row>
    <row r="51" spans="1:14" ht="13" x14ac:dyDescent="0.3">
      <c r="A51" s="171">
        <f t="shared" si="1"/>
        <v>30</v>
      </c>
      <c r="B51" s="187"/>
      <c r="C51" s="176" t="s">
        <v>84</v>
      </c>
      <c r="H51" s="267" t="s">
        <v>467</v>
      </c>
      <c r="J51" s="177">
        <v>245884459.62477174</v>
      </c>
      <c r="L51" s="173"/>
      <c r="N51" s="177"/>
    </row>
    <row r="52" spans="1:14" ht="13" x14ac:dyDescent="0.3">
      <c r="A52" s="171">
        <f t="shared" si="1"/>
        <v>31</v>
      </c>
      <c r="B52" s="187"/>
      <c r="C52" s="176" t="s">
        <v>85</v>
      </c>
      <c r="H52" s="267" t="s">
        <v>468</v>
      </c>
      <c r="J52" s="177">
        <v>0</v>
      </c>
      <c r="L52" s="173"/>
      <c r="N52" s="177"/>
    </row>
    <row r="53" spans="1:14" ht="13" x14ac:dyDescent="0.3">
      <c r="A53" s="171">
        <f t="shared" si="1"/>
        <v>32</v>
      </c>
      <c r="B53" s="187"/>
      <c r="C53" s="176" t="s">
        <v>86</v>
      </c>
      <c r="H53" s="267" t="s">
        <v>469</v>
      </c>
      <c r="J53" s="177">
        <v>63673657.128531143</v>
      </c>
      <c r="L53" s="173"/>
      <c r="N53" s="177"/>
    </row>
    <row r="54" spans="1:14" ht="13" x14ac:dyDescent="0.3">
      <c r="A54" s="171">
        <f t="shared" si="1"/>
        <v>33</v>
      </c>
      <c r="B54" s="187"/>
      <c r="C54" s="267" t="s">
        <v>87</v>
      </c>
      <c r="G54" s="176"/>
      <c r="H54" s="267" t="s">
        <v>470</v>
      </c>
      <c r="J54" s="177">
        <v>-58173790.509793751</v>
      </c>
      <c r="L54" s="173"/>
      <c r="N54" s="177"/>
    </row>
    <row r="55" spans="1:14" ht="13" x14ac:dyDescent="0.3">
      <c r="A55" s="171">
        <f t="shared" si="1"/>
        <v>34</v>
      </c>
      <c r="B55" s="187"/>
      <c r="C55" s="267" t="s">
        <v>88</v>
      </c>
      <c r="H55" s="267" t="str">
        <f>"Line "&amp;A34&amp;""</f>
        <v>Line 20</v>
      </c>
      <c r="J55" s="175">
        <f>J34</f>
        <v>443152126.83587712</v>
      </c>
      <c r="L55" s="173"/>
      <c r="N55" s="177"/>
    </row>
    <row r="56" spans="1:14" ht="13" x14ac:dyDescent="0.3">
      <c r="A56" s="171">
        <f t="shared" si="1"/>
        <v>35</v>
      </c>
      <c r="B56" s="187"/>
      <c r="C56" s="267" t="s">
        <v>89</v>
      </c>
      <c r="H56" s="267" t="str">
        <f>"Line "&amp;A38&amp;""</f>
        <v>Line 21</v>
      </c>
      <c r="J56" s="181">
        <f>J38</f>
        <v>91581421.724850833</v>
      </c>
      <c r="L56" s="173"/>
      <c r="N56" s="177"/>
    </row>
    <row r="57" spans="1:14" ht="13" x14ac:dyDescent="0.3">
      <c r="A57" s="171">
        <f t="shared" si="1"/>
        <v>36</v>
      </c>
      <c r="B57" s="187"/>
      <c r="C57" s="176" t="s">
        <v>90</v>
      </c>
      <c r="H57" s="267" t="s">
        <v>471</v>
      </c>
      <c r="J57" s="194">
        <v>0</v>
      </c>
      <c r="L57" s="173"/>
      <c r="N57" s="177"/>
    </row>
    <row r="58" spans="1:14" ht="13" x14ac:dyDescent="0.3">
      <c r="A58" s="171">
        <f t="shared" si="1"/>
        <v>37</v>
      </c>
      <c r="B58" s="187"/>
      <c r="C58" s="51" t="s">
        <v>91</v>
      </c>
      <c r="D58" s="51"/>
      <c r="H58" s="267" t="s">
        <v>472</v>
      </c>
      <c r="J58" s="184">
        <v>0</v>
      </c>
      <c r="L58" s="173"/>
      <c r="N58" s="177"/>
    </row>
    <row r="59" spans="1:14" ht="13" x14ac:dyDescent="0.3">
      <c r="A59" s="171">
        <f t="shared" si="1"/>
        <v>38</v>
      </c>
      <c r="B59" s="187"/>
      <c r="C59" s="176" t="s">
        <v>92</v>
      </c>
      <c r="H59" s="267" t="str">
        <f>"Sum Line "&amp;A48&amp;" to Line "&amp;A58&amp;""</f>
        <v>Sum Line 27 to Line 37</v>
      </c>
      <c r="J59" s="175">
        <f>SUM(J48:J58)</f>
        <v>1070750913.5818307</v>
      </c>
      <c r="L59" s="173"/>
      <c r="N59" s="177"/>
    </row>
    <row r="60" spans="1:14" ht="13" x14ac:dyDescent="0.3">
      <c r="A60" s="171"/>
      <c r="B60" s="187"/>
      <c r="J60" s="177"/>
      <c r="L60" s="173"/>
      <c r="N60" s="177"/>
    </row>
    <row r="61" spans="1:14" ht="12.75" customHeight="1" x14ac:dyDescent="0.3">
      <c r="A61" s="171">
        <f>A59+1</f>
        <v>39</v>
      </c>
      <c r="B61" s="187"/>
      <c r="C61" s="176" t="s">
        <v>93</v>
      </c>
      <c r="H61" s="267" t="s">
        <v>484</v>
      </c>
      <c r="J61" s="177">
        <v>26918854.433303144</v>
      </c>
      <c r="L61" s="173"/>
      <c r="N61" s="177"/>
    </row>
    <row r="62" spans="1:14" ht="12.75" customHeight="1" x14ac:dyDescent="0.3">
      <c r="A62" s="171" t="s">
        <v>148</v>
      </c>
      <c r="B62" s="176"/>
      <c r="C62" s="176" t="s">
        <v>149</v>
      </c>
      <c r="D62" s="176"/>
      <c r="E62" s="176"/>
      <c r="F62" s="176"/>
      <c r="G62" s="176"/>
      <c r="H62" s="176" t="s">
        <v>150</v>
      </c>
      <c r="I62" s="176"/>
      <c r="J62" s="194">
        <f>-J61</f>
        <v>-26918854.433303144</v>
      </c>
      <c r="L62" s="173"/>
      <c r="N62" s="177"/>
    </row>
    <row r="63" spans="1:14" ht="13" x14ac:dyDescent="0.3">
      <c r="A63" s="171"/>
      <c r="B63" s="187"/>
      <c r="C63" s="176"/>
      <c r="J63" s="177"/>
      <c r="L63" s="173"/>
      <c r="N63" s="177"/>
    </row>
    <row r="64" spans="1:14" ht="13" x14ac:dyDescent="0.3">
      <c r="A64" s="171">
        <f>A61+1</f>
        <v>40</v>
      </c>
      <c r="B64" s="187"/>
      <c r="C64" s="176" t="s">
        <v>94</v>
      </c>
      <c r="H64" s="176" t="s">
        <v>151</v>
      </c>
      <c r="J64" s="175">
        <f>J59+J61+J62</f>
        <v>1070750913.5818307</v>
      </c>
      <c r="L64" s="173"/>
      <c r="N64" s="177"/>
    </row>
    <row r="65" spans="1:14" ht="13" x14ac:dyDescent="0.3">
      <c r="A65" s="171"/>
      <c r="B65" s="187"/>
      <c r="C65" s="176"/>
      <c r="J65" s="177"/>
    </row>
    <row r="66" spans="1:14" ht="13" x14ac:dyDescent="0.3">
      <c r="A66" s="171"/>
      <c r="B66" s="212" t="s">
        <v>95</v>
      </c>
      <c r="C66" s="176"/>
      <c r="J66" s="177"/>
      <c r="N66" s="171"/>
    </row>
    <row r="67" spans="1:14" ht="13.5" thickBot="1" x14ac:dyDescent="0.35">
      <c r="A67" s="172" t="s">
        <v>39</v>
      </c>
      <c r="B67" s="216"/>
      <c r="G67" s="195" t="s">
        <v>96</v>
      </c>
      <c r="N67" s="173"/>
    </row>
    <row r="68" spans="1:14" ht="13" x14ac:dyDescent="0.3">
      <c r="A68" s="171">
        <f>A64+1</f>
        <v>41</v>
      </c>
      <c r="B68" s="216"/>
      <c r="D68" s="182" t="s">
        <v>97</v>
      </c>
      <c r="E68" s="175">
        <f>J64</f>
        <v>1070750913.5818307</v>
      </c>
      <c r="G68" s="267" t="str">
        <f>"Line "&amp;A64&amp;""</f>
        <v>Line 40</v>
      </c>
      <c r="J68" s="53" t="s">
        <v>98</v>
      </c>
      <c r="K68" s="33"/>
      <c r="L68" s="33"/>
      <c r="N68" s="177"/>
    </row>
    <row r="69" spans="1:14" ht="13" x14ac:dyDescent="0.3">
      <c r="A69" s="171">
        <f>A68+1</f>
        <v>42</v>
      </c>
      <c r="B69" s="216"/>
      <c r="D69" s="182" t="s">
        <v>99</v>
      </c>
      <c r="E69" s="218">
        <v>9.2440000000000005E-3</v>
      </c>
      <c r="G69" s="267" t="s">
        <v>485</v>
      </c>
      <c r="J69" s="55" t="s">
        <v>391</v>
      </c>
      <c r="K69" s="33"/>
      <c r="L69" s="33"/>
      <c r="N69" s="186"/>
    </row>
    <row r="70" spans="1:14" ht="13" x14ac:dyDescent="0.3">
      <c r="A70" s="171">
        <f>A69+1</f>
        <v>43</v>
      </c>
      <c r="B70" s="216"/>
      <c r="D70" s="180" t="s">
        <v>100</v>
      </c>
      <c r="E70" s="175">
        <v>9898021.4451504443</v>
      </c>
      <c r="G70" s="267" t="str">
        <f>"Line "&amp;A68&amp;" * Line "&amp;A69&amp;""</f>
        <v>Line 41 * Line 42</v>
      </c>
      <c r="J70" s="56">
        <f>E73</f>
        <v>1082933917.4765646</v>
      </c>
      <c r="K70" s="33"/>
      <c r="L70" s="33"/>
      <c r="N70" s="177"/>
    </row>
    <row r="71" spans="1:14" ht="37.5" customHeight="1" x14ac:dyDescent="0.3">
      <c r="A71" s="171">
        <f>A70+1</f>
        <v>44</v>
      </c>
      <c r="B71" s="216"/>
      <c r="D71" s="182" t="s">
        <v>101</v>
      </c>
      <c r="E71" s="218">
        <v>2.134E-3</v>
      </c>
      <c r="G71" s="267" t="s">
        <v>485</v>
      </c>
      <c r="J71" s="257">
        <v>1082953610.6734653</v>
      </c>
      <c r="K71" s="333" t="s">
        <v>392</v>
      </c>
      <c r="L71" s="334"/>
      <c r="N71" s="186"/>
    </row>
    <row r="72" spans="1:14" ht="13.5" thickBot="1" x14ac:dyDescent="0.35">
      <c r="A72" s="171">
        <f>A71+1</f>
        <v>45</v>
      </c>
      <c r="B72" s="216"/>
      <c r="D72" s="182" t="s">
        <v>102</v>
      </c>
      <c r="E72" s="175">
        <v>2284982.4495836268</v>
      </c>
      <c r="G72" s="267" t="str">
        <f>"Line "&amp;A70&amp;" * Line "&amp;A71&amp;""</f>
        <v>Line 43 * Line 44</v>
      </c>
      <c r="J72" s="58">
        <f>J70-J71</f>
        <v>-19693.196900606155</v>
      </c>
      <c r="K72" s="79"/>
      <c r="L72" s="80"/>
      <c r="N72" s="177"/>
    </row>
    <row r="73" spans="1:14" ht="13" x14ac:dyDescent="0.3">
      <c r="A73" s="171">
        <f>A72+1</f>
        <v>46</v>
      </c>
      <c r="B73" s="216"/>
      <c r="D73" s="182" t="s">
        <v>103</v>
      </c>
      <c r="E73" s="175">
        <f>E68+E70+E72</f>
        <v>1082933917.4765646</v>
      </c>
      <c r="G73" s="267" t="str">
        <f>"L "&amp;A68&amp;" + L "&amp;A70&amp;" + L "&amp;A72&amp;""</f>
        <v>L 41 + L 43 + L 45</v>
      </c>
      <c r="J73" s="33"/>
      <c r="K73" s="270"/>
      <c r="N73" s="177"/>
    </row>
    <row r="74" spans="1:14" ht="13" x14ac:dyDescent="0.3">
      <c r="B74" s="212" t="s">
        <v>104</v>
      </c>
      <c r="D74" s="180"/>
      <c r="E74" s="177"/>
      <c r="H74" s="59"/>
      <c r="K74" s="90"/>
      <c r="L74" s="271"/>
    </row>
    <row r="75" spans="1:14" ht="26.5" customHeight="1" x14ac:dyDescent="0.3">
      <c r="A75" s="171"/>
      <c r="B75" s="176" t="s">
        <v>145</v>
      </c>
      <c r="C75" s="212"/>
      <c r="D75" s="180"/>
      <c r="E75" s="177"/>
      <c r="K75" s="90">
        <v>-19693.196900606155</v>
      </c>
      <c r="L75" s="337" t="s">
        <v>405</v>
      </c>
      <c r="M75" s="337"/>
      <c r="N75" s="276"/>
    </row>
    <row r="76" spans="1:14" ht="23" customHeight="1" x14ac:dyDescent="0.3">
      <c r="A76" s="171"/>
      <c r="B76" s="176" t="s">
        <v>146</v>
      </c>
      <c r="C76" s="212"/>
      <c r="D76" s="180"/>
      <c r="E76" s="177"/>
      <c r="L76" s="276"/>
      <c r="M76" s="276"/>
      <c r="N76" s="276"/>
    </row>
    <row r="77" spans="1:14" ht="13" x14ac:dyDescent="0.3">
      <c r="A77" s="171"/>
      <c r="B77" s="208" t="s">
        <v>105</v>
      </c>
      <c r="C77" s="176"/>
      <c r="D77" s="180"/>
      <c r="E77" s="177"/>
    </row>
    <row r="78" spans="1:14" ht="13" x14ac:dyDescent="0.3">
      <c r="A78" s="171"/>
      <c r="B78" s="208" t="s">
        <v>106</v>
      </c>
      <c r="D78" s="180"/>
      <c r="E78" s="177"/>
    </row>
    <row r="79" spans="1:14" ht="13" x14ac:dyDescent="0.3">
      <c r="A79" s="171"/>
      <c r="K79" s="42"/>
      <c r="L79" s="33"/>
    </row>
    <row r="80" spans="1:14" ht="13" x14ac:dyDescent="0.3">
      <c r="A80" s="171"/>
      <c r="B80" s="176" t="s">
        <v>107</v>
      </c>
    </row>
    <row r="81" spans="1:12" ht="13" x14ac:dyDescent="0.3">
      <c r="A81" s="171"/>
      <c r="B81" s="176"/>
      <c r="C81" s="176" t="s">
        <v>108</v>
      </c>
    </row>
    <row r="82" spans="1:12" ht="13" x14ac:dyDescent="0.3">
      <c r="A82" s="171"/>
      <c r="B82" s="176"/>
      <c r="J82" s="171" t="s">
        <v>109</v>
      </c>
    </row>
    <row r="83" spans="1:12" ht="13" x14ac:dyDescent="0.3">
      <c r="A83" s="171"/>
      <c r="E83" s="173" t="s">
        <v>110</v>
      </c>
      <c r="F83" s="195" t="s">
        <v>96</v>
      </c>
      <c r="G83" s="173" t="s">
        <v>111</v>
      </c>
      <c r="H83" s="173" t="s">
        <v>112</v>
      </c>
      <c r="J83" s="173" t="s">
        <v>113</v>
      </c>
    </row>
    <row r="84" spans="1:12" ht="13" x14ac:dyDescent="0.3">
      <c r="B84" s="205" t="s">
        <v>114</v>
      </c>
      <c r="C84" s="176" t="s">
        <v>115</v>
      </c>
      <c r="E84" s="272">
        <v>0.112</v>
      </c>
      <c r="F84" s="176" t="s">
        <v>118</v>
      </c>
      <c r="G84" s="220">
        <v>43101</v>
      </c>
      <c r="H84" s="220">
        <v>43465</v>
      </c>
      <c r="I84" s="176"/>
      <c r="J84" s="188">
        <v>365</v>
      </c>
    </row>
    <row r="85" spans="1:12" ht="13" x14ac:dyDescent="0.3">
      <c r="B85" s="205" t="s">
        <v>116</v>
      </c>
      <c r="C85" s="176" t="s">
        <v>117</v>
      </c>
      <c r="E85" s="272">
        <v>0.112</v>
      </c>
      <c r="F85" s="176" t="s">
        <v>147</v>
      </c>
      <c r="G85" s="261"/>
      <c r="H85" s="262"/>
      <c r="I85" s="176"/>
      <c r="J85" s="188"/>
    </row>
    <row r="86" spans="1:12" ht="13" x14ac:dyDescent="0.3">
      <c r="B86" s="205" t="s">
        <v>119</v>
      </c>
      <c r="C86" s="176"/>
      <c r="E86" s="221"/>
      <c r="F86" s="176"/>
      <c r="G86" s="207"/>
      <c r="H86" s="207"/>
      <c r="I86" s="182" t="s">
        <v>120</v>
      </c>
      <c r="J86" s="176">
        <f>SUM(J84:J85)</f>
        <v>365</v>
      </c>
      <c r="K86" s="176"/>
      <c r="L86" s="176"/>
    </row>
    <row r="87" spans="1:12" ht="13" x14ac:dyDescent="0.3">
      <c r="B87" s="205" t="s">
        <v>121</v>
      </c>
      <c r="C87" s="176" t="s">
        <v>122</v>
      </c>
      <c r="E87" s="222">
        <f>((E84*J84) + (E85* J85)) / J86</f>
        <v>0.112</v>
      </c>
      <c r="F87" s="176" t="s">
        <v>123</v>
      </c>
      <c r="H87" s="176"/>
      <c r="I87" s="176"/>
      <c r="J87" s="176"/>
      <c r="K87" s="176"/>
      <c r="L87" s="176"/>
    </row>
    <row r="88" spans="1:12" ht="13" x14ac:dyDescent="0.3">
      <c r="A88" s="171"/>
      <c r="B88" s="176"/>
      <c r="H88" s="176"/>
      <c r="I88" s="176"/>
      <c r="J88" s="176"/>
      <c r="K88" s="176"/>
      <c r="L88" s="176"/>
    </row>
    <row r="89" spans="1:12" ht="13" x14ac:dyDescent="0.3">
      <c r="A89" s="171"/>
      <c r="B89" s="176" t="s">
        <v>124</v>
      </c>
      <c r="H89" s="176"/>
      <c r="I89" s="176"/>
      <c r="J89" s="176"/>
      <c r="K89" s="176"/>
      <c r="L89" s="176"/>
    </row>
    <row r="90" spans="1:12" ht="13" x14ac:dyDescent="0.3">
      <c r="A90" s="171"/>
      <c r="B90" s="176"/>
      <c r="E90" s="195" t="s">
        <v>96</v>
      </c>
      <c r="H90" s="176"/>
      <c r="I90" s="176"/>
      <c r="J90" s="176"/>
      <c r="K90" s="176"/>
      <c r="L90" s="176"/>
    </row>
    <row r="91" spans="1:12" ht="13" x14ac:dyDescent="0.3">
      <c r="B91" s="205" t="s">
        <v>125</v>
      </c>
      <c r="C91" s="176" t="s">
        <v>126</v>
      </c>
      <c r="E91" s="273" t="s">
        <v>393</v>
      </c>
      <c r="F91" s="168"/>
      <c r="G91" s="168"/>
      <c r="H91" s="188"/>
      <c r="I91" s="188"/>
      <c r="J91" s="188"/>
      <c r="K91" s="176"/>
      <c r="L91" s="176"/>
    </row>
    <row r="92" spans="1:12" ht="13" x14ac:dyDescent="0.3">
      <c r="B92" s="205" t="s">
        <v>127</v>
      </c>
      <c r="C92" s="176" t="s">
        <v>128</v>
      </c>
      <c r="E92" s="273" t="s">
        <v>393</v>
      </c>
      <c r="F92" s="168"/>
      <c r="G92" s="168"/>
      <c r="H92" s="188"/>
      <c r="I92" s="188"/>
      <c r="J92" s="188"/>
      <c r="K92" s="176"/>
      <c r="L92" s="176"/>
    </row>
    <row r="93" spans="1:12" x14ac:dyDescent="0.25">
      <c r="C93" s="176"/>
      <c r="E93" s="207"/>
      <c r="I93" s="176"/>
      <c r="J93" s="176"/>
      <c r="K93" s="176"/>
      <c r="L93" s="176"/>
    </row>
    <row r="94" spans="1:12" ht="13" x14ac:dyDescent="0.3">
      <c r="E94" s="173" t="s">
        <v>110</v>
      </c>
      <c r="F94" s="195" t="s">
        <v>96</v>
      </c>
      <c r="H94" s="176"/>
      <c r="I94" s="176"/>
      <c r="K94" s="176"/>
      <c r="L94" s="176"/>
    </row>
    <row r="95" spans="1:12" ht="13" x14ac:dyDescent="0.3">
      <c r="B95" s="205" t="s">
        <v>129</v>
      </c>
      <c r="C95" s="176" t="s">
        <v>130</v>
      </c>
      <c r="D95" s="176"/>
      <c r="E95" s="186">
        <v>2.1170433986911801E-2</v>
      </c>
      <c r="F95" s="267" t="s">
        <v>473</v>
      </c>
      <c r="H95" s="176"/>
      <c r="I95" s="176"/>
      <c r="K95" s="176"/>
      <c r="L95" s="176"/>
    </row>
    <row r="96" spans="1:12" ht="13" x14ac:dyDescent="0.3">
      <c r="B96" s="205" t="s">
        <v>131</v>
      </c>
      <c r="C96" s="176" t="s">
        <v>132</v>
      </c>
      <c r="E96" s="186">
        <v>4.6008620927769249E-3</v>
      </c>
      <c r="F96" s="267" t="s">
        <v>474</v>
      </c>
      <c r="H96" s="176"/>
      <c r="I96" s="176"/>
    </row>
    <row r="97" spans="1:10" ht="13" x14ac:dyDescent="0.3">
      <c r="B97" s="205" t="s">
        <v>133</v>
      </c>
      <c r="C97" s="176" t="s">
        <v>134</v>
      </c>
      <c r="E97" s="185">
        <v>5.2247470681271231E-2</v>
      </c>
      <c r="F97" s="267" t="s">
        <v>475</v>
      </c>
      <c r="G97" s="176"/>
      <c r="H97" s="176"/>
    </row>
    <row r="98" spans="1:10" ht="13" x14ac:dyDescent="0.3">
      <c r="B98" s="171" t="s">
        <v>135</v>
      </c>
      <c r="C98" s="183" t="s">
        <v>68</v>
      </c>
      <c r="E98" s="217">
        <f>SUM(E95:E97)</f>
        <v>7.8018766760959951E-2</v>
      </c>
      <c r="F98" s="177" t="str">
        <f>"Sum of Lines "&amp;B95&amp;" to "&amp;B97&amp;""</f>
        <v>Sum of Lines g to i</v>
      </c>
      <c r="G98" s="206"/>
      <c r="J98" s="227"/>
    </row>
    <row r="99" spans="1:10" ht="13" x14ac:dyDescent="0.3">
      <c r="A99" s="171"/>
      <c r="C99" s="68"/>
      <c r="D99" s="69"/>
      <c r="E99" s="177"/>
      <c r="F99" s="177"/>
      <c r="G99" s="206"/>
      <c r="H99" s="177"/>
      <c r="J99" s="227"/>
    </row>
    <row r="100" spans="1:10" ht="13" x14ac:dyDescent="0.3">
      <c r="A100" s="171"/>
      <c r="B100" s="176" t="s">
        <v>136</v>
      </c>
    </row>
    <row r="101" spans="1:10" ht="13" x14ac:dyDescent="0.3">
      <c r="A101" s="171"/>
    </row>
    <row r="102" spans="1:10" ht="13" x14ac:dyDescent="0.3">
      <c r="A102" s="171"/>
      <c r="E102" s="173" t="s">
        <v>110</v>
      </c>
      <c r="F102" s="195" t="s">
        <v>96</v>
      </c>
    </row>
    <row r="103" spans="1:10" ht="13" x14ac:dyDescent="0.3">
      <c r="B103" s="205" t="s">
        <v>137</v>
      </c>
      <c r="E103" s="186">
        <f>E96+E97</f>
        <v>5.6848332774048153E-2</v>
      </c>
      <c r="F103" s="177" t="str">
        <f>"Sum of Lines "&amp;B96&amp;" to "&amp;B97&amp;""</f>
        <v>Sum of Lines h to i</v>
      </c>
    </row>
    <row r="104" spans="1:10" ht="13" x14ac:dyDescent="0.3">
      <c r="A104" s="171"/>
      <c r="E104" s="186"/>
      <c r="F104" s="177"/>
    </row>
    <row r="105" spans="1:10" ht="13" x14ac:dyDescent="0.3">
      <c r="A105" s="171"/>
      <c r="B105" s="274" t="s">
        <v>152</v>
      </c>
      <c r="E105" s="206"/>
      <c r="F105" s="206"/>
      <c r="G105" s="206"/>
      <c r="H105" s="177"/>
    </row>
    <row r="106" spans="1:10" ht="13" x14ac:dyDescent="0.3">
      <c r="A106" s="171"/>
      <c r="B106" s="274" t="s">
        <v>153</v>
      </c>
    </row>
    <row r="107" spans="1:10" ht="13" x14ac:dyDescent="0.3">
      <c r="A107" s="171"/>
      <c r="B107" s="274" t="s">
        <v>154</v>
      </c>
      <c r="D107" s="171"/>
      <c r="E107" s="171"/>
      <c r="F107" s="171"/>
      <c r="G107" s="171"/>
      <c r="H107" s="171"/>
    </row>
    <row r="108" spans="1:10" ht="13" x14ac:dyDescent="0.3">
      <c r="A108" s="171"/>
      <c r="B108" s="208"/>
      <c r="D108" s="171"/>
      <c r="E108" s="171"/>
      <c r="F108" s="171"/>
      <c r="G108" s="171"/>
      <c r="H108" s="171"/>
    </row>
    <row r="109" spans="1:10" ht="13" x14ac:dyDescent="0.3">
      <c r="A109" s="171"/>
      <c r="C109" s="70"/>
      <c r="D109" s="70"/>
      <c r="E109" s="173"/>
      <c r="F109" s="173"/>
      <c r="G109" s="173"/>
      <c r="H109" s="173"/>
    </row>
    <row r="110" spans="1:10" ht="13" x14ac:dyDescent="0.3">
      <c r="A110" s="171"/>
    </row>
    <row r="111" spans="1:10" ht="13" x14ac:dyDescent="0.3">
      <c r="A111" s="171"/>
    </row>
    <row r="112" spans="1:10" ht="13" x14ac:dyDescent="0.3">
      <c r="A112" s="171"/>
    </row>
    <row r="113" spans="1:10" ht="13" x14ac:dyDescent="0.3">
      <c r="A113" s="171"/>
      <c r="C113" s="68"/>
      <c r="E113" s="177"/>
      <c r="F113" s="177"/>
      <c r="H113" s="177"/>
      <c r="J113" s="227"/>
    </row>
    <row r="114" spans="1:10" ht="13" x14ac:dyDescent="0.3">
      <c r="A114" s="171"/>
      <c r="C114" s="68"/>
      <c r="E114" s="177"/>
      <c r="F114" s="177"/>
      <c r="H114" s="177"/>
      <c r="J114" s="227"/>
    </row>
    <row r="115" spans="1:10" ht="13" x14ac:dyDescent="0.3">
      <c r="A115" s="172"/>
      <c r="C115" s="68"/>
      <c r="E115" s="177"/>
      <c r="F115" s="177"/>
      <c r="H115" s="177"/>
      <c r="J115" s="227"/>
    </row>
    <row r="116" spans="1:10" ht="13" x14ac:dyDescent="0.3">
      <c r="A116" s="171"/>
      <c r="D116" s="71"/>
      <c r="E116" s="177"/>
      <c r="F116" s="177"/>
      <c r="G116" s="176"/>
      <c r="H116" s="177"/>
      <c r="J116" s="227"/>
    </row>
    <row r="117" spans="1:10" ht="13" x14ac:dyDescent="0.3">
      <c r="A117" s="171"/>
      <c r="C117" s="68"/>
      <c r="D117" s="182"/>
      <c r="E117" s="184"/>
      <c r="F117" s="177"/>
      <c r="G117" s="176"/>
      <c r="H117" s="177"/>
      <c r="J117" s="227"/>
    </row>
    <row r="118" spans="1:10" ht="13" x14ac:dyDescent="0.3">
      <c r="A118" s="171"/>
      <c r="C118" s="68"/>
      <c r="D118" s="182"/>
      <c r="E118" s="177"/>
      <c r="F118" s="177"/>
      <c r="G118" s="176"/>
      <c r="H118" s="177"/>
      <c r="J118" s="227"/>
    </row>
    <row r="119" spans="1:10" ht="13" x14ac:dyDescent="0.3">
      <c r="A119" s="171"/>
    </row>
    <row r="120" spans="1:10" ht="13" x14ac:dyDescent="0.3">
      <c r="A120" s="171"/>
      <c r="B120" s="166"/>
    </row>
    <row r="121" spans="1:10" ht="13" x14ac:dyDescent="0.3">
      <c r="A121" s="171"/>
    </row>
    <row r="122" spans="1:10" ht="13" x14ac:dyDescent="0.3">
      <c r="A122" s="171"/>
    </row>
    <row r="123" spans="1:10" ht="13" x14ac:dyDescent="0.3">
      <c r="A123" s="171"/>
      <c r="F123" s="171"/>
    </row>
    <row r="124" spans="1:10" ht="13" x14ac:dyDescent="0.3">
      <c r="A124" s="171"/>
      <c r="F124" s="171"/>
    </row>
    <row r="125" spans="1:10" ht="13" x14ac:dyDescent="0.3">
      <c r="A125" s="171"/>
      <c r="D125" s="171"/>
      <c r="E125" s="171"/>
      <c r="F125" s="171"/>
      <c r="H125" s="171"/>
    </row>
    <row r="126" spans="1:10" ht="13" x14ac:dyDescent="0.3">
      <c r="A126" s="171"/>
      <c r="D126" s="171"/>
      <c r="E126" s="171"/>
      <c r="F126" s="171"/>
      <c r="G126" s="171"/>
      <c r="H126" s="205"/>
    </row>
    <row r="127" spans="1:10" ht="13" x14ac:dyDescent="0.3">
      <c r="A127" s="172"/>
      <c r="C127" s="70"/>
      <c r="D127" s="70"/>
      <c r="E127" s="173"/>
      <c r="F127" s="170"/>
      <c r="G127" s="173"/>
      <c r="H127" s="205"/>
    </row>
    <row r="128" spans="1:10" ht="13" x14ac:dyDescent="0.3">
      <c r="A128" s="171"/>
      <c r="C128" s="68"/>
      <c r="D128" s="69"/>
      <c r="E128" s="177"/>
      <c r="F128" s="177"/>
      <c r="G128" s="222"/>
      <c r="H128" s="177"/>
    </row>
    <row r="129" spans="1:8" ht="13" x14ac:dyDescent="0.3">
      <c r="A129" s="171"/>
      <c r="C129" s="68"/>
      <c r="D129" s="69"/>
      <c r="E129" s="177"/>
      <c r="F129" s="177"/>
      <c r="G129" s="222"/>
      <c r="H129" s="177"/>
    </row>
    <row r="130" spans="1:8" ht="13" x14ac:dyDescent="0.3">
      <c r="A130" s="171"/>
      <c r="C130" s="68"/>
      <c r="D130" s="69"/>
      <c r="E130" s="177"/>
      <c r="F130" s="177"/>
      <c r="G130" s="222"/>
      <c r="H130" s="177"/>
    </row>
    <row r="131" spans="1:8" ht="13" x14ac:dyDescent="0.3">
      <c r="A131" s="171"/>
      <c r="C131" s="68"/>
      <c r="D131" s="69"/>
      <c r="E131" s="177"/>
      <c r="F131" s="177"/>
      <c r="G131" s="222"/>
      <c r="H131" s="177"/>
    </row>
    <row r="132" spans="1:8" ht="13" x14ac:dyDescent="0.3">
      <c r="A132" s="171"/>
      <c r="C132" s="68"/>
      <c r="D132" s="69"/>
      <c r="E132" s="177"/>
      <c r="F132" s="177"/>
      <c r="G132" s="222"/>
      <c r="H132" s="177"/>
    </row>
    <row r="133" spans="1:8" ht="13" x14ac:dyDescent="0.3">
      <c r="A133" s="171"/>
      <c r="C133" s="68"/>
      <c r="D133" s="69"/>
      <c r="E133" s="177"/>
      <c r="F133" s="177"/>
      <c r="G133" s="222"/>
      <c r="H133" s="177"/>
    </row>
    <row r="134" spans="1:8" ht="13" x14ac:dyDescent="0.3">
      <c r="A134" s="171"/>
      <c r="C134" s="68"/>
      <c r="D134" s="69"/>
      <c r="E134" s="177"/>
      <c r="F134" s="177"/>
      <c r="G134" s="222"/>
      <c r="H134" s="177"/>
    </row>
    <row r="135" spans="1:8" ht="13" x14ac:dyDescent="0.3">
      <c r="A135" s="171"/>
      <c r="C135" s="68"/>
      <c r="D135" s="69"/>
      <c r="E135" s="177"/>
      <c r="F135" s="177"/>
      <c r="G135" s="222"/>
      <c r="H135" s="177"/>
    </row>
    <row r="136" spans="1:8" ht="13" x14ac:dyDescent="0.3">
      <c r="A136" s="171"/>
      <c r="C136" s="68"/>
      <c r="D136" s="69"/>
      <c r="E136" s="177"/>
      <c r="F136" s="177"/>
      <c r="G136" s="222"/>
      <c r="H136" s="177"/>
    </row>
    <row r="137" spans="1:8" ht="13" x14ac:dyDescent="0.3">
      <c r="A137" s="171"/>
      <c r="C137" s="68"/>
      <c r="D137" s="69"/>
      <c r="E137" s="177"/>
      <c r="F137" s="177"/>
      <c r="G137" s="222"/>
      <c r="H137" s="177"/>
    </row>
    <row r="138" spans="1:8" ht="13" x14ac:dyDescent="0.3">
      <c r="A138" s="171"/>
      <c r="C138" s="68"/>
      <c r="D138" s="69"/>
      <c r="E138" s="177"/>
      <c r="F138" s="177"/>
      <c r="G138" s="222"/>
      <c r="H138" s="177"/>
    </row>
    <row r="139" spans="1:8" ht="13" x14ac:dyDescent="0.3">
      <c r="A139" s="171"/>
      <c r="C139" s="68"/>
      <c r="D139" s="69"/>
      <c r="E139" s="177"/>
      <c r="F139" s="177"/>
      <c r="G139" s="222"/>
      <c r="H139" s="184"/>
    </row>
    <row r="140" spans="1:8" ht="13" x14ac:dyDescent="0.3">
      <c r="A140" s="171"/>
      <c r="H140" s="177"/>
    </row>
    <row r="141" spans="1:8" ht="13" x14ac:dyDescent="0.3">
      <c r="A141" s="171"/>
      <c r="C141" s="68"/>
      <c r="D141" s="69"/>
      <c r="F141" s="228"/>
      <c r="G141" s="222"/>
      <c r="H141" s="228"/>
    </row>
    <row r="142" spans="1:8" ht="13" x14ac:dyDescent="0.3">
      <c r="A142" s="171"/>
      <c r="B142" s="166"/>
      <c r="C142" s="68"/>
      <c r="D142" s="69"/>
      <c r="F142" s="228"/>
      <c r="G142" s="222"/>
      <c r="H142" s="228"/>
    </row>
    <row r="143" spans="1:8" ht="13" x14ac:dyDescent="0.3">
      <c r="A143" s="172"/>
      <c r="B143" s="166"/>
      <c r="C143" s="68"/>
      <c r="D143" s="69"/>
      <c r="F143" s="228"/>
      <c r="G143" s="222"/>
      <c r="H143" s="228"/>
    </row>
    <row r="144" spans="1:8" ht="13" x14ac:dyDescent="0.3">
      <c r="A144" s="171"/>
      <c r="C144" s="68"/>
      <c r="D144" s="74"/>
      <c r="E144" s="177"/>
      <c r="F144" s="229"/>
      <c r="G144" s="222"/>
      <c r="H144" s="228"/>
    </row>
    <row r="145" spans="1:8" ht="13" x14ac:dyDescent="0.3">
      <c r="A145" s="171"/>
      <c r="C145" s="68"/>
      <c r="D145" s="180"/>
      <c r="E145" s="177"/>
      <c r="F145" s="229"/>
      <c r="G145" s="222"/>
      <c r="H145" s="228"/>
    </row>
    <row r="146" spans="1:8" ht="13" x14ac:dyDescent="0.3">
      <c r="A146" s="171"/>
      <c r="C146" s="68"/>
      <c r="D146" s="180"/>
      <c r="E146" s="184"/>
      <c r="F146" s="229"/>
      <c r="G146" s="222"/>
      <c r="H146" s="228"/>
    </row>
    <row r="147" spans="1:8" ht="13" x14ac:dyDescent="0.3">
      <c r="A147" s="171"/>
      <c r="C147" s="68"/>
      <c r="D147" s="74"/>
      <c r="E147" s="177"/>
      <c r="F147" s="228"/>
      <c r="G147" s="222"/>
      <c r="H147" s="228"/>
    </row>
    <row r="148" spans="1:8" ht="13" x14ac:dyDescent="0.3">
      <c r="A148" s="171"/>
      <c r="C148" s="68"/>
      <c r="D148" s="69"/>
      <c r="F148" s="228"/>
      <c r="G148" s="222"/>
      <c r="H148" s="228"/>
    </row>
    <row r="149" spans="1:8" ht="13" x14ac:dyDescent="0.3">
      <c r="A149" s="171"/>
    </row>
    <row r="150" spans="1:8" ht="13" x14ac:dyDescent="0.3">
      <c r="A150" s="171"/>
    </row>
    <row r="151" spans="1:8" ht="13" x14ac:dyDescent="0.3">
      <c r="A151" s="171"/>
    </row>
    <row r="152" spans="1:8" ht="13" x14ac:dyDescent="0.3">
      <c r="A152" s="171"/>
      <c r="B152" s="166"/>
    </row>
    <row r="153" spans="1:8" ht="13" x14ac:dyDescent="0.3">
      <c r="A153" s="171"/>
      <c r="B153" s="176"/>
    </row>
    <row r="154" spans="1:8" ht="13" x14ac:dyDescent="0.3">
      <c r="A154" s="171"/>
      <c r="B154" s="176"/>
    </row>
    <row r="155" spans="1:8" ht="13" x14ac:dyDescent="0.3">
      <c r="A155" s="171"/>
      <c r="B155" s="176"/>
    </row>
    <row r="156" spans="1:8" ht="13" x14ac:dyDescent="0.3">
      <c r="A156" s="171"/>
    </row>
    <row r="157" spans="1:8" ht="13" x14ac:dyDescent="0.3">
      <c r="A157" s="171"/>
      <c r="B157" s="166"/>
    </row>
    <row r="158" spans="1:8" ht="13" x14ac:dyDescent="0.3">
      <c r="A158" s="171"/>
    </row>
    <row r="159" spans="1:8" ht="13" x14ac:dyDescent="0.3">
      <c r="A159" s="172"/>
      <c r="C159" s="70"/>
      <c r="D159" s="173"/>
    </row>
    <row r="160" spans="1:8" ht="13" x14ac:dyDescent="0.3">
      <c r="A160" s="171"/>
      <c r="C160" s="68"/>
      <c r="D160" s="230"/>
      <c r="F160" s="186"/>
    </row>
    <row r="161" spans="1:6" ht="13" x14ac:dyDescent="0.3">
      <c r="A161" s="171"/>
      <c r="C161" s="68"/>
      <c r="D161" s="230"/>
      <c r="F161" s="186"/>
    </row>
    <row r="162" spans="1:6" ht="13" x14ac:dyDescent="0.3">
      <c r="A162" s="171"/>
      <c r="C162" s="68"/>
      <c r="D162" s="230"/>
      <c r="F162" s="186"/>
    </row>
    <row r="163" spans="1:6" ht="13" x14ac:dyDescent="0.3">
      <c r="A163" s="171"/>
      <c r="C163" s="68"/>
      <c r="D163" s="230"/>
      <c r="F163" s="186"/>
    </row>
    <row r="164" spans="1:6" ht="13" x14ac:dyDescent="0.3">
      <c r="A164" s="171"/>
      <c r="C164" s="68"/>
      <c r="D164" s="230"/>
      <c r="F164" s="186"/>
    </row>
    <row r="165" spans="1:6" ht="13" x14ac:dyDescent="0.3">
      <c r="A165" s="171"/>
      <c r="C165" s="68"/>
      <c r="D165" s="230"/>
      <c r="F165" s="186"/>
    </row>
    <row r="166" spans="1:6" ht="13" x14ac:dyDescent="0.3">
      <c r="A166" s="171"/>
      <c r="C166" s="68"/>
      <c r="D166" s="230"/>
      <c r="F166" s="186"/>
    </row>
    <row r="167" spans="1:6" ht="13" x14ac:dyDescent="0.3">
      <c r="A167" s="171"/>
      <c r="C167" s="68"/>
      <c r="D167" s="230"/>
      <c r="F167" s="186"/>
    </row>
    <row r="168" spans="1:6" ht="13" x14ac:dyDescent="0.3">
      <c r="A168" s="171"/>
      <c r="C168" s="68"/>
      <c r="D168" s="230"/>
      <c r="F168" s="186"/>
    </row>
    <row r="169" spans="1:6" ht="13" x14ac:dyDescent="0.3">
      <c r="A169" s="171"/>
      <c r="C169" s="68"/>
      <c r="D169" s="230"/>
      <c r="F169" s="186"/>
    </row>
    <row r="170" spans="1:6" ht="13" x14ac:dyDescent="0.3">
      <c r="A170" s="171"/>
      <c r="C170" s="68"/>
      <c r="D170" s="230"/>
      <c r="F170" s="186"/>
    </row>
    <row r="171" spans="1:6" ht="13" x14ac:dyDescent="0.3">
      <c r="A171" s="171"/>
      <c r="C171" s="68"/>
      <c r="D171" s="231"/>
      <c r="F171" s="185"/>
    </row>
    <row r="172" spans="1:6" ht="13" x14ac:dyDescent="0.3">
      <c r="A172" s="171"/>
      <c r="C172" s="71"/>
      <c r="D172" s="230"/>
    </row>
  </sheetData>
  <mergeCells count="2">
    <mergeCell ref="K71:L71"/>
    <mergeCell ref="L75:M75"/>
  </mergeCells>
  <pageMargins left="0.75" right="0.75" top="1" bottom="1" header="0.5" footer="0.5"/>
  <pageSetup scale="67" orientation="landscape" cellComments="asDisplayed" r:id="rId1"/>
  <headerFooter alignWithMargins="0">
    <oddHeader>&amp;CSchedule 4
True Up TRR
(Revised 2018 
TO2020 True Up TRR)&amp;RTO2024 Draft Annual Update
Attachment 4
WP-Schedule 3-One Time Adj Prior Period
Page &amp;P of &amp;N</oddHeader>
    <oddFooter>&amp;R&amp;A</oddFooter>
  </headerFooter>
  <rowBreaks count="4" manualBreakCount="4">
    <brk id="45" max="11" man="1"/>
    <brk id="73" max="16383" man="1"/>
    <brk id="119" max="9" man="1"/>
    <brk id="151"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80D1F-91C6-4714-9F8E-2522CB8884CA}">
  <sheetPr>
    <tabColor rgb="FFCC99FF"/>
  </sheetPr>
  <dimension ref="A1:X104"/>
  <sheetViews>
    <sheetView zoomScaleNormal="100" workbookViewId="0"/>
  </sheetViews>
  <sheetFormatPr defaultRowHeight="12.5" x14ac:dyDescent="0.25"/>
  <cols>
    <col min="1" max="1" width="4.7265625" style="267" customWidth="1"/>
    <col min="2" max="2" width="2.7265625" style="267" customWidth="1"/>
    <col min="3" max="3" width="8.7265625" style="267" customWidth="1"/>
    <col min="4" max="4" width="32.54296875" style="267" customWidth="1"/>
    <col min="5" max="5" width="14.7265625" style="267" customWidth="1"/>
    <col min="6" max="6" width="15.7265625" style="267" customWidth="1"/>
    <col min="7" max="8" width="14.7265625" style="267" customWidth="1"/>
    <col min="9" max="9" width="20" style="267" customWidth="1"/>
    <col min="10" max="10" width="15.81640625" style="267" customWidth="1"/>
    <col min="11" max="11" width="11" style="267" bestFit="1" customWidth="1"/>
    <col min="12" max="16384" width="8.7265625" style="267"/>
  </cols>
  <sheetData>
    <row r="1" spans="1:24" ht="13" x14ac:dyDescent="0.3">
      <c r="A1" s="166" t="s">
        <v>170</v>
      </c>
      <c r="F1" s="167" t="s">
        <v>171</v>
      </c>
      <c r="G1" s="168"/>
      <c r="H1" s="169"/>
      <c r="I1" s="169"/>
    </row>
    <row r="2" spans="1:24" ht="13" x14ac:dyDescent="0.3">
      <c r="E2" s="170" t="s">
        <v>172</v>
      </c>
      <c r="F2" s="170" t="s">
        <v>173</v>
      </c>
      <c r="G2" s="170" t="s">
        <v>174</v>
      </c>
      <c r="H2" s="170" t="s">
        <v>175</v>
      </c>
      <c r="I2" s="169"/>
    </row>
    <row r="3" spans="1:24" x14ac:dyDescent="0.25">
      <c r="G3" s="169" t="s">
        <v>176</v>
      </c>
    </row>
    <row r="4" spans="1:24" ht="13" x14ac:dyDescent="0.3">
      <c r="E4" s="171" t="s">
        <v>177</v>
      </c>
      <c r="F4" s="116" t="s">
        <v>178</v>
      </c>
      <c r="G4" s="171" t="s">
        <v>179</v>
      </c>
      <c r="I4" s="171"/>
    </row>
    <row r="5" spans="1:24" ht="13" x14ac:dyDescent="0.3">
      <c r="A5" s="172" t="s">
        <v>39</v>
      </c>
      <c r="B5" s="173"/>
      <c r="C5" s="173" t="s">
        <v>180</v>
      </c>
      <c r="D5" s="173" t="s">
        <v>31</v>
      </c>
      <c r="E5" s="173" t="s">
        <v>32</v>
      </c>
      <c r="F5" s="70" t="s">
        <v>33</v>
      </c>
      <c r="G5" s="173" t="s">
        <v>181</v>
      </c>
      <c r="H5" s="173" t="s">
        <v>82</v>
      </c>
      <c r="I5" s="173" t="s">
        <v>42</v>
      </c>
      <c r="K5" s="173"/>
      <c r="L5" s="173"/>
      <c r="M5" s="173"/>
      <c r="N5" s="173"/>
      <c r="O5" s="173"/>
      <c r="P5" s="173"/>
      <c r="Q5" s="173"/>
      <c r="R5" s="173"/>
      <c r="S5" s="173"/>
      <c r="T5" s="173"/>
      <c r="U5" s="173"/>
      <c r="V5" s="173"/>
      <c r="W5" s="173"/>
      <c r="X5" s="173"/>
    </row>
    <row r="6" spans="1:24" ht="13" x14ac:dyDescent="0.3">
      <c r="A6" s="171">
        <v>1</v>
      </c>
      <c r="C6" s="169">
        <v>920</v>
      </c>
      <c r="D6" s="267" t="s">
        <v>182</v>
      </c>
      <c r="E6" s="174">
        <v>380019593</v>
      </c>
      <c r="F6" s="169" t="s">
        <v>183</v>
      </c>
      <c r="G6" s="177">
        <f>D37</f>
        <v>97483049.662320316</v>
      </c>
      <c r="H6" s="177">
        <f t="shared" ref="H6:H19" si="0">E6-G6</f>
        <v>282536543.33767968</v>
      </c>
      <c r="J6" s="176"/>
    </row>
    <row r="7" spans="1:24" ht="13" x14ac:dyDescent="0.3">
      <c r="A7" s="171">
        <f>A6+1</f>
        <v>2</v>
      </c>
      <c r="C7" s="169">
        <v>921</v>
      </c>
      <c r="D7" s="267" t="s">
        <v>184</v>
      </c>
      <c r="E7" s="174">
        <v>243397352</v>
      </c>
      <c r="F7" s="169" t="s">
        <v>185</v>
      </c>
      <c r="G7" s="177">
        <f t="shared" ref="G7:G19" si="1">D38</f>
        <v>8604255.4699999988</v>
      </c>
      <c r="H7" s="177">
        <f t="shared" si="0"/>
        <v>234793096.53</v>
      </c>
      <c r="J7" s="176"/>
    </row>
    <row r="8" spans="1:24" ht="13" x14ac:dyDescent="0.3">
      <c r="A8" s="171">
        <f>A7+1</f>
        <v>3</v>
      </c>
      <c r="C8" s="169">
        <v>922</v>
      </c>
      <c r="D8" s="267" t="s">
        <v>186</v>
      </c>
      <c r="E8" s="174">
        <v>-153376384</v>
      </c>
      <c r="F8" s="169" t="s">
        <v>187</v>
      </c>
      <c r="G8" s="177">
        <f t="shared" si="1"/>
        <v>-62480935.075400002</v>
      </c>
      <c r="H8" s="177">
        <f t="shared" si="0"/>
        <v>-90895448.924600005</v>
      </c>
      <c r="I8" s="187" t="s">
        <v>188</v>
      </c>
      <c r="J8" s="176"/>
    </row>
    <row r="9" spans="1:24" ht="13" x14ac:dyDescent="0.3">
      <c r="A9" s="171">
        <f t="shared" ref="A9:A20" si="2">A8+1</f>
        <v>4</v>
      </c>
      <c r="B9" s="171"/>
      <c r="C9" s="169">
        <v>923</v>
      </c>
      <c r="D9" s="267" t="s">
        <v>189</v>
      </c>
      <c r="E9" s="174">
        <v>54239013</v>
      </c>
      <c r="F9" s="169" t="s">
        <v>190</v>
      </c>
      <c r="G9" s="175">
        <f t="shared" si="1"/>
        <v>9099603.9179565907</v>
      </c>
      <c r="H9" s="175">
        <f t="shared" si="0"/>
        <v>45139409.082043409</v>
      </c>
      <c r="J9" s="176"/>
    </row>
    <row r="10" spans="1:24" ht="13" x14ac:dyDescent="0.3">
      <c r="A10" s="171">
        <f t="shared" si="2"/>
        <v>5</v>
      </c>
      <c r="B10" s="171"/>
      <c r="C10" s="169">
        <v>924</v>
      </c>
      <c r="D10" s="267" t="s">
        <v>191</v>
      </c>
      <c r="E10" s="174">
        <v>16155127</v>
      </c>
      <c r="F10" s="169" t="s">
        <v>192</v>
      </c>
      <c r="G10" s="177">
        <f t="shared" si="1"/>
        <v>0</v>
      </c>
      <c r="H10" s="177">
        <f t="shared" si="0"/>
        <v>16155127</v>
      </c>
      <c r="J10" s="176"/>
    </row>
    <row r="11" spans="1:24" ht="13" x14ac:dyDescent="0.3">
      <c r="A11" s="171">
        <f t="shared" si="2"/>
        <v>6</v>
      </c>
      <c r="B11" s="171"/>
      <c r="C11" s="169">
        <v>925</v>
      </c>
      <c r="D11" s="267" t="s">
        <v>193</v>
      </c>
      <c r="E11" s="174">
        <v>2996146771</v>
      </c>
      <c r="F11" s="169" t="s">
        <v>194</v>
      </c>
      <c r="G11" s="177">
        <f t="shared" si="1"/>
        <v>4252252.1400000006</v>
      </c>
      <c r="H11" s="177">
        <f t="shared" si="0"/>
        <v>2991894518.8600001</v>
      </c>
      <c r="J11" s="176"/>
    </row>
    <row r="12" spans="1:24" ht="13" x14ac:dyDescent="0.3">
      <c r="A12" s="171">
        <f t="shared" si="2"/>
        <v>7</v>
      </c>
      <c r="B12" s="171"/>
      <c r="C12" s="169">
        <v>926</v>
      </c>
      <c r="D12" s="267" t="s">
        <v>195</v>
      </c>
      <c r="E12" s="174">
        <v>115626278</v>
      </c>
      <c r="F12" s="169" t="s">
        <v>196</v>
      </c>
      <c r="G12" s="177">
        <f t="shared" si="1"/>
        <v>-12067035</v>
      </c>
      <c r="H12" s="177">
        <f t="shared" si="0"/>
        <v>127693313</v>
      </c>
      <c r="J12" s="176"/>
    </row>
    <row r="13" spans="1:24" ht="13" x14ac:dyDescent="0.3">
      <c r="A13" s="171">
        <f t="shared" si="2"/>
        <v>8</v>
      </c>
      <c r="B13" s="171"/>
      <c r="C13" s="169">
        <v>927</v>
      </c>
      <c r="D13" s="267" t="s">
        <v>197</v>
      </c>
      <c r="E13" s="174">
        <v>113911175</v>
      </c>
      <c r="F13" s="169" t="s">
        <v>198</v>
      </c>
      <c r="G13" s="177">
        <f t="shared" si="1"/>
        <v>113911175</v>
      </c>
      <c r="H13" s="177">
        <f t="shared" si="0"/>
        <v>0</v>
      </c>
      <c r="J13" s="176"/>
    </row>
    <row r="14" spans="1:24" ht="13" x14ac:dyDescent="0.3">
      <c r="A14" s="171">
        <f t="shared" si="2"/>
        <v>9</v>
      </c>
      <c r="B14" s="171"/>
      <c r="C14" s="169">
        <v>928</v>
      </c>
      <c r="D14" s="176" t="s">
        <v>199</v>
      </c>
      <c r="E14" s="174">
        <v>11239506</v>
      </c>
      <c r="F14" s="169" t="s">
        <v>200</v>
      </c>
      <c r="G14" s="177">
        <f t="shared" si="1"/>
        <v>11197494.479999999</v>
      </c>
      <c r="H14" s="177">
        <f t="shared" si="0"/>
        <v>42011.520000001416</v>
      </c>
      <c r="J14" s="176"/>
    </row>
    <row r="15" spans="1:24" ht="13" x14ac:dyDescent="0.3">
      <c r="A15" s="171">
        <f t="shared" si="2"/>
        <v>10</v>
      </c>
      <c r="B15" s="171"/>
      <c r="C15" s="169">
        <v>929</v>
      </c>
      <c r="D15" s="267" t="s">
        <v>201</v>
      </c>
      <c r="E15" s="174">
        <v>0</v>
      </c>
      <c r="F15" s="169" t="s">
        <v>202</v>
      </c>
      <c r="G15" s="177">
        <f t="shared" si="1"/>
        <v>0</v>
      </c>
      <c r="H15" s="177">
        <f t="shared" si="0"/>
        <v>0</v>
      </c>
      <c r="J15" s="176"/>
    </row>
    <row r="16" spans="1:24" ht="13" x14ac:dyDescent="0.3">
      <c r="A16" s="171">
        <f t="shared" si="2"/>
        <v>11</v>
      </c>
      <c r="B16" s="171"/>
      <c r="C16" s="169">
        <v>930.1</v>
      </c>
      <c r="D16" s="267" t="s">
        <v>203</v>
      </c>
      <c r="E16" s="174">
        <v>6438097</v>
      </c>
      <c r="F16" s="169" t="s">
        <v>204</v>
      </c>
      <c r="G16" s="177">
        <f t="shared" si="1"/>
        <v>0</v>
      </c>
      <c r="H16" s="177">
        <f t="shared" si="0"/>
        <v>6438097</v>
      </c>
      <c r="J16" s="176"/>
    </row>
    <row r="17" spans="1:10" ht="13" x14ac:dyDescent="0.3">
      <c r="A17" s="171">
        <f t="shared" si="2"/>
        <v>12</v>
      </c>
      <c r="B17" s="171"/>
      <c r="C17" s="169">
        <v>930.2</v>
      </c>
      <c r="D17" s="267" t="s">
        <v>205</v>
      </c>
      <c r="E17" s="174">
        <v>23890761</v>
      </c>
      <c r="F17" s="169" t="s">
        <v>206</v>
      </c>
      <c r="G17" s="177">
        <f t="shared" si="1"/>
        <v>14064692.309999999</v>
      </c>
      <c r="H17" s="177">
        <f t="shared" si="0"/>
        <v>9826068.6900000013</v>
      </c>
      <c r="J17" s="176"/>
    </row>
    <row r="18" spans="1:10" ht="13" x14ac:dyDescent="0.3">
      <c r="A18" s="171">
        <f t="shared" si="2"/>
        <v>13</v>
      </c>
      <c r="B18" s="171"/>
      <c r="C18" s="169">
        <v>931</v>
      </c>
      <c r="D18" s="267" t="s">
        <v>207</v>
      </c>
      <c r="E18" s="174">
        <v>8428057</v>
      </c>
      <c r="F18" s="169" t="s">
        <v>208</v>
      </c>
      <c r="G18" s="177">
        <f t="shared" si="1"/>
        <v>11993181.66</v>
      </c>
      <c r="H18" s="177">
        <f t="shared" si="0"/>
        <v>-3565124.66</v>
      </c>
      <c r="J18" s="176"/>
    </row>
    <row r="19" spans="1:10" ht="13" x14ac:dyDescent="0.3">
      <c r="A19" s="171">
        <f t="shared" si="2"/>
        <v>14</v>
      </c>
      <c r="B19" s="171"/>
      <c r="C19" s="169">
        <v>935</v>
      </c>
      <c r="D19" s="267" t="s">
        <v>209</v>
      </c>
      <c r="E19" s="178">
        <v>18830965</v>
      </c>
      <c r="F19" s="169" t="s">
        <v>210</v>
      </c>
      <c r="G19" s="177">
        <f t="shared" si="1"/>
        <v>699127.86</v>
      </c>
      <c r="H19" s="184">
        <f t="shared" si="0"/>
        <v>18131837.140000001</v>
      </c>
      <c r="J19" s="176"/>
    </row>
    <row r="20" spans="1:10" ht="13" x14ac:dyDescent="0.3">
      <c r="A20" s="171">
        <f t="shared" si="2"/>
        <v>15</v>
      </c>
      <c r="E20" s="177">
        <f>SUM(E6:E19)</f>
        <v>3834946311</v>
      </c>
      <c r="G20" s="180" t="s">
        <v>211</v>
      </c>
      <c r="H20" s="181">
        <f>SUM(H6:H19)</f>
        <v>3638189448.5751233</v>
      </c>
    </row>
    <row r="22" spans="1:10" ht="13" x14ac:dyDescent="0.3">
      <c r="F22" s="173" t="s">
        <v>32</v>
      </c>
      <c r="G22" s="173" t="s">
        <v>33</v>
      </c>
    </row>
    <row r="23" spans="1:10" ht="13" x14ac:dyDescent="0.3">
      <c r="A23" s="171">
        <f>A20+1</f>
        <v>16</v>
      </c>
      <c r="E23" s="182" t="s">
        <v>212</v>
      </c>
      <c r="F23" s="175">
        <f>H20</f>
        <v>3638189448.5751233</v>
      </c>
      <c r="G23" s="183" t="str">
        <f>"Line "&amp;A20&amp;""</f>
        <v>Line 15</v>
      </c>
    </row>
    <row r="24" spans="1:10" ht="13" x14ac:dyDescent="0.3">
      <c r="A24" s="171">
        <f t="shared" ref="A24:A30" si="3">A23+1</f>
        <v>17</v>
      </c>
      <c r="E24" s="182" t="s">
        <v>213</v>
      </c>
      <c r="F24" s="184">
        <f>E10</f>
        <v>16155127</v>
      </c>
      <c r="G24" s="183" t="str">
        <f>"Line "&amp;A10&amp;""</f>
        <v>Line 5</v>
      </c>
    </row>
    <row r="25" spans="1:10" ht="13" x14ac:dyDescent="0.3">
      <c r="A25" s="171">
        <f t="shared" si="3"/>
        <v>18</v>
      </c>
      <c r="E25" s="182" t="s">
        <v>214</v>
      </c>
      <c r="F25" s="175">
        <f>F23-F24</f>
        <v>3622034321.5751233</v>
      </c>
      <c r="G25" s="183" t="str">
        <f>"Line "&amp;A23&amp;" - Line "&amp;A24&amp;""</f>
        <v>Line 16 - Line 17</v>
      </c>
    </row>
    <row r="26" spans="1:10" ht="13" x14ac:dyDescent="0.3">
      <c r="A26" s="171">
        <f t="shared" si="3"/>
        <v>19</v>
      </c>
      <c r="E26" s="180" t="s">
        <v>215</v>
      </c>
      <c r="F26" s="185">
        <v>5.742655010962041E-2</v>
      </c>
      <c r="G26" s="183" t="s">
        <v>216</v>
      </c>
    </row>
    <row r="27" spans="1:10" ht="13" x14ac:dyDescent="0.3">
      <c r="A27" s="171">
        <f t="shared" si="3"/>
        <v>20</v>
      </c>
      <c r="E27" s="182" t="s">
        <v>217</v>
      </c>
      <c r="F27" s="175">
        <f>F25*F26</f>
        <v>208000935.4666988</v>
      </c>
      <c r="G27" s="183" t="str">
        <f>"Line "&amp;A25&amp;" * Line "&amp;A26&amp;""</f>
        <v>Line 18 * Line 19</v>
      </c>
    </row>
    <row r="28" spans="1:10" ht="13" x14ac:dyDescent="0.3">
      <c r="A28" s="171">
        <f t="shared" si="3"/>
        <v>21</v>
      </c>
      <c r="E28" s="182" t="s">
        <v>218</v>
      </c>
      <c r="F28" s="186">
        <v>0.18742153560119321</v>
      </c>
      <c r="G28" s="183" t="s">
        <v>219</v>
      </c>
    </row>
    <row r="29" spans="1:10" ht="13" x14ac:dyDescent="0.3">
      <c r="A29" s="171">
        <f t="shared" si="3"/>
        <v>22</v>
      </c>
      <c r="E29" s="182" t="s">
        <v>220</v>
      </c>
      <c r="F29" s="184">
        <f>H10*F28</f>
        <v>3027818.7101722974</v>
      </c>
      <c r="G29" s="183" t="str">
        <f>"Line "&amp;A10&amp;" Col 4 * Line "&amp;A28&amp;""</f>
        <v>Line 5 Col 4 * Line 21</v>
      </c>
    </row>
    <row r="30" spans="1:10" ht="13" x14ac:dyDescent="0.3">
      <c r="A30" s="171">
        <f t="shared" si="3"/>
        <v>23</v>
      </c>
      <c r="E30" s="182" t="s">
        <v>221</v>
      </c>
      <c r="F30" s="181">
        <f>F27+F29</f>
        <v>211028754.17687109</v>
      </c>
      <c r="G30" s="183" t="str">
        <f>"Line "&amp;A27&amp;" + Line "&amp;A29&amp;""</f>
        <v>Line 20 + Line 22</v>
      </c>
    </row>
    <row r="32" spans="1:10" ht="13" x14ac:dyDescent="0.3">
      <c r="B32" s="166" t="s">
        <v>222</v>
      </c>
      <c r="E32" s="170" t="s">
        <v>172</v>
      </c>
      <c r="F32" s="170" t="s">
        <v>173</v>
      </c>
      <c r="G32" s="170" t="s">
        <v>174</v>
      </c>
      <c r="H32" s="170" t="s">
        <v>175</v>
      </c>
    </row>
    <row r="33" spans="1:11" ht="13" x14ac:dyDescent="0.3">
      <c r="B33" s="166"/>
      <c r="E33" s="171" t="s">
        <v>223</v>
      </c>
      <c r="F33" s="170"/>
      <c r="G33" s="170"/>
      <c r="H33" s="170"/>
    </row>
    <row r="34" spans="1:11" ht="13" x14ac:dyDescent="0.3">
      <c r="E34" s="171" t="s">
        <v>224</v>
      </c>
    </row>
    <row r="35" spans="1:11" ht="13" x14ac:dyDescent="0.3">
      <c r="D35" s="171" t="s">
        <v>225</v>
      </c>
      <c r="E35" s="171" t="s">
        <v>226</v>
      </c>
      <c r="F35" s="171" t="s">
        <v>227</v>
      </c>
      <c r="G35" s="171"/>
      <c r="H35" s="171"/>
    </row>
    <row r="36" spans="1:11" ht="13" x14ac:dyDescent="0.3">
      <c r="C36" s="173" t="s">
        <v>180</v>
      </c>
      <c r="D36" s="170" t="s">
        <v>228</v>
      </c>
      <c r="E36" s="173" t="s">
        <v>229</v>
      </c>
      <c r="F36" s="173" t="s">
        <v>230</v>
      </c>
      <c r="G36" s="173" t="s">
        <v>231</v>
      </c>
      <c r="H36" s="173" t="s">
        <v>232</v>
      </c>
      <c r="I36" s="173" t="s">
        <v>42</v>
      </c>
    </row>
    <row r="37" spans="1:11" ht="13" x14ac:dyDescent="0.3">
      <c r="A37" s="171">
        <f>A30+1</f>
        <v>24</v>
      </c>
      <c r="C37" s="169">
        <v>920</v>
      </c>
      <c r="D37" s="192">
        <f>SUM(E37:H37)</f>
        <v>97483049.662320316</v>
      </c>
      <c r="E37" s="193">
        <v>-21943252.750439342</v>
      </c>
      <c r="F37" s="191"/>
      <c r="G37" s="177">
        <f>G58</f>
        <v>119426302.41275966</v>
      </c>
      <c r="H37" s="191"/>
      <c r="I37" s="183" t="s">
        <v>233</v>
      </c>
    </row>
    <row r="38" spans="1:11" ht="13" x14ac:dyDescent="0.3">
      <c r="A38" s="171">
        <f>A37+1</f>
        <v>25</v>
      </c>
      <c r="C38" s="169">
        <v>921</v>
      </c>
      <c r="D38" s="192">
        <f t="shared" ref="D38:D50" si="4">SUM(E38:H38)</f>
        <v>8604255.4699999988</v>
      </c>
      <c r="E38" s="193">
        <v>8604255.4699999988</v>
      </c>
      <c r="F38" s="191"/>
      <c r="G38" s="191">
        <v>0</v>
      </c>
      <c r="H38" s="191"/>
      <c r="I38" s="187"/>
    </row>
    <row r="39" spans="1:11" ht="13.5" thickBot="1" x14ac:dyDescent="0.35">
      <c r="A39" s="171">
        <f t="shared" ref="A39:A50" si="5">A38+1</f>
        <v>26</v>
      </c>
      <c r="C39" s="169">
        <v>922</v>
      </c>
      <c r="D39" s="192">
        <f t="shared" si="4"/>
        <v>-62480935.075400002</v>
      </c>
      <c r="E39" s="193">
        <v>-7944352.0754000004</v>
      </c>
      <c r="F39" s="191"/>
      <c r="G39" s="117">
        <v>-54536583</v>
      </c>
      <c r="H39" s="191"/>
      <c r="I39" s="187"/>
    </row>
    <row r="40" spans="1:11" ht="13.5" thickBot="1" x14ac:dyDescent="0.35">
      <c r="A40" s="171">
        <f t="shared" si="5"/>
        <v>27</v>
      </c>
      <c r="C40" s="169">
        <v>923</v>
      </c>
      <c r="D40" s="189">
        <f t="shared" si="4"/>
        <v>9099603.9179565907</v>
      </c>
      <c r="E40" s="190">
        <v>9099603.9179565907</v>
      </c>
      <c r="F40" s="191"/>
      <c r="G40" s="191">
        <v>0</v>
      </c>
      <c r="H40" s="191"/>
      <c r="I40" s="187"/>
      <c r="J40" s="173"/>
      <c r="K40" s="173"/>
    </row>
    <row r="41" spans="1:11" ht="13" x14ac:dyDescent="0.3">
      <c r="A41" s="171">
        <f t="shared" si="5"/>
        <v>28</v>
      </c>
      <c r="C41" s="169">
        <v>924</v>
      </c>
      <c r="D41" s="192">
        <f t="shared" si="4"/>
        <v>0</v>
      </c>
      <c r="E41" s="193">
        <v>0</v>
      </c>
      <c r="F41" s="191"/>
      <c r="G41" s="191">
        <v>0</v>
      </c>
      <c r="H41" s="191"/>
      <c r="I41" s="187"/>
      <c r="K41" s="177"/>
    </row>
    <row r="42" spans="1:11" ht="13" x14ac:dyDescent="0.3">
      <c r="A42" s="171">
        <f t="shared" si="5"/>
        <v>29</v>
      </c>
      <c r="C42" s="169">
        <v>925</v>
      </c>
      <c r="D42" s="192">
        <f t="shared" si="4"/>
        <v>4252252.1400000006</v>
      </c>
      <c r="E42" s="193">
        <v>4252252.1400000006</v>
      </c>
      <c r="F42" s="191"/>
      <c r="G42" s="191">
        <v>0</v>
      </c>
      <c r="H42" s="191"/>
      <c r="I42" s="183"/>
      <c r="K42" s="177"/>
    </row>
    <row r="43" spans="1:11" ht="13" x14ac:dyDescent="0.3">
      <c r="A43" s="171">
        <f t="shared" si="5"/>
        <v>30</v>
      </c>
      <c r="C43" s="169">
        <v>926</v>
      </c>
      <c r="D43" s="192">
        <f t="shared" si="4"/>
        <v>-12067035</v>
      </c>
      <c r="E43" s="193">
        <v>9885298</v>
      </c>
      <c r="F43" s="191"/>
      <c r="G43" s="191">
        <v>0</v>
      </c>
      <c r="H43" s="177">
        <f>E71</f>
        <v>-21952333</v>
      </c>
      <c r="I43" s="183" t="s">
        <v>234</v>
      </c>
      <c r="K43" s="177"/>
    </row>
    <row r="44" spans="1:11" ht="13" x14ac:dyDescent="0.3">
      <c r="A44" s="171">
        <f t="shared" si="5"/>
        <v>31</v>
      </c>
      <c r="C44" s="169">
        <v>927</v>
      </c>
      <c r="D44" s="192">
        <f t="shared" si="4"/>
        <v>113911175</v>
      </c>
      <c r="E44" s="177">
        <v>0</v>
      </c>
      <c r="F44" s="177">
        <f>E13</f>
        <v>113911175</v>
      </c>
      <c r="G44" s="177">
        <v>0</v>
      </c>
      <c r="H44" s="177">
        <v>0</v>
      </c>
      <c r="I44" s="187" t="s">
        <v>235</v>
      </c>
      <c r="K44" s="177"/>
    </row>
    <row r="45" spans="1:11" ht="13" x14ac:dyDescent="0.3">
      <c r="A45" s="171">
        <f t="shared" si="5"/>
        <v>32</v>
      </c>
      <c r="C45" s="169">
        <v>928</v>
      </c>
      <c r="D45" s="192">
        <f t="shared" si="4"/>
        <v>11197494.479999999</v>
      </c>
      <c r="E45" s="193">
        <v>11197494.479999999</v>
      </c>
      <c r="F45" s="191"/>
      <c r="G45" s="191">
        <v>0</v>
      </c>
      <c r="H45" s="191"/>
      <c r="I45" s="187"/>
      <c r="K45" s="177"/>
    </row>
    <row r="46" spans="1:11" ht="13" x14ac:dyDescent="0.3">
      <c r="A46" s="171">
        <f t="shared" si="5"/>
        <v>33</v>
      </c>
      <c r="C46" s="169">
        <v>929</v>
      </c>
      <c r="D46" s="192">
        <f t="shared" si="4"/>
        <v>0</v>
      </c>
      <c r="E46" s="193">
        <v>0</v>
      </c>
      <c r="F46" s="191"/>
      <c r="G46" s="191">
        <v>0</v>
      </c>
      <c r="H46" s="191"/>
      <c r="I46" s="187"/>
      <c r="K46" s="177"/>
    </row>
    <row r="47" spans="1:11" ht="13" x14ac:dyDescent="0.3">
      <c r="A47" s="171">
        <f t="shared" si="5"/>
        <v>34</v>
      </c>
      <c r="C47" s="169">
        <v>930.1</v>
      </c>
      <c r="D47" s="192">
        <f t="shared" si="4"/>
        <v>0</v>
      </c>
      <c r="E47" s="193">
        <v>0</v>
      </c>
      <c r="F47" s="191"/>
      <c r="G47" s="191">
        <v>0</v>
      </c>
      <c r="H47" s="191"/>
      <c r="I47" s="187"/>
      <c r="K47" s="177"/>
    </row>
    <row r="48" spans="1:11" ht="13" x14ac:dyDescent="0.3">
      <c r="A48" s="171">
        <f t="shared" si="5"/>
        <v>35</v>
      </c>
      <c r="C48" s="169">
        <v>930.2</v>
      </c>
      <c r="D48" s="192">
        <f t="shared" si="4"/>
        <v>14064692.309999999</v>
      </c>
      <c r="E48" s="193">
        <v>14064692.309999999</v>
      </c>
      <c r="F48" s="191"/>
      <c r="G48" s="191">
        <v>0</v>
      </c>
      <c r="H48" s="191"/>
      <c r="I48" s="187"/>
      <c r="J48" s="194"/>
    </row>
    <row r="49" spans="1:10" ht="13" x14ac:dyDescent="0.3">
      <c r="A49" s="171">
        <f t="shared" si="5"/>
        <v>36</v>
      </c>
      <c r="C49" s="169">
        <v>931</v>
      </c>
      <c r="D49" s="192">
        <f t="shared" si="4"/>
        <v>11993181.66</v>
      </c>
      <c r="E49" s="193">
        <v>11993181.66</v>
      </c>
      <c r="F49" s="191"/>
      <c r="G49" s="191">
        <v>0</v>
      </c>
      <c r="H49" s="191"/>
      <c r="I49" s="187"/>
      <c r="J49" s="177"/>
    </row>
    <row r="50" spans="1:10" ht="13" x14ac:dyDescent="0.3">
      <c r="A50" s="171">
        <f t="shared" si="5"/>
        <v>37</v>
      </c>
      <c r="C50" s="169">
        <v>935</v>
      </c>
      <c r="D50" s="192">
        <f t="shared" si="4"/>
        <v>699127.86</v>
      </c>
      <c r="E50" s="193">
        <v>699127.86</v>
      </c>
      <c r="F50" s="191"/>
      <c r="G50" s="191">
        <v>0</v>
      </c>
      <c r="H50" s="191"/>
      <c r="I50" s="187"/>
    </row>
    <row r="51" spans="1:10" ht="13" x14ac:dyDescent="0.3">
      <c r="A51" s="171"/>
      <c r="C51" s="169"/>
      <c r="D51" s="192"/>
      <c r="E51" s="194"/>
      <c r="F51" s="177"/>
      <c r="G51" s="177"/>
      <c r="H51" s="177"/>
      <c r="I51" s="187"/>
    </row>
    <row r="52" spans="1:10" ht="13" x14ac:dyDescent="0.3">
      <c r="B52" s="166" t="s">
        <v>236</v>
      </c>
    </row>
    <row r="53" spans="1:10" ht="13" x14ac:dyDescent="0.3">
      <c r="B53" s="166"/>
      <c r="C53" s="176" t="s">
        <v>237</v>
      </c>
      <c r="G53" s="171"/>
      <c r="H53" s="171"/>
    </row>
    <row r="54" spans="1:10" ht="13" x14ac:dyDescent="0.3">
      <c r="B54" s="166"/>
      <c r="C54" s="59" t="s">
        <v>238</v>
      </c>
      <c r="D54" s="59"/>
      <c r="E54" s="59"/>
      <c r="G54" s="171"/>
      <c r="H54" s="171"/>
    </row>
    <row r="55" spans="1:10" ht="13" x14ac:dyDescent="0.3">
      <c r="B55" s="166"/>
      <c r="G55" s="173" t="s">
        <v>32</v>
      </c>
      <c r="H55" s="173" t="s">
        <v>33</v>
      </c>
    </row>
    <row r="56" spans="1:10" ht="13" x14ac:dyDescent="0.3">
      <c r="A56" s="171"/>
      <c r="B56" s="171" t="s">
        <v>114</v>
      </c>
      <c r="F56" s="182" t="s">
        <v>239</v>
      </c>
      <c r="G56" s="193">
        <v>137026591.07999963</v>
      </c>
      <c r="H56" s="183" t="s">
        <v>240</v>
      </c>
    </row>
    <row r="57" spans="1:10" ht="13" x14ac:dyDescent="0.3">
      <c r="A57" s="171"/>
      <c r="B57" s="171" t="s">
        <v>116</v>
      </c>
      <c r="C57" s="176"/>
      <c r="F57" s="182" t="s">
        <v>241</v>
      </c>
      <c r="G57" s="184">
        <f>E61</f>
        <v>17600288.667239957</v>
      </c>
      <c r="H57" s="183" t="str">
        <f>"Note 2, "&amp;B61&amp;""</f>
        <v>Note 2, d</v>
      </c>
    </row>
    <row r="58" spans="1:10" ht="13" x14ac:dyDescent="0.3">
      <c r="A58" s="171"/>
      <c r="B58" s="171" t="s">
        <v>119</v>
      </c>
      <c r="F58" s="182" t="s">
        <v>242</v>
      </c>
      <c r="G58" s="177">
        <f>G56-G57</f>
        <v>119426302.41275966</v>
      </c>
    </row>
    <row r="59" spans="1:10" ht="13" x14ac:dyDescent="0.3">
      <c r="A59" s="171"/>
      <c r="C59" s="59" t="s">
        <v>243</v>
      </c>
      <c r="D59" s="59"/>
      <c r="E59" s="59"/>
      <c r="G59" s="177"/>
    </row>
    <row r="60" spans="1:10" ht="13" x14ac:dyDescent="0.3">
      <c r="A60" s="171"/>
      <c r="D60" s="195" t="s">
        <v>244</v>
      </c>
      <c r="E60" s="173" t="s">
        <v>32</v>
      </c>
      <c r="F60" s="173" t="s">
        <v>33</v>
      </c>
      <c r="G60" s="177"/>
    </row>
    <row r="61" spans="1:10" ht="13" x14ac:dyDescent="0.3">
      <c r="A61" s="171"/>
      <c r="B61" s="171" t="s">
        <v>121</v>
      </c>
      <c r="D61" s="267" t="s">
        <v>245</v>
      </c>
      <c r="E61" s="117">
        <v>17600288.667239957</v>
      </c>
      <c r="F61" s="183" t="s">
        <v>246</v>
      </c>
      <c r="G61" s="177"/>
    </row>
    <row r="62" spans="1:10" ht="13" x14ac:dyDescent="0.3">
      <c r="A62" s="171"/>
      <c r="B62" s="171" t="s">
        <v>125</v>
      </c>
      <c r="D62" s="176" t="s">
        <v>247</v>
      </c>
      <c r="E62" s="117">
        <v>8544924.9171872791</v>
      </c>
      <c r="F62" s="183" t="s">
        <v>246</v>
      </c>
      <c r="G62" s="177"/>
      <c r="I62" s="118"/>
    </row>
    <row r="63" spans="1:10" ht="13" x14ac:dyDescent="0.3">
      <c r="A63" s="171"/>
      <c r="B63" s="171" t="s">
        <v>127</v>
      </c>
      <c r="D63" s="176" t="s">
        <v>248</v>
      </c>
      <c r="E63" s="119">
        <v>26767831.415572762</v>
      </c>
      <c r="F63" s="183" t="s">
        <v>246</v>
      </c>
      <c r="G63" s="177"/>
      <c r="I63" s="177"/>
    </row>
    <row r="64" spans="1:10" ht="13" x14ac:dyDescent="0.3">
      <c r="A64" s="171"/>
      <c r="B64" s="171" t="s">
        <v>129</v>
      </c>
      <c r="D64" s="182" t="s">
        <v>249</v>
      </c>
      <c r="E64" s="177">
        <f>SUM(E61:E63)</f>
        <v>52913045</v>
      </c>
      <c r="F64" s="183" t="str">
        <f>"Sum of "&amp;B61&amp;" to "&amp;B63&amp;""</f>
        <v>Sum of d to f</v>
      </c>
      <c r="G64" s="177"/>
    </row>
    <row r="66" spans="1:7" ht="13" x14ac:dyDescent="0.3">
      <c r="B66" s="166" t="s">
        <v>250</v>
      </c>
    </row>
    <row r="67" spans="1:7" ht="13" x14ac:dyDescent="0.3">
      <c r="E67" s="173" t="s">
        <v>32</v>
      </c>
      <c r="F67" s="195" t="s">
        <v>251</v>
      </c>
    </row>
    <row r="68" spans="1:7" ht="13" x14ac:dyDescent="0.3">
      <c r="A68" s="171"/>
      <c r="B68" s="171" t="s">
        <v>114</v>
      </c>
      <c r="D68" s="182" t="s">
        <v>252</v>
      </c>
      <c r="E68" s="194">
        <v>18219000</v>
      </c>
      <c r="F68" s="183" t="s">
        <v>253</v>
      </c>
      <c r="G68" s="232"/>
    </row>
    <row r="69" spans="1:7" ht="13" x14ac:dyDescent="0.3">
      <c r="A69" s="171"/>
      <c r="B69" s="171" t="s">
        <v>116</v>
      </c>
      <c r="D69" s="182" t="s">
        <v>254</v>
      </c>
      <c r="E69" s="197">
        <v>40171333</v>
      </c>
      <c r="F69" s="183" t="s">
        <v>255</v>
      </c>
    </row>
    <row r="70" spans="1:7" ht="13" x14ac:dyDescent="0.3">
      <c r="A70" s="171"/>
      <c r="B70" s="171" t="s">
        <v>119</v>
      </c>
      <c r="D70" s="182" t="s">
        <v>256</v>
      </c>
      <c r="E70" s="198">
        <v>18219000</v>
      </c>
      <c r="F70" s="183" t="s">
        <v>240</v>
      </c>
    </row>
    <row r="71" spans="1:7" ht="13" x14ac:dyDescent="0.3">
      <c r="A71" s="171"/>
      <c r="B71" s="171" t="s">
        <v>121</v>
      </c>
      <c r="D71" s="182" t="s">
        <v>257</v>
      </c>
      <c r="E71" s="177">
        <f>E70-E69</f>
        <v>-21952333</v>
      </c>
      <c r="F71" s="183" t="str">
        <f>""&amp;B70&amp;" - "&amp;B69&amp;""</f>
        <v>c - b</v>
      </c>
    </row>
    <row r="72" spans="1:7" ht="13" x14ac:dyDescent="0.3">
      <c r="A72" s="171"/>
      <c r="B72" s="166" t="s">
        <v>258</v>
      </c>
      <c r="D72" s="182"/>
      <c r="E72" s="177"/>
      <c r="F72" s="183"/>
    </row>
    <row r="73" spans="1:7" ht="13" x14ac:dyDescent="0.3">
      <c r="A73" s="171"/>
      <c r="B73" s="166"/>
      <c r="C73" s="267" t="str">
        <f>"Amount in Line "&amp;A44&amp;", column 2 equals amount in Line "&amp;A13&amp;", column 1 because all Franchise Requirements Expenses are excluded"</f>
        <v>Amount in Line 31, column 2 equals amount in Line 8, column 1 because all Franchise Requirements Expenses are excluded</v>
      </c>
      <c r="D73" s="182"/>
      <c r="E73" s="177"/>
      <c r="F73" s="183"/>
    </row>
    <row r="74" spans="1:7" ht="13" x14ac:dyDescent="0.3">
      <c r="A74" s="171"/>
      <c r="B74" s="166"/>
      <c r="C74" s="176" t="s">
        <v>259</v>
      </c>
      <c r="D74" s="182"/>
      <c r="E74" s="177"/>
      <c r="F74" s="183"/>
    </row>
    <row r="76" spans="1:7" ht="13" x14ac:dyDescent="0.3">
      <c r="B76" s="166" t="s">
        <v>104</v>
      </c>
    </row>
    <row r="77" spans="1:7" x14ac:dyDescent="0.25">
      <c r="C77" s="176" t="str">
        <f>"1) Enter amounts of A&amp;G expenses from FERC Form 1 in Lines "&amp;A6&amp;" to "&amp;A19&amp;"."</f>
        <v>1) Enter amounts of A&amp;G expenses from FERC Form 1 in Lines 1 to 14.</v>
      </c>
    </row>
    <row r="78" spans="1:7" x14ac:dyDescent="0.25">
      <c r="C78" s="176" t="s">
        <v>260</v>
      </c>
      <c r="G78" s="267" t="str">
        <f>"Column 3, Line "&amp;A37&amp;""</f>
        <v>Column 3, Line 24</v>
      </c>
    </row>
    <row r="79" spans="1:7" x14ac:dyDescent="0.25">
      <c r="C79" s="183" t="str">
        <f>"is calculated in Note 2.  The PBOPs exclusion in Column 4, Line "&amp;A43&amp;" is calculated in Note 3."</f>
        <v>is calculated in Note 2.  The PBOPs exclusion in Column 4, Line 30 is calculated in Note 3.</v>
      </c>
      <c r="G79" s="176"/>
    </row>
    <row r="80" spans="1:7" x14ac:dyDescent="0.25">
      <c r="C80" s="183" t="s">
        <v>261</v>
      </c>
    </row>
    <row r="81" spans="3:7" x14ac:dyDescent="0.25">
      <c r="C81" s="183" t="s">
        <v>262</v>
      </c>
      <c r="D81" s="182"/>
      <c r="E81" s="177"/>
      <c r="F81" s="183"/>
    </row>
    <row r="82" spans="3:7" x14ac:dyDescent="0.25">
      <c r="C82" s="183" t="s">
        <v>263</v>
      </c>
      <c r="D82" s="182"/>
      <c r="E82" s="177"/>
      <c r="F82" s="183"/>
    </row>
    <row r="83" spans="3:7" x14ac:dyDescent="0.25">
      <c r="C83" s="183" t="s">
        <v>264</v>
      </c>
    </row>
    <row r="84" spans="3:7" x14ac:dyDescent="0.25">
      <c r="C84" s="183" t="s">
        <v>265</v>
      </c>
    </row>
    <row r="85" spans="3:7" x14ac:dyDescent="0.25">
      <c r="C85" s="183" t="s">
        <v>266</v>
      </c>
    </row>
    <row r="86" spans="3:7" x14ac:dyDescent="0.25">
      <c r="C86" s="183" t="s">
        <v>267</v>
      </c>
    </row>
    <row r="87" spans="3:7" x14ac:dyDescent="0.25">
      <c r="C87" s="183" t="s">
        <v>268</v>
      </c>
    </row>
    <row r="88" spans="3:7" x14ac:dyDescent="0.25">
      <c r="C88" s="183" t="s">
        <v>269</v>
      </c>
      <c r="D88" s="176"/>
      <c r="E88" s="199"/>
      <c r="F88" s="199"/>
      <c r="G88" s="199"/>
    </row>
    <row r="89" spans="3:7" x14ac:dyDescent="0.25">
      <c r="C89" s="200" t="s">
        <v>270</v>
      </c>
      <c r="D89" s="176"/>
      <c r="E89" s="199"/>
      <c r="F89" s="199"/>
      <c r="G89" s="199"/>
    </row>
    <row r="90" spans="3:7" x14ac:dyDescent="0.25">
      <c r="C90" s="200" t="s">
        <v>271</v>
      </c>
      <c r="D90" s="176"/>
      <c r="E90" s="199"/>
      <c r="F90" s="199"/>
      <c r="G90" s="199"/>
    </row>
    <row r="91" spans="3:7" x14ac:dyDescent="0.25">
      <c r="C91" s="200" t="s">
        <v>272</v>
      </c>
      <c r="D91" s="176"/>
      <c r="E91" s="199"/>
      <c r="F91" s="199"/>
      <c r="G91" s="199"/>
    </row>
    <row r="92" spans="3:7" x14ac:dyDescent="0.25">
      <c r="C92" s="183" t="s">
        <v>273</v>
      </c>
      <c r="D92" s="176"/>
      <c r="E92" s="199"/>
      <c r="F92" s="199"/>
      <c r="G92" s="199"/>
    </row>
    <row r="93" spans="3:7" x14ac:dyDescent="0.25">
      <c r="C93" s="200" t="s">
        <v>274</v>
      </c>
      <c r="D93" s="176"/>
      <c r="E93" s="199"/>
      <c r="F93" s="199"/>
      <c r="G93" s="199"/>
    </row>
    <row r="94" spans="3:7" x14ac:dyDescent="0.25">
      <c r="C94" s="200" t="s">
        <v>275</v>
      </c>
      <c r="D94" s="176"/>
      <c r="E94" s="199"/>
      <c r="F94" s="199"/>
      <c r="G94" s="199"/>
    </row>
    <row r="95" spans="3:7" x14ac:dyDescent="0.25">
      <c r="C95" s="200" t="s">
        <v>276</v>
      </c>
      <c r="D95" s="176"/>
      <c r="E95" s="199"/>
      <c r="F95" s="199"/>
      <c r="G95" s="199"/>
    </row>
    <row r="96" spans="3:7" x14ac:dyDescent="0.25">
      <c r="C96" s="200" t="s">
        <v>277</v>
      </c>
      <c r="D96" s="176"/>
      <c r="E96" s="199"/>
      <c r="F96" s="199"/>
      <c r="G96" s="199"/>
    </row>
    <row r="97" spans="3:10" ht="13" x14ac:dyDescent="0.3">
      <c r="C97" s="68" t="s">
        <v>278</v>
      </c>
      <c r="D97" s="59"/>
      <c r="E97" s="59"/>
      <c r="F97" s="59"/>
      <c r="G97" s="59"/>
      <c r="H97" s="59"/>
      <c r="I97" s="59"/>
      <c r="J97" s="59"/>
    </row>
    <row r="98" spans="3:10" x14ac:dyDescent="0.25">
      <c r="C98" s="176" t="s">
        <v>279</v>
      </c>
    </row>
    <row r="99" spans="3:10" x14ac:dyDescent="0.25">
      <c r="C99" s="68" t="s">
        <v>280</v>
      </c>
      <c r="D99" s="59"/>
      <c r="E99" s="59"/>
      <c r="F99" s="59"/>
      <c r="G99" s="59"/>
      <c r="H99" s="59"/>
      <c r="I99" s="59"/>
    </row>
    <row r="100" spans="3:10" x14ac:dyDescent="0.25">
      <c r="C100" s="176" t="str">
        <f>"4) Determine the PBOPs exclusion.  The authorized amount of PBOPs expense (line "&amp;B68&amp;") may only be revised"</f>
        <v>4) Determine the PBOPs exclusion.  The authorized amount of PBOPs expense (line a) may only be revised</v>
      </c>
    </row>
    <row r="101" spans="3:10" x14ac:dyDescent="0.25">
      <c r="C101" s="176" t="s">
        <v>281</v>
      </c>
    </row>
    <row r="102" spans="3:10" x14ac:dyDescent="0.25">
      <c r="C102" s="176" t="s">
        <v>282</v>
      </c>
    </row>
    <row r="103" spans="3:10" x14ac:dyDescent="0.25">
      <c r="C103" s="176" t="s">
        <v>283</v>
      </c>
      <c r="I103" s="188" t="s">
        <v>394</v>
      </c>
      <c r="J103" s="188"/>
    </row>
    <row r="104" spans="3:10" x14ac:dyDescent="0.25">
      <c r="C104" s="176" t="s">
        <v>284</v>
      </c>
    </row>
  </sheetData>
  <pageMargins left="0.75" right="0.75" top="1" bottom="1" header="0.5" footer="0.5"/>
  <pageSetup scale="71" orientation="landscape" cellComments="asDisplayed" r:id="rId1"/>
  <headerFooter alignWithMargins="0">
    <oddHeader>&amp;CSchedule 20
Administrative and General Expenses
(Revised 2018 
TO2020 True Up TRR)&amp;RTO2024 Draft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sheetPr>
    <tabColor rgb="FF99CCFF"/>
  </sheetPr>
  <dimension ref="B2:J16"/>
  <sheetViews>
    <sheetView topLeftCell="A16" zoomScaleNormal="100" workbookViewId="0">
      <selection activeCell="B3" sqref="B3:J4"/>
    </sheetView>
  </sheetViews>
  <sheetFormatPr defaultColWidth="9.1796875" defaultRowHeight="14.5" x14ac:dyDescent="0.35"/>
  <cols>
    <col min="1" max="1" width="2.453125" style="81" customWidth="1"/>
    <col min="2" max="3" width="9.1796875" style="81"/>
    <col min="4" max="4" width="17.81640625" style="81" customWidth="1"/>
    <col min="5" max="5" width="14.26953125" style="81" bestFit="1" customWidth="1"/>
    <col min="6" max="6" width="10.26953125" style="81" customWidth="1"/>
    <col min="7" max="7" width="12.7265625" style="81" customWidth="1"/>
    <col min="8" max="8" width="13.81640625" style="81" customWidth="1"/>
    <col min="9" max="16384" width="9.1796875" style="81"/>
  </cols>
  <sheetData>
    <row r="2" spans="2:10" ht="21" customHeight="1" x14ac:dyDescent="0.35"/>
    <row r="3" spans="2:10" x14ac:dyDescent="0.35">
      <c r="B3" s="338" t="s">
        <v>161</v>
      </c>
      <c r="C3" s="338"/>
      <c r="D3" s="338"/>
      <c r="E3" s="338"/>
      <c r="F3" s="338"/>
      <c r="G3" s="338"/>
      <c r="H3" s="338"/>
      <c r="I3" s="338"/>
      <c r="J3" s="338"/>
    </row>
    <row r="4" spans="2:10" x14ac:dyDescent="0.35">
      <c r="B4" s="338"/>
      <c r="C4" s="338"/>
      <c r="D4" s="338"/>
      <c r="E4" s="338"/>
      <c r="F4" s="338"/>
      <c r="G4" s="338"/>
      <c r="H4" s="338"/>
      <c r="I4" s="338"/>
      <c r="J4" s="338"/>
    </row>
    <row r="5" spans="2:10" ht="29" x14ac:dyDescent="0.35">
      <c r="B5" s="339" t="s">
        <v>31</v>
      </c>
      <c r="C5" s="339"/>
      <c r="D5" s="339"/>
      <c r="E5" s="85" t="s">
        <v>32</v>
      </c>
      <c r="F5" s="86" t="s">
        <v>159</v>
      </c>
      <c r="G5" s="86" t="s">
        <v>160</v>
      </c>
      <c r="H5" s="346" t="s">
        <v>33</v>
      </c>
      <c r="I5" s="346"/>
      <c r="J5" s="346"/>
    </row>
    <row r="6" spans="2:10" ht="47.5" customHeight="1" x14ac:dyDescent="0.35">
      <c r="B6" s="340" t="s">
        <v>397</v>
      </c>
      <c r="C6" s="341"/>
      <c r="D6" s="342"/>
      <c r="E6" s="138">
        <f>'WP-2019 TO2018 Sch4-TUTRR'!E73</f>
        <v>1036963825.8120178</v>
      </c>
      <c r="F6" s="84">
        <f>315/365</f>
        <v>0.86301369863013699</v>
      </c>
      <c r="G6" s="82">
        <f>E6*F6</f>
        <v>894913986.65968657</v>
      </c>
      <c r="H6" s="332" t="s">
        <v>441</v>
      </c>
      <c r="I6" s="332"/>
      <c r="J6" s="332"/>
    </row>
    <row r="7" spans="2:10" ht="56.5" customHeight="1" x14ac:dyDescent="0.35">
      <c r="B7" s="343" t="s">
        <v>398</v>
      </c>
      <c r="C7" s="341"/>
      <c r="D7" s="342"/>
      <c r="E7" s="139">
        <f>'WP-2019 TO2018 Sch4-TUTRR'!J71</f>
        <v>1036990439.4089098</v>
      </c>
      <c r="F7" s="84">
        <f>315/365</f>
        <v>0.86301369863013699</v>
      </c>
      <c r="G7" s="82">
        <f>E7*F7</f>
        <v>894936954.55837417</v>
      </c>
      <c r="H7" s="332" t="s">
        <v>399</v>
      </c>
      <c r="I7" s="332"/>
      <c r="J7" s="332"/>
    </row>
    <row r="8" spans="2:10" x14ac:dyDescent="0.35">
      <c r="B8" s="347" t="s">
        <v>164</v>
      </c>
      <c r="C8" s="348"/>
      <c r="D8" s="348"/>
      <c r="E8" s="348"/>
      <c r="F8" s="349"/>
      <c r="G8" s="87">
        <f>G6-G7</f>
        <v>-22967.898687601089</v>
      </c>
      <c r="H8" s="350"/>
      <c r="I8" s="351"/>
      <c r="J8" s="352"/>
    </row>
    <row r="9" spans="2:10" ht="44.5" customHeight="1" x14ac:dyDescent="0.35">
      <c r="B9" s="353" t="s">
        <v>400</v>
      </c>
      <c r="C9" s="353"/>
      <c r="D9" s="353"/>
      <c r="E9" s="136">
        <f>'WP-2019 TO2021 Sch4-TUTRR'!E73</f>
        <v>1050996934.1582353</v>
      </c>
      <c r="F9" s="84">
        <f>50/365</f>
        <v>0.13698630136986301</v>
      </c>
      <c r="G9" s="82">
        <f>E9*F9</f>
        <v>143972182.7614021</v>
      </c>
      <c r="H9" s="332" t="s">
        <v>442</v>
      </c>
      <c r="I9" s="332"/>
      <c r="J9" s="332"/>
    </row>
    <row r="10" spans="2:10" ht="48.65" customHeight="1" x14ac:dyDescent="0.35">
      <c r="B10" s="354" t="s">
        <v>401</v>
      </c>
      <c r="C10" s="354"/>
      <c r="D10" s="354"/>
      <c r="E10" s="137">
        <f>'WP-2019 TO2021 Sch4-TUTRR'!J71</f>
        <v>1051023551.6159867</v>
      </c>
      <c r="F10" s="84">
        <f>50/365</f>
        <v>0.13698630136986301</v>
      </c>
      <c r="G10" s="82">
        <f>E10*F10</f>
        <v>143975828.98849133</v>
      </c>
      <c r="H10" s="332" t="s">
        <v>402</v>
      </c>
      <c r="I10" s="332"/>
      <c r="J10" s="332"/>
    </row>
    <row r="11" spans="2:10" ht="21.65" customHeight="1" x14ac:dyDescent="0.35">
      <c r="B11" s="355" t="s">
        <v>162</v>
      </c>
      <c r="C11" s="355"/>
      <c r="D11" s="355"/>
      <c r="E11" s="355"/>
      <c r="F11" s="355"/>
      <c r="G11" s="135">
        <f>G9-G10</f>
        <v>-3646.2270892262459</v>
      </c>
      <c r="H11" s="356"/>
      <c r="I11" s="357"/>
      <c r="J11" s="358"/>
    </row>
    <row r="12" spans="2:10" x14ac:dyDescent="0.35">
      <c r="B12" s="347" t="s">
        <v>163</v>
      </c>
      <c r="C12" s="348"/>
      <c r="D12" s="348"/>
      <c r="E12" s="348"/>
      <c r="F12" s="349"/>
      <c r="G12" s="88">
        <f>G8+G11</f>
        <v>-26614.125776827335</v>
      </c>
      <c r="H12" s="359"/>
      <c r="I12" s="359"/>
      <c r="J12" s="359"/>
    </row>
    <row r="13" spans="2:10" x14ac:dyDescent="0.35">
      <c r="B13" s="83"/>
      <c r="C13" s="83"/>
      <c r="D13" s="83"/>
      <c r="E13" s="83"/>
      <c r="F13" s="83"/>
      <c r="G13" s="83"/>
      <c r="H13" s="83"/>
      <c r="I13" s="83"/>
      <c r="J13" s="83"/>
    </row>
    <row r="14" spans="2:10" x14ac:dyDescent="0.35">
      <c r="B14" s="83"/>
      <c r="C14" s="83"/>
      <c r="D14" s="83"/>
      <c r="E14" s="83"/>
      <c r="F14" s="83"/>
      <c r="G14" s="83"/>
      <c r="H14" s="83"/>
      <c r="I14" s="83"/>
      <c r="J14" s="83"/>
    </row>
    <row r="15" spans="2:10" x14ac:dyDescent="0.35">
      <c r="B15" s="140" t="s">
        <v>141</v>
      </c>
      <c r="C15" s="83"/>
      <c r="D15" s="83"/>
      <c r="E15" s="83"/>
      <c r="F15" s="83"/>
      <c r="G15" s="83"/>
      <c r="H15" s="83"/>
      <c r="I15" s="83"/>
      <c r="J15" s="83"/>
    </row>
    <row r="16" spans="2:10" ht="28.5" customHeight="1" x14ac:dyDescent="0.35">
      <c r="B16" s="344" t="s">
        <v>443</v>
      </c>
      <c r="C16" s="345"/>
      <c r="D16" s="345"/>
      <c r="E16" s="345"/>
      <c r="F16" s="345"/>
      <c r="G16" s="345"/>
      <c r="H16" s="345"/>
      <c r="I16" s="345"/>
      <c r="J16" s="345"/>
    </row>
  </sheetData>
  <mergeCells count="18">
    <mergeCell ref="B16:J16"/>
    <mergeCell ref="H5:J5"/>
    <mergeCell ref="H6:J6"/>
    <mergeCell ref="B8:F8"/>
    <mergeCell ref="H8:J8"/>
    <mergeCell ref="B9:D9"/>
    <mergeCell ref="H9:J9"/>
    <mergeCell ref="B10:D10"/>
    <mergeCell ref="H10:J10"/>
    <mergeCell ref="B11:F11"/>
    <mergeCell ref="H11:J11"/>
    <mergeCell ref="B12:F12"/>
    <mergeCell ref="H12:J12"/>
    <mergeCell ref="B3:J4"/>
    <mergeCell ref="B5:D5"/>
    <mergeCell ref="B6:D6"/>
    <mergeCell ref="B7:D7"/>
    <mergeCell ref="H7:J7"/>
  </mergeCells>
  <phoneticPr fontId="61" type="noConversion"/>
  <printOptions horizontalCentered="1"/>
  <pageMargins left="0.7" right="0.7" top="0.75" bottom="0.75" header="0.3" footer="0.3"/>
  <pageSetup scale="85" orientation="portrait" r:id="rId1"/>
  <headerFooter>
    <oddHeader>&amp;RTO2024 Draft Annual Update
Attachment 4
WP-Schedule 3-One Time Adj Prior Period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19</vt:i4>
      </vt:variant>
    </vt:vector>
  </HeadingPairs>
  <TitlesOfParts>
    <vt:vector size="40" baseType="lpstr">
      <vt:lpstr>One Time Adj Explanation</vt:lpstr>
      <vt:lpstr>WP-Total Adj with Int</vt:lpstr>
      <vt:lpstr>WP-2017 True Up TRR Adj</vt:lpstr>
      <vt:lpstr>WP-2017 TO13 Sch4-TUTRR</vt:lpstr>
      <vt:lpstr>WP-2017 TO13 Sch20-AandG</vt:lpstr>
      <vt:lpstr>WP-2018 True Up TRR Adj</vt:lpstr>
      <vt:lpstr>WP-2018 TO2020 Sch4-TUTRR</vt:lpstr>
      <vt:lpstr>WP-2018 TO2020 Sch20-AandG</vt:lpstr>
      <vt:lpstr>WP-2019 True Up TRR Adj</vt:lpstr>
      <vt:lpstr>WP-2019 TO2018 Sch4-TUTRR</vt:lpstr>
      <vt:lpstr>WP-2019 TO2018 Sch20-AandG</vt:lpstr>
      <vt:lpstr>WP-2019 TO2021 Sch4-TUTRR</vt:lpstr>
      <vt:lpstr>WP-2019 TO2021 Sch20-AandG</vt:lpstr>
      <vt:lpstr>WP-2020 True Up TRR Adj</vt:lpstr>
      <vt:lpstr>WP-2020 TO2022 Sch4-TUTRR</vt:lpstr>
      <vt:lpstr>WP-2020 TO2022 Sch20-AandG</vt:lpstr>
      <vt:lpstr>WP-2020 TO2022 Sch28-FFU</vt:lpstr>
      <vt:lpstr>WP-2021 True Up TRR Adj</vt:lpstr>
      <vt:lpstr>WP-2021 TO2023 Sch4-TUTRR</vt:lpstr>
      <vt:lpstr>WP-2021 TO2023 Sch20-AandG</vt:lpstr>
      <vt:lpstr>WP-2021 TO2023 Sch28-FFU</vt:lpstr>
      <vt:lpstr>'One Time Adj Explanation'!Print_Area</vt:lpstr>
      <vt:lpstr>'WP-2017 TO13 Sch20-AandG'!Print_Area</vt:lpstr>
      <vt:lpstr>'WP-2017 TO13 Sch4-TUTRR'!Print_Area</vt:lpstr>
      <vt:lpstr>'WP-2018 TO2020 Sch20-AandG'!Print_Area</vt:lpstr>
      <vt:lpstr>'WP-2018 TO2020 Sch4-TUTRR'!Print_Area</vt:lpstr>
      <vt:lpstr>'WP-2019 TO2018 Sch20-AandG'!Print_Area</vt:lpstr>
      <vt:lpstr>'WP-2019 TO2018 Sch4-TUTRR'!Print_Area</vt:lpstr>
      <vt:lpstr>'WP-2019 TO2021 Sch20-AandG'!Print_Area</vt:lpstr>
      <vt:lpstr>'WP-2019 TO2021 Sch4-TUTRR'!Print_Area</vt:lpstr>
      <vt:lpstr>'WP-2019 True Up TRR Adj'!Print_Area</vt:lpstr>
      <vt:lpstr>'WP-2020 TO2022 Sch20-AandG'!Print_Area</vt:lpstr>
      <vt:lpstr>'WP-2020 TO2022 Sch28-FFU'!Print_Area</vt:lpstr>
      <vt:lpstr>'WP-2020 TO2022 Sch4-TUTRR'!Print_Area</vt:lpstr>
      <vt:lpstr>'WP-2020 True Up TRR Adj'!Print_Area</vt:lpstr>
      <vt:lpstr>'WP-2021 TO2023 Sch20-AandG'!Print_Area</vt:lpstr>
      <vt:lpstr>'WP-2021 TO2023 Sch28-FFU'!Print_Area</vt:lpstr>
      <vt:lpstr>'WP-2021 TO2023 Sch4-TUTRR'!Print_Area</vt:lpstr>
      <vt:lpstr>'WP-2021 True Up TRR Adj'!Print_Area</vt:lpstr>
      <vt:lpstr>'WP-Total Adj with Int'!Print_Area</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2023-06-08T21:12:38Z</cp:lastPrinted>
  <dcterms:created xsi:type="dcterms:W3CDTF">2009-02-27T16:01:11Z</dcterms:created>
  <dcterms:modified xsi:type="dcterms:W3CDTF">2023-06-08T21:13:40Z</dcterms:modified>
</cp:coreProperties>
</file>