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95" windowWidth="13560" windowHeight="10950"/>
  </bookViews>
  <sheets>
    <sheet name="Heading" sheetId="76" r:id="rId1"/>
    <sheet name="Contents" sheetId="68" r:id="rId2"/>
    <sheet name="Overview" sheetId="9" r:id="rId3"/>
    <sheet name="1-BaseTRR" sheetId="1" r:id="rId4"/>
    <sheet name="2-IFPTRR" sheetId="7" r:id="rId5"/>
    <sheet name="3-TrueUpAdjust" sheetId="65" r:id="rId6"/>
    <sheet name="4-TUTRR" sheetId="8" r:id="rId7"/>
    <sheet name="5-ROR-1" sheetId="28" r:id="rId8"/>
    <sheet name="5-ROR-2" sheetId="72" r:id="rId9"/>
    <sheet name="6-PlantInService" sheetId="4" r:id="rId10"/>
    <sheet name="7-PlantStudy" sheetId="56" r:id="rId11"/>
    <sheet name="8-AccDep" sheetId="21" r:id="rId12"/>
    <sheet name="9-ADIT" sheetId="15" r:id="rId13"/>
    <sheet name="10-CWIP" sheetId="49" r:id="rId14"/>
    <sheet name="11-PHFU" sheetId="54" r:id="rId15"/>
    <sheet name="12-AbandonedPlant" sheetId="45" r:id="rId16"/>
    <sheet name="13-WorkCap" sheetId="22" r:id="rId17"/>
    <sheet name="14-IncentivePlant" sheetId="11" r:id="rId18"/>
    <sheet name="15-IncentiveAdder" sheetId="12" r:id="rId19"/>
    <sheet name="16-PlantAdditions" sheetId="48" r:id="rId20"/>
    <sheet name="17-Depreciation" sheetId="64" r:id="rId21"/>
    <sheet name="18-DepRates" sheetId="63" r:id="rId22"/>
    <sheet name="19-OandM" sheetId="46" r:id="rId23"/>
    <sheet name="20-AandG" sheetId="26" r:id="rId24"/>
    <sheet name="21-RevenueCredits" sheetId="61" r:id="rId25"/>
    <sheet name="22-NUCs" sheetId="66" r:id="rId26"/>
    <sheet name="23-RegAssets" sheetId="55" r:id="rId27"/>
    <sheet name="24-CWIPTRR" sheetId="71" r:id="rId28"/>
    <sheet name="25-WholesaleDifference" sheetId="44" r:id="rId29"/>
    <sheet name="26-TaxRates" sheetId="17" r:id="rId30"/>
    <sheet name="27-Allocators" sheetId="2" r:id="rId31"/>
    <sheet name="28-FFU" sheetId="30" r:id="rId32"/>
    <sheet name="29-WholesaleTRRs" sheetId="31" r:id="rId33"/>
    <sheet name="30-WholesaleRates" sheetId="32" r:id="rId34"/>
    <sheet name="31-HVLV" sheetId="57" r:id="rId35"/>
    <sheet name="32-GrossLoad" sheetId="42" r:id="rId36"/>
    <sheet name="33-RetailRates" sheetId="53" r:id="rId37"/>
    <sheet name="34-UnfundedReserves" sheetId="79" r:id="rId38"/>
    <sheet name="35-PBOPs" sheetId="78" r:id="rId39"/>
  </sheets>
  <definedNames>
    <definedName name="_xlnm._FilterDatabase" localSheetId="24" hidden="1">'21-RevenueCredits'!$A$1:$O$238</definedName>
    <definedName name="_xlnm.Print_Area" localSheetId="13">'10-CWIP'!$A$1:$K$412</definedName>
    <definedName name="_xlnm.Print_Area" localSheetId="14">'11-PHFU'!$A$1:$F$61</definedName>
    <definedName name="_xlnm.Print_Area" localSheetId="15">'12-AbandonedPlant'!$A$1:$J$69</definedName>
    <definedName name="_xlnm.Print_Area" localSheetId="16">'13-WorkCap'!$A$1:$G$69</definedName>
    <definedName name="_xlnm.Print_Area" localSheetId="17">'14-IncentivePlant'!$A$1:$J$372</definedName>
    <definedName name="_xlnm.Print_Area" localSheetId="18">'15-IncentiveAdder'!$A$1:$J$112</definedName>
    <definedName name="_xlnm.Print_Area" localSheetId="19">'16-PlantAdditions'!$A$1:$P$137</definedName>
    <definedName name="_xlnm.Print_Area" localSheetId="20">'17-Depreciation'!$A$1:$M$107</definedName>
    <definedName name="_xlnm.Print_Area" localSheetId="21">'18-DepRates'!$A$1:$G$64</definedName>
    <definedName name="_xlnm.Print_Area" localSheetId="22">'19-OandM'!$A$1:$L$217</definedName>
    <definedName name="_xlnm.Print_Area" localSheetId="3">'1-BaseTRR'!$A$1:$K$167</definedName>
    <definedName name="_xlnm.Print_Area" localSheetId="23">'20-AandG'!$A$1:$J$112</definedName>
    <definedName name="_xlnm.Print_Area" localSheetId="24">'21-RevenueCredits'!$A$1:$O$242</definedName>
    <definedName name="_xlnm.Print_Area" localSheetId="25">'22-NUCs'!$A$1:$F$30</definedName>
    <definedName name="_xlnm.Print_Area" localSheetId="26">'23-RegAssets'!$A$1:$I$37</definedName>
    <definedName name="_xlnm.Print_Area" localSheetId="27">'24-CWIPTRR'!$A$1:$J$195</definedName>
    <definedName name="_xlnm.Print_Area" localSheetId="28">'25-WholesaleDifference'!$A$1:$J$100</definedName>
    <definedName name="_xlnm.Print_Area" localSheetId="29">'26-TaxRates'!$A$1:$F$79</definedName>
    <definedName name="_xlnm.Print_Area" localSheetId="30">'27-Allocators'!$A$1:$K$126</definedName>
    <definedName name="_xlnm.Print_Area" localSheetId="31">'28-FFU'!$A$1:$J$46</definedName>
    <definedName name="_xlnm.Print_Area" localSheetId="32">'29-WholesaleTRRs'!$A$1:$I$41</definedName>
    <definedName name="_xlnm.Print_Area" localSheetId="4">'2-IFPTRR'!$A$1:$G$91</definedName>
    <definedName name="_xlnm.Print_Area" localSheetId="33">'30-WholesaleRates'!$A$1:$J$47</definedName>
    <definedName name="_xlnm.Print_Area" localSheetId="34">'31-HVLV'!$A$1:$L$51</definedName>
    <definedName name="_xlnm.Print_Area" localSheetId="35">'32-GrossLoad'!$A$1:$I$19</definedName>
    <definedName name="_xlnm.Print_Area" localSheetId="37">'34-UnfundedReserves'!$A$1:$K$45</definedName>
    <definedName name="_xlnm.Print_Area" localSheetId="5">'3-TrueUpAdjust'!$A$1:$L$178</definedName>
    <definedName name="_xlnm.Print_Area" localSheetId="6">'4-TUTRR'!$A$1:$J$108</definedName>
    <definedName name="_xlnm.Print_Area" localSheetId="7">'5-ROR-1'!$A$1:$L$57</definedName>
    <definedName name="_xlnm.Print_Area" localSheetId="8">'5-ROR-2'!$A$1:$P$78</definedName>
    <definedName name="_xlnm.Print_Area" localSheetId="9">'6-PlantInService'!$A$1:$M$181</definedName>
    <definedName name="_xlnm.Print_Area" localSheetId="10">'7-PlantStudy'!$A$1:$G$54</definedName>
    <definedName name="_xlnm.Print_Area" localSheetId="11">'8-AccDep'!$A$1:$N$179</definedName>
    <definedName name="_xlnm.Print_Area" localSheetId="12">'9-ADIT'!$A$1:$J$198</definedName>
    <definedName name="_xlnm.Print_Area" localSheetId="1">Contents!$A$1:$D$39</definedName>
    <definedName name="_xlnm.Print_Area" localSheetId="2">Overview!$A$1:$I$24</definedName>
    <definedName name="_xlnm.Print_Titles" localSheetId="3">'1-BaseTRR'!$1:$6</definedName>
    <definedName name="_xlnm.Print_Titles" localSheetId="24">'21-RevenueCredits'!$1:$3</definedName>
  </definedNames>
  <calcPr calcId="145621"/>
</workbook>
</file>

<file path=xl/calcChain.xml><?xml version="1.0" encoding="utf-8"?>
<calcChain xmlns="http://schemas.openxmlformats.org/spreadsheetml/2006/main">
  <c r="N24" i="21" l="1"/>
  <c r="N12" i="21"/>
  <c r="M94" i="21" l="1"/>
  <c r="M103" i="21" s="1"/>
  <c r="M95" i="21"/>
  <c r="M96" i="21"/>
  <c r="M97" i="21"/>
  <c r="M98" i="21"/>
  <c r="M99" i="21"/>
  <c r="M100" i="21"/>
  <c r="M101" i="21"/>
  <c r="M102" i="21"/>
  <c r="I91" i="21"/>
  <c r="J91" i="21"/>
  <c r="I92" i="21"/>
  <c r="I103" i="21" s="1"/>
  <c r="J92" i="21"/>
  <c r="I93" i="21"/>
  <c r="J93" i="21"/>
  <c r="I94" i="21"/>
  <c r="J94" i="21"/>
  <c r="I95" i="21"/>
  <c r="J95" i="21"/>
  <c r="I96" i="21"/>
  <c r="J96" i="21"/>
  <c r="I97" i="21"/>
  <c r="J97" i="21"/>
  <c r="I98" i="21"/>
  <c r="J98" i="21"/>
  <c r="I99" i="21"/>
  <c r="J99" i="21"/>
  <c r="I100" i="21"/>
  <c r="J100" i="21"/>
  <c r="I101" i="21"/>
  <c r="J101" i="21"/>
  <c r="I102" i="21"/>
  <c r="J102" i="21"/>
  <c r="J103" i="21"/>
  <c r="E91" i="21" l="1"/>
  <c r="F91" i="21"/>
  <c r="G91" i="21"/>
  <c r="N91" i="21" s="1"/>
  <c r="H91" i="21"/>
  <c r="K91" i="21"/>
  <c r="L91" i="21"/>
  <c r="M91" i="21"/>
  <c r="E92" i="21"/>
  <c r="E103" i="21" s="1"/>
  <c r="F92" i="21"/>
  <c r="H92" i="21"/>
  <c r="K92" i="21"/>
  <c r="L92" i="21"/>
  <c r="M92" i="21"/>
  <c r="E93" i="21"/>
  <c r="F93" i="21"/>
  <c r="H93" i="21"/>
  <c r="K93" i="21"/>
  <c r="L93" i="21"/>
  <c r="M93" i="21"/>
  <c r="E94" i="21"/>
  <c r="F94" i="21"/>
  <c r="H94" i="21"/>
  <c r="H103" i="21" s="1"/>
  <c r="K94" i="21"/>
  <c r="L94" i="21"/>
  <c r="L103" i="21" s="1"/>
  <c r="E95" i="21"/>
  <c r="F95" i="21"/>
  <c r="H95" i="21"/>
  <c r="K95" i="21"/>
  <c r="L95" i="21"/>
  <c r="E96" i="21"/>
  <c r="F96" i="21"/>
  <c r="H96" i="21"/>
  <c r="K96" i="21"/>
  <c r="L96" i="21"/>
  <c r="E97" i="21"/>
  <c r="F97" i="21"/>
  <c r="H97" i="21"/>
  <c r="K97" i="21"/>
  <c r="L97" i="21"/>
  <c r="E98" i="21"/>
  <c r="F98" i="21"/>
  <c r="H98" i="21"/>
  <c r="K98" i="21"/>
  <c r="L98" i="21"/>
  <c r="E99" i="21"/>
  <c r="F99" i="21"/>
  <c r="H99" i="21"/>
  <c r="K99" i="21"/>
  <c r="L99" i="21"/>
  <c r="E100" i="21"/>
  <c r="F100" i="21"/>
  <c r="H100" i="21"/>
  <c r="K100" i="21"/>
  <c r="L100" i="21"/>
  <c r="E101" i="21"/>
  <c r="F101" i="21"/>
  <c r="H101" i="21"/>
  <c r="K101" i="21"/>
  <c r="L101" i="21"/>
  <c r="E102" i="21"/>
  <c r="F102" i="21"/>
  <c r="H102" i="21"/>
  <c r="K102" i="21"/>
  <c r="L102" i="21"/>
  <c r="F103" i="21"/>
  <c r="K103" i="21"/>
  <c r="C28" i="56" l="1"/>
  <c r="H68" i="64" l="1"/>
  <c r="H67" i="64"/>
  <c r="I79" i="46" l="1"/>
  <c r="H79" i="46"/>
  <c r="I11" i="46" l="1"/>
  <c r="K50" i="48" l="1"/>
  <c r="D13" i="49"/>
  <c r="F26" i="49"/>
  <c r="A142" i="15" l="1"/>
  <c r="J29" i="46" l="1"/>
  <c r="I29" i="46" l="1"/>
  <c r="H29" i="46"/>
  <c r="B2" i="72" l="1"/>
  <c r="I62" i="72" l="1"/>
  <c r="I61" i="72"/>
  <c r="H42" i="8" l="1"/>
  <c r="H33" i="8"/>
  <c r="I60" i="72" l="1"/>
  <c r="E204" i="61" l="1"/>
  <c r="G21" i="45" l="1"/>
  <c r="F25" i="65" l="1"/>
  <c r="F26" i="65"/>
  <c r="F27" i="65"/>
  <c r="F28" i="65"/>
  <c r="F29" i="65"/>
  <c r="F30" i="65"/>
  <c r="F31" i="65"/>
  <c r="F32" i="65"/>
  <c r="F33" i="65"/>
  <c r="F34" i="65"/>
  <c r="F35" i="65"/>
  <c r="F24" i="65"/>
  <c r="K379" i="49"/>
  <c r="K380" i="49"/>
  <c r="K381" i="49"/>
  <c r="K382" i="49"/>
  <c r="K383" i="49"/>
  <c r="K384" i="49"/>
  <c r="K385" i="49"/>
  <c r="K386" i="49"/>
  <c r="K387" i="49"/>
  <c r="K388" i="49"/>
  <c r="K389" i="49"/>
  <c r="K390" i="49"/>
  <c r="K391" i="49"/>
  <c r="K392" i="49"/>
  <c r="K393" i="49"/>
  <c r="K394" i="49"/>
  <c r="K395" i="49"/>
  <c r="K396" i="49"/>
  <c r="K397" i="49"/>
  <c r="K398" i="49"/>
  <c r="K399" i="49"/>
  <c r="K400" i="49"/>
  <c r="K401" i="49"/>
  <c r="K378" i="49"/>
  <c r="E218" i="49" l="1"/>
  <c r="F119" i="53"/>
  <c r="E119" i="53"/>
  <c r="C119" i="53"/>
  <c r="D119" i="53"/>
  <c r="E129" i="53"/>
  <c r="D38" i="53" s="1"/>
  <c r="E128" i="53"/>
  <c r="E127" i="53"/>
  <c r="D36" i="53" s="1"/>
  <c r="A120" i="53"/>
  <c r="A121" i="53" s="1"/>
  <c r="A122" i="53" s="1"/>
  <c r="A123" i="53" s="1"/>
  <c r="A124" i="53" s="1"/>
  <c r="A125" i="53" s="1"/>
  <c r="A126" i="53" s="1"/>
  <c r="H119" i="53"/>
  <c r="I117" i="53"/>
  <c r="F117" i="53"/>
  <c r="J117" i="53" s="1"/>
  <c r="B117" i="53"/>
  <c r="I116" i="53"/>
  <c r="F116" i="53"/>
  <c r="J116" i="53" s="1"/>
  <c r="B116" i="53"/>
  <c r="I115" i="53"/>
  <c r="J115" i="53" s="1"/>
  <c r="F115" i="53"/>
  <c r="B115" i="53"/>
  <c r="J114" i="53"/>
  <c r="I114" i="53"/>
  <c r="F114" i="53"/>
  <c r="B114" i="53"/>
  <c r="I113" i="53"/>
  <c r="F113" i="53"/>
  <c r="B113" i="53"/>
  <c r="I112" i="53"/>
  <c r="F112" i="53"/>
  <c r="J112" i="53" s="1"/>
  <c r="B112" i="53"/>
  <c r="I111" i="53"/>
  <c r="J111" i="53" s="1"/>
  <c r="F111" i="53"/>
  <c r="B111" i="53"/>
  <c r="J110" i="53"/>
  <c r="I110" i="53"/>
  <c r="F110" i="53"/>
  <c r="B110" i="53"/>
  <c r="I109" i="53"/>
  <c r="F109" i="53"/>
  <c r="B109" i="53"/>
  <c r="I108" i="53"/>
  <c r="F108" i="53"/>
  <c r="J108" i="53" s="1"/>
  <c r="B108" i="53"/>
  <c r="I107" i="53"/>
  <c r="J107" i="53" s="1"/>
  <c r="F107" i="53"/>
  <c r="B107" i="53"/>
  <c r="I106" i="53"/>
  <c r="J106" i="53" s="1"/>
  <c r="F106" i="53"/>
  <c r="B106" i="53"/>
  <c r="I105" i="53"/>
  <c r="F105" i="53"/>
  <c r="J105" i="53" s="1"/>
  <c r="B105" i="53"/>
  <c r="I104" i="53"/>
  <c r="I119" i="53" s="1"/>
  <c r="F104" i="53"/>
  <c r="B104" i="53"/>
  <c r="B103" i="53"/>
  <c r="A98" i="53"/>
  <c r="A99" i="53" s="1"/>
  <c r="A100" i="53" s="1"/>
  <c r="A101" i="53" s="1"/>
  <c r="A102" i="53" s="1"/>
  <c r="A103" i="53" s="1"/>
  <c r="A97" i="53"/>
  <c r="B80" i="53"/>
  <c r="B59" i="53"/>
  <c r="B58" i="53"/>
  <c r="B57" i="53"/>
  <c r="B56" i="53"/>
  <c r="B55" i="53"/>
  <c r="B54" i="53"/>
  <c r="B53" i="53"/>
  <c r="B52" i="53"/>
  <c r="B51" i="53"/>
  <c r="B50" i="53"/>
  <c r="B49" i="53"/>
  <c r="B48" i="53"/>
  <c r="B47" i="53"/>
  <c r="B46" i="53"/>
  <c r="B45" i="53"/>
  <c r="H38" i="53"/>
  <c r="H37" i="53"/>
  <c r="D37" i="53"/>
  <c r="H36" i="53"/>
  <c r="A29" i="53"/>
  <c r="A30" i="53" s="1"/>
  <c r="A31" i="53" s="1"/>
  <c r="A32" i="53" s="1"/>
  <c r="A33" i="53" s="1"/>
  <c r="A34" i="53" s="1"/>
  <c r="G28" i="53"/>
  <c r="F28" i="53"/>
  <c r="E28" i="53"/>
  <c r="J109" i="53" l="1"/>
  <c r="J113" i="53"/>
  <c r="F128" i="53"/>
  <c r="E37" i="53" s="1"/>
  <c r="F37" i="53" s="1"/>
  <c r="F127" i="53"/>
  <c r="E36" i="53" s="1"/>
  <c r="F36" i="53" s="1"/>
  <c r="F129" i="53"/>
  <c r="E38" i="53" s="1"/>
  <c r="F38" i="53" s="1"/>
  <c r="J104" i="53"/>
  <c r="J119" i="53" l="1"/>
  <c r="K107" i="53" l="1"/>
  <c r="C16" i="53" s="1"/>
  <c r="K109" i="53"/>
  <c r="C18" i="53" s="1"/>
  <c r="K110" i="53"/>
  <c r="C19" i="53" s="1"/>
  <c r="K117" i="53"/>
  <c r="C26" i="53" s="1"/>
  <c r="K116" i="53"/>
  <c r="C25" i="53" s="1"/>
  <c r="K111" i="53"/>
  <c r="C20" i="53" s="1"/>
  <c r="K112" i="53"/>
  <c r="C21" i="53" s="1"/>
  <c r="K113" i="53"/>
  <c r="C22" i="53" s="1"/>
  <c r="K105" i="53"/>
  <c r="C13" i="53" s="1"/>
  <c r="K106" i="53"/>
  <c r="C15" i="53" s="1"/>
  <c r="K108" i="53"/>
  <c r="C17" i="53" s="1"/>
  <c r="K115" i="53"/>
  <c r="C24" i="53" s="1"/>
  <c r="K114" i="53"/>
  <c r="C23" i="53" s="1"/>
  <c r="K104" i="53"/>
  <c r="C12" i="53" l="1"/>
  <c r="K119" i="53"/>
  <c r="C28" i="53" l="1"/>
  <c r="E56" i="65" l="1"/>
  <c r="D78" i="49"/>
  <c r="H76" i="49"/>
  <c r="H77" i="49"/>
  <c r="H78" i="49"/>
  <c r="G76" i="49"/>
  <c r="G77" i="49"/>
  <c r="G78" i="49"/>
  <c r="D77" i="49"/>
  <c r="D75" i="49"/>
  <c r="D76" i="49"/>
  <c r="B133" i="65"/>
  <c r="E57" i="65" l="1"/>
  <c r="E58" i="65"/>
  <c r="E59" i="65"/>
  <c r="E60" i="65"/>
  <c r="E61" i="65"/>
  <c r="E62" i="65"/>
  <c r="E63" i="65"/>
  <c r="E64" i="65"/>
  <c r="E65" i="65"/>
  <c r="E66" i="65"/>
  <c r="E67" i="65"/>
  <c r="O34" i="48" l="1"/>
  <c r="O35" i="48"/>
  <c r="O36" i="48"/>
  <c r="A48" i="65"/>
  <c r="A49" i="65"/>
  <c r="A50" i="65"/>
  <c r="A51" i="65" s="1"/>
  <c r="A52" i="65" s="1"/>
  <c r="A53" i="65" s="1"/>
  <c r="A54" i="65" s="1"/>
  <c r="A55" i="65" s="1"/>
  <c r="A56" i="65" s="1"/>
  <c r="A57" i="65" s="1"/>
  <c r="A58" i="65" s="1"/>
  <c r="A59" i="65" s="1"/>
  <c r="A60" i="65" s="1"/>
  <c r="A61" i="65" s="1"/>
  <c r="A62" i="65" s="1"/>
  <c r="A63" i="65" s="1"/>
  <c r="A64" i="65" s="1"/>
  <c r="A65" i="65" s="1"/>
  <c r="A66" i="65" s="1"/>
  <c r="A67" i="65" s="1"/>
  <c r="A68" i="65" s="1"/>
  <c r="A69" i="65" s="1"/>
  <c r="A70" i="65" s="1"/>
  <c r="A71" i="65" s="1"/>
  <c r="A72" i="65" s="1"/>
  <c r="A73" i="65" s="1"/>
  <c r="A74" i="65" s="1"/>
  <c r="A75" i="65" s="1"/>
  <c r="A76" i="65" s="1"/>
  <c r="A77" i="65" s="1"/>
  <c r="A78" i="65" s="1"/>
  <c r="A79" i="65" s="1"/>
  <c r="A80" i="65" s="1"/>
  <c r="A81" i="65" s="1"/>
  <c r="A82" i="65" s="1"/>
  <c r="A83" i="65" s="1"/>
  <c r="A84" i="65" s="1"/>
  <c r="A85" i="65" s="1"/>
  <c r="A86" i="65" s="1"/>
  <c r="A87" i="65" s="1"/>
  <c r="A88" i="65" s="1"/>
  <c r="A89" i="65" s="1"/>
  <c r="A90" i="65" s="1"/>
  <c r="A91" i="65" s="1"/>
  <c r="A92" i="65" s="1"/>
  <c r="A93" i="65" s="1"/>
  <c r="A94" i="65" s="1"/>
  <c r="A95" i="65" s="1"/>
  <c r="A96" i="65" s="1"/>
  <c r="A97" i="65" s="1"/>
  <c r="A98" i="65" s="1"/>
  <c r="A99" i="65" s="1"/>
  <c r="A100" i="65" s="1"/>
  <c r="A101" i="65" s="1"/>
  <c r="A102" i="65" s="1"/>
  <c r="A103" i="65" s="1"/>
  <c r="A104" i="65" s="1"/>
  <c r="A105" i="65" s="1"/>
  <c r="A106" i="65" s="1"/>
  <c r="A107" i="65" s="1"/>
  <c r="A108" i="65" s="1"/>
  <c r="A109" i="65" s="1"/>
  <c r="A110" i="65" s="1"/>
  <c r="A111" i="65" s="1"/>
  <c r="A112" i="65" s="1"/>
  <c r="A113" i="65" s="1"/>
  <c r="A114" i="65" s="1"/>
  <c r="A115" i="65" s="1"/>
  <c r="A116" i="65" s="1"/>
  <c r="A117" i="65" s="1"/>
  <c r="A118" i="65" s="1"/>
  <c r="A119" i="65" s="1"/>
  <c r="A120" i="65" s="1"/>
  <c r="A121" i="65" s="1"/>
  <c r="A122" i="65" s="1"/>
  <c r="H45" i="65"/>
  <c r="H46" i="65"/>
  <c r="H47" i="65"/>
  <c r="A45" i="65"/>
  <c r="A46" i="65"/>
  <c r="A47" i="65"/>
  <c r="N124" i="61" l="1"/>
  <c r="N125" i="61"/>
  <c r="M124" i="61"/>
  <c r="M125" i="61"/>
  <c r="J124" i="61"/>
  <c r="J125" i="61"/>
  <c r="I124" i="61"/>
  <c r="I125" i="61"/>
  <c r="G124" i="61"/>
  <c r="G125" i="61"/>
  <c r="N62" i="61"/>
  <c r="N63" i="61"/>
  <c r="N64" i="61"/>
  <c r="M62" i="61"/>
  <c r="J64" i="61"/>
  <c r="M64" i="61" s="1"/>
  <c r="J63" i="61"/>
  <c r="M63" i="61" s="1"/>
  <c r="J62" i="61"/>
  <c r="I62" i="61"/>
  <c r="G62" i="61"/>
  <c r="G63" i="61"/>
  <c r="I63" i="61" s="1"/>
  <c r="G64" i="61"/>
  <c r="I64" i="61" s="1"/>
  <c r="J21" i="61"/>
  <c r="M21" i="61" s="1"/>
  <c r="J22" i="61"/>
  <c r="M22" i="61" s="1"/>
  <c r="J23" i="61"/>
  <c r="M23" i="61" s="1"/>
  <c r="J24" i="61"/>
  <c r="M24" i="61" s="1"/>
  <c r="J25" i="61"/>
  <c r="M25" i="61" s="1"/>
  <c r="G21" i="61"/>
  <c r="I21" i="61" s="1"/>
  <c r="G22" i="61"/>
  <c r="I22" i="61" s="1"/>
  <c r="G23" i="61"/>
  <c r="I23" i="61" s="1"/>
  <c r="G24" i="61"/>
  <c r="I24" i="61" s="1"/>
  <c r="G25" i="61"/>
  <c r="I25" i="61" s="1"/>
  <c r="N21" i="61"/>
  <c r="N22" i="61"/>
  <c r="N23" i="61"/>
  <c r="N24" i="61"/>
  <c r="N25" i="61"/>
  <c r="G18" i="45" l="1"/>
  <c r="P97" i="48" l="1"/>
  <c r="P98" i="48"/>
  <c r="P99" i="48"/>
  <c r="G97" i="48"/>
  <c r="H97" i="48" s="1"/>
  <c r="H34" i="48" s="1"/>
  <c r="G98" i="48"/>
  <c r="H98" i="48" s="1"/>
  <c r="H35" i="48" s="1"/>
  <c r="G99" i="48"/>
  <c r="H99" i="48" s="1"/>
  <c r="H36" i="48" s="1"/>
  <c r="A34" i="48"/>
  <c r="A35" i="48"/>
  <c r="A36" i="48"/>
  <c r="A37" i="48" s="1"/>
  <c r="D34" i="48"/>
  <c r="D35" i="48"/>
  <c r="D36" i="48"/>
  <c r="C34" i="48"/>
  <c r="C35" i="48"/>
  <c r="C36" i="48"/>
  <c r="C97" i="48"/>
  <c r="C98" i="48"/>
  <c r="C99" i="48"/>
  <c r="P66" i="48"/>
  <c r="P34" i="48" s="1"/>
  <c r="P67" i="48"/>
  <c r="P35" i="48" s="1"/>
  <c r="P68" i="48"/>
  <c r="P36" i="48" s="1"/>
  <c r="I99" i="48" l="1"/>
  <c r="I98" i="48"/>
  <c r="I97" i="48"/>
  <c r="J97" i="48" l="1"/>
  <c r="I34" i="48"/>
  <c r="J98" i="48"/>
  <c r="J35" i="48" s="1"/>
  <c r="I35" i="48"/>
  <c r="J99" i="48"/>
  <c r="J36" i="48" s="1"/>
  <c r="I36" i="48"/>
  <c r="J34" i="48" l="1"/>
  <c r="I399" i="49" l="1"/>
  <c r="I400" i="49"/>
  <c r="I401" i="49"/>
  <c r="E399" i="49"/>
  <c r="F399" i="49" s="1"/>
  <c r="E400" i="49"/>
  <c r="F400" i="49" s="1"/>
  <c r="E401" i="49"/>
  <c r="F401" i="49" s="1"/>
  <c r="I366" i="49"/>
  <c r="I367" i="49"/>
  <c r="I368" i="49"/>
  <c r="E366" i="49"/>
  <c r="F366" i="49" s="1"/>
  <c r="E367" i="49"/>
  <c r="F367" i="49" s="1"/>
  <c r="E368" i="49"/>
  <c r="F368" i="49" s="1"/>
  <c r="I335" i="49"/>
  <c r="I336" i="49"/>
  <c r="I337" i="49"/>
  <c r="E335" i="49"/>
  <c r="F335" i="49" s="1"/>
  <c r="E336" i="49"/>
  <c r="F336" i="49" s="1"/>
  <c r="E337" i="49"/>
  <c r="F337" i="49" s="1"/>
  <c r="I302" i="49"/>
  <c r="I303" i="49"/>
  <c r="I304" i="49"/>
  <c r="E302" i="49"/>
  <c r="F302" i="49" s="1"/>
  <c r="E303" i="49"/>
  <c r="F303" i="49" s="1"/>
  <c r="E304" i="49"/>
  <c r="F304" i="49" s="1"/>
  <c r="I271" i="49"/>
  <c r="I272" i="49"/>
  <c r="I273" i="49"/>
  <c r="E271" i="49"/>
  <c r="F271" i="49" s="1"/>
  <c r="E272" i="49"/>
  <c r="F272" i="49" s="1"/>
  <c r="E273" i="49"/>
  <c r="F273" i="49" s="1"/>
  <c r="I238" i="49"/>
  <c r="I239" i="49"/>
  <c r="I240" i="49"/>
  <c r="E238" i="49"/>
  <c r="F238" i="49" s="1"/>
  <c r="E239" i="49"/>
  <c r="F239" i="49" s="1"/>
  <c r="E240" i="49"/>
  <c r="F240" i="49" s="1"/>
  <c r="I207" i="49"/>
  <c r="I208" i="49"/>
  <c r="I209" i="49"/>
  <c r="E207" i="49"/>
  <c r="F207" i="49" s="1"/>
  <c r="E208" i="49"/>
  <c r="F208" i="49" s="1"/>
  <c r="E209" i="49"/>
  <c r="F209" i="49" s="1"/>
  <c r="I174" i="49"/>
  <c r="I175" i="49"/>
  <c r="I176" i="49"/>
  <c r="E174" i="49"/>
  <c r="F174" i="49" s="1"/>
  <c r="E175" i="49"/>
  <c r="F175" i="49" s="1"/>
  <c r="E176" i="49"/>
  <c r="F176" i="49" s="1"/>
  <c r="I145" i="49"/>
  <c r="E145" i="49"/>
  <c r="F145" i="49" s="1"/>
  <c r="I143" i="49"/>
  <c r="I144" i="49"/>
  <c r="E143" i="49"/>
  <c r="F143" i="49" s="1"/>
  <c r="E144" i="49"/>
  <c r="F144" i="49" s="1"/>
  <c r="I110" i="49"/>
  <c r="I111" i="49"/>
  <c r="I112" i="49"/>
  <c r="E110" i="49"/>
  <c r="E111" i="49"/>
  <c r="E112" i="49"/>
  <c r="F66" i="48"/>
  <c r="F34" i="48" s="1"/>
  <c r="F67" i="48"/>
  <c r="F35" i="48" s="1"/>
  <c r="F68" i="48"/>
  <c r="F36" i="48" s="1"/>
  <c r="E66" i="48"/>
  <c r="E34" i="48" s="1"/>
  <c r="E67" i="48"/>
  <c r="E35" i="48" s="1"/>
  <c r="E68" i="48"/>
  <c r="E36" i="48" s="1"/>
  <c r="I76" i="49" l="1"/>
  <c r="G66" i="48" s="1"/>
  <c r="G34" i="48" s="1"/>
  <c r="I78" i="49"/>
  <c r="G68" i="48" s="1"/>
  <c r="G36" i="48" s="1"/>
  <c r="I77" i="49"/>
  <c r="G67" i="48" s="1"/>
  <c r="G35" i="48" s="1"/>
  <c r="F111" i="49"/>
  <c r="F77" i="49" s="1"/>
  <c r="E77" i="49"/>
  <c r="F112" i="49"/>
  <c r="F78" i="49" s="1"/>
  <c r="E78" i="49"/>
  <c r="F110" i="49"/>
  <c r="F76" i="49" s="1"/>
  <c r="E76" i="49"/>
  <c r="D17" i="56"/>
  <c r="D128" i="48" l="1"/>
  <c r="D127" i="48"/>
  <c r="D126" i="48"/>
  <c r="D125" i="48"/>
  <c r="D124" i="48"/>
  <c r="D123" i="48"/>
  <c r="D122" i="48"/>
  <c r="D121" i="48"/>
  <c r="D120" i="48"/>
  <c r="D119" i="48"/>
  <c r="F212" i="61" l="1"/>
  <c r="F73" i="64"/>
  <c r="E73" i="64"/>
  <c r="D73" i="64"/>
  <c r="F68" i="64"/>
  <c r="F67" i="64"/>
  <c r="E68" i="64"/>
  <c r="E67" i="64"/>
  <c r="D68" i="64"/>
  <c r="D67" i="64"/>
  <c r="L27" i="28" l="1"/>
  <c r="B172" i="21" l="1"/>
  <c r="I86" i="64" l="1"/>
  <c r="D24" i="64" l="1"/>
  <c r="L12" i="64"/>
  <c r="L49" i="64" s="1"/>
  <c r="K12" i="64"/>
  <c r="K49" i="64" s="1"/>
  <c r="J12" i="64"/>
  <c r="J49" i="64" s="1"/>
  <c r="I12" i="64"/>
  <c r="I49" i="64" s="1"/>
  <c r="H12" i="64"/>
  <c r="H49" i="64" s="1"/>
  <c r="G12" i="64"/>
  <c r="G49" i="64" s="1"/>
  <c r="F12" i="64"/>
  <c r="F49" i="64" s="1"/>
  <c r="E12" i="64"/>
  <c r="E49" i="64" s="1"/>
  <c r="D12" i="64"/>
  <c r="D49" i="64" s="1"/>
  <c r="C24" i="64"/>
  <c r="C12" i="64"/>
  <c r="C49" i="64" s="1"/>
  <c r="D91" i="21" s="1"/>
  <c r="B98" i="64"/>
  <c r="H85" i="64"/>
  <c r="F69" i="64"/>
  <c r="D69" i="64"/>
  <c r="A44" i="64"/>
  <c r="A45" i="64" s="1"/>
  <c r="A46" i="64" s="1"/>
  <c r="A47" i="64" s="1"/>
  <c r="A48" i="64" s="1"/>
  <c r="A49" i="64" s="1"/>
  <c r="A50" i="64" s="1"/>
  <c r="A51" i="64" s="1"/>
  <c r="A52" i="64" s="1"/>
  <c r="A53" i="64" s="1"/>
  <c r="A54" i="64" s="1"/>
  <c r="A55" i="64" s="1"/>
  <c r="A56" i="64" s="1"/>
  <c r="A57" i="64" s="1"/>
  <c r="A58" i="64" s="1"/>
  <c r="A59" i="64" s="1"/>
  <c r="A60" i="64" s="1"/>
  <c r="A61" i="64" s="1"/>
  <c r="A62" i="64" s="1"/>
  <c r="A13" i="64"/>
  <c r="A14" i="64" s="1"/>
  <c r="A15" i="64" s="1"/>
  <c r="A16" i="64" s="1"/>
  <c r="A17" i="64" s="1"/>
  <c r="A18" i="64" s="1"/>
  <c r="A19" i="64" s="1"/>
  <c r="A20" i="64" s="1"/>
  <c r="A21" i="64" s="1"/>
  <c r="A22" i="64" s="1"/>
  <c r="A23" i="64" s="1"/>
  <c r="A24" i="64" s="1"/>
  <c r="A25" i="64" s="1"/>
  <c r="A26" i="64" s="1"/>
  <c r="A29" i="64" s="1"/>
  <c r="E69" i="64" l="1"/>
  <c r="E78" i="64" s="1"/>
  <c r="D78" i="64"/>
  <c r="F78" i="64"/>
  <c r="M49" i="64"/>
  <c r="A63" i="64"/>
  <c r="A64" i="64" s="1"/>
  <c r="A65" i="64" s="1"/>
  <c r="A66" i="64" s="1"/>
  <c r="A67" i="64" s="1"/>
  <c r="A68" i="64" s="1"/>
  <c r="A69" i="64" s="1"/>
  <c r="G92" i="64"/>
  <c r="G78" i="64" l="1"/>
  <c r="F93" i="64" s="1"/>
  <c r="B99" i="64"/>
  <c r="A70" i="64"/>
  <c r="A71" i="64" s="1"/>
  <c r="A72" i="64" s="1"/>
  <c r="A73" i="64" s="1"/>
  <c r="B100" i="64" l="1"/>
  <c r="A74" i="64"/>
  <c r="A75" i="64" s="1"/>
  <c r="A76" i="64" s="1"/>
  <c r="A77" i="64" s="1"/>
  <c r="A78" i="64" s="1"/>
  <c r="B107" i="64" l="1"/>
  <c r="G93" i="64"/>
  <c r="A79" i="64"/>
  <c r="A80" i="64" s="1"/>
  <c r="A81" i="64" s="1"/>
  <c r="A82" i="64" s="1"/>
  <c r="A83" i="64" s="1"/>
  <c r="A84" i="64" l="1"/>
  <c r="A85" i="64" s="1"/>
  <c r="A86" i="64" l="1"/>
  <c r="A87" i="64" s="1"/>
  <c r="I85" i="64"/>
  <c r="I87" i="64" l="1"/>
  <c r="G94" i="64"/>
  <c r="A88" i="64"/>
  <c r="A89" i="64" s="1"/>
  <c r="A90" i="64" s="1"/>
  <c r="A91" i="64" s="1"/>
  <c r="A92" i="64" s="1"/>
  <c r="A93" i="64" l="1"/>
  <c r="A94" i="64" s="1"/>
  <c r="A95" i="64" s="1"/>
  <c r="I127" i="1" s="1"/>
  <c r="G95" i="64" l="1"/>
  <c r="I17" i="1" l="1"/>
  <c r="J119" i="46" l="1"/>
  <c r="J118" i="46"/>
  <c r="J117" i="46"/>
  <c r="J116" i="46"/>
  <c r="O19" i="48"/>
  <c r="F96" i="8"/>
  <c r="J85" i="8"/>
  <c r="C117" i="48" l="1"/>
  <c r="G74" i="44" l="1"/>
  <c r="G72" i="44"/>
  <c r="H72" i="44"/>
  <c r="A71" i="44"/>
  <c r="A72" i="44" s="1"/>
  <c r="A73" i="44" s="1"/>
  <c r="A74" i="44" s="1"/>
  <c r="H30" i="8" l="1"/>
  <c r="H26" i="8"/>
  <c r="I31" i="1"/>
  <c r="I34" i="1"/>
  <c r="I35" i="1"/>
  <c r="I41" i="79" l="1"/>
  <c r="G41" i="79"/>
  <c r="A37" i="79"/>
  <c r="A38" i="79" s="1"/>
  <c r="A39" i="79" s="1"/>
  <c r="A40" i="79" s="1"/>
  <c r="A41" i="79" s="1"/>
  <c r="A42" i="79" s="1"/>
  <c r="A43" i="79" s="1"/>
  <c r="A44" i="79" s="1"/>
  <c r="A45" i="79" s="1"/>
  <c r="C171" i="15" l="1"/>
  <c r="I148" i="15"/>
  <c r="I99" i="15"/>
  <c r="I76" i="15"/>
  <c r="H37" i="78" l="1"/>
  <c r="G54" i="78" s="1"/>
  <c r="G67" i="78"/>
  <c r="H14" i="78" s="1"/>
  <c r="G53" i="78"/>
  <c r="I43" i="78"/>
  <c r="I42" i="78"/>
  <c r="G29" i="78"/>
  <c r="G28" i="78"/>
  <c r="G27" i="78"/>
  <c r="I29" i="78" s="1"/>
  <c r="G26" i="78"/>
  <c r="G25" i="78"/>
  <c r="G55" i="78" l="1"/>
  <c r="H12" i="78" s="1"/>
  <c r="H13" i="78" s="1"/>
  <c r="D17" i="78" s="1"/>
  <c r="I45" i="78"/>
  <c r="H11" i="78" s="1"/>
  <c r="H26" i="78"/>
  <c r="I26" i="78" s="1"/>
  <c r="H25" i="78"/>
  <c r="I25" i="78"/>
  <c r="I27" i="78"/>
  <c r="I28" i="78"/>
  <c r="E19" i="71" l="1"/>
  <c r="E18" i="71"/>
  <c r="D17" i="71"/>
  <c r="D16" i="71"/>
  <c r="D15" i="71"/>
  <c r="D14" i="71"/>
  <c r="D13" i="71"/>
  <c r="D12" i="71"/>
  <c r="D11" i="71"/>
  <c r="D10" i="71"/>
  <c r="D9" i="71"/>
  <c r="D57" i="7" l="1"/>
  <c r="D53" i="7"/>
  <c r="E34" i="11"/>
  <c r="E33" i="11"/>
  <c r="E32" i="11"/>
  <c r="E31" i="11"/>
  <c r="E30" i="11"/>
  <c r="E29" i="11"/>
  <c r="E28" i="11"/>
  <c r="E27" i="11"/>
  <c r="E26" i="11"/>
  <c r="I398" i="49"/>
  <c r="I397" i="49"/>
  <c r="I396" i="49"/>
  <c r="I395" i="49"/>
  <c r="I394" i="49"/>
  <c r="I393" i="49"/>
  <c r="I392" i="49"/>
  <c r="I391" i="49"/>
  <c r="I390" i="49"/>
  <c r="I389" i="49"/>
  <c r="I388" i="49"/>
  <c r="I387" i="49"/>
  <c r="I386" i="49"/>
  <c r="I385" i="49"/>
  <c r="I384" i="49"/>
  <c r="I383" i="49"/>
  <c r="I382" i="49"/>
  <c r="I381" i="49"/>
  <c r="I380" i="49"/>
  <c r="I379" i="49"/>
  <c r="I378" i="49"/>
  <c r="E398" i="49"/>
  <c r="E397" i="49"/>
  <c r="E396" i="49"/>
  <c r="E395" i="49"/>
  <c r="E394" i="49"/>
  <c r="E393" i="49"/>
  <c r="E392" i="49"/>
  <c r="E391" i="49"/>
  <c r="E390" i="49"/>
  <c r="E389" i="49"/>
  <c r="E388" i="49"/>
  <c r="E387" i="49"/>
  <c r="E386" i="49"/>
  <c r="E385" i="49"/>
  <c r="E384" i="49"/>
  <c r="E383" i="49"/>
  <c r="E382" i="49"/>
  <c r="E381" i="49"/>
  <c r="E380" i="49"/>
  <c r="E379" i="49"/>
  <c r="E378" i="49"/>
  <c r="I365" i="49"/>
  <c r="I364" i="49"/>
  <c r="I363" i="49"/>
  <c r="I362" i="49"/>
  <c r="I361" i="49"/>
  <c r="I360" i="49"/>
  <c r="I359" i="49"/>
  <c r="I358" i="49"/>
  <c r="I357" i="49"/>
  <c r="I356" i="49"/>
  <c r="I355" i="49"/>
  <c r="I354" i="49"/>
  <c r="I353" i="49"/>
  <c r="I352" i="49"/>
  <c r="I351" i="49"/>
  <c r="I350" i="49"/>
  <c r="I349" i="49"/>
  <c r="I348" i="49"/>
  <c r="I347" i="49"/>
  <c r="I346" i="49"/>
  <c r="I345" i="49"/>
  <c r="E365" i="49"/>
  <c r="E364" i="49"/>
  <c r="E363" i="49"/>
  <c r="E362" i="49"/>
  <c r="E361" i="49"/>
  <c r="E360" i="49"/>
  <c r="E359" i="49"/>
  <c r="E358" i="49"/>
  <c r="E357" i="49"/>
  <c r="E356" i="49"/>
  <c r="E355" i="49"/>
  <c r="E354" i="49"/>
  <c r="E353" i="49"/>
  <c r="E352" i="49"/>
  <c r="E351" i="49"/>
  <c r="E350" i="49"/>
  <c r="E349" i="49"/>
  <c r="E348" i="49"/>
  <c r="E347" i="49"/>
  <c r="E346" i="49"/>
  <c r="E345" i="49"/>
  <c r="I334" i="49"/>
  <c r="I333" i="49"/>
  <c r="I332" i="49"/>
  <c r="I331" i="49"/>
  <c r="I330" i="49"/>
  <c r="I329" i="49"/>
  <c r="I328" i="49"/>
  <c r="I327" i="49"/>
  <c r="I326" i="49"/>
  <c r="I325" i="49"/>
  <c r="I324" i="49"/>
  <c r="I323" i="49"/>
  <c r="I322" i="49"/>
  <c r="I321" i="49"/>
  <c r="I320" i="49"/>
  <c r="I319" i="49"/>
  <c r="I318" i="49"/>
  <c r="I317" i="49"/>
  <c r="I316" i="49"/>
  <c r="I315" i="49"/>
  <c r="I314" i="49"/>
  <c r="E334" i="49"/>
  <c r="E333" i="49"/>
  <c r="E332" i="49"/>
  <c r="E331" i="49"/>
  <c r="E330" i="49"/>
  <c r="E329" i="49"/>
  <c r="E328" i="49"/>
  <c r="E327" i="49"/>
  <c r="E326" i="49"/>
  <c r="E325" i="49"/>
  <c r="E324" i="49"/>
  <c r="E323" i="49"/>
  <c r="E322" i="49"/>
  <c r="E321" i="49"/>
  <c r="E320" i="49"/>
  <c r="E319" i="49"/>
  <c r="E318" i="49"/>
  <c r="E317" i="49"/>
  <c r="E316" i="49"/>
  <c r="E315" i="49"/>
  <c r="E314" i="49"/>
  <c r="I301" i="49"/>
  <c r="I300" i="49"/>
  <c r="I299" i="49"/>
  <c r="I298" i="49"/>
  <c r="I297" i="49"/>
  <c r="I296" i="49"/>
  <c r="I295" i="49"/>
  <c r="I294" i="49"/>
  <c r="I293" i="49"/>
  <c r="I292" i="49"/>
  <c r="I291" i="49"/>
  <c r="I290" i="49"/>
  <c r="I289" i="49"/>
  <c r="I288" i="49"/>
  <c r="I287" i="49"/>
  <c r="I286" i="49"/>
  <c r="I285" i="49"/>
  <c r="I284" i="49"/>
  <c r="I283" i="49"/>
  <c r="I282" i="49"/>
  <c r="I281" i="49"/>
  <c r="E301" i="49"/>
  <c r="E300" i="49"/>
  <c r="E299" i="49"/>
  <c r="E298" i="49"/>
  <c r="E297" i="49"/>
  <c r="E296" i="49"/>
  <c r="E295" i="49"/>
  <c r="E294" i="49"/>
  <c r="E293" i="49"/>
  <c r="E292" i="49"/>
  <c r="E291" i="49"/>
  <c r="E290" i="49"/>
  <c r="E289" i="49"/>
  <c r="E288" i="49"/>
  <c r="E287" i="49"/>
  <c r="E286" i="49"/>
  <c r="E285" i="49"/>
  <c r="E284" i="49"/>
  <c r="E283" i="49"/>
  <c r="E282" i="49"/>
  <c r="E281" i="49"/>
  <c r="I270" i="49"/>
  <c r="I269" i="49"/>
  <c r="I268" i="49"/>
  <c r="I267" i="49"/>
  <c r="I266" i="49"/>
  <c r="I265" i="49"/>
  <c r="I264" i="49"/>
  <c r="I263" i="49"/>
  <c r="I262" i="49"/>
  <c r="I261" i="49"/>
  <c r="I260" i="49"/>
  <c r="I259" i="49"/>
  <c r="I258" i="49"/>
  <c r="I257" i="49"/>
  <c r="I256" i="49"/>
  <c r="I255" i="49"/>
  <c r="I254" i="49"/>
  <c r="I253" i="49"/>
  <c r="I252" i="49"/>
  <c r="I251" i="49"/>
  <c r="I250" i="49"/>
  <c r="E270" i="49"/>
  <c r="E269" i="49"/>
  <c r="E268" i="49"/>
  <c r="E267" i="49"/>
  <c r="E266" i="49"/>
  <c r="E265" i="49"/>
  <c r="E264" i="49"/>
  <c r="E263" i="49"/>
  <c r="E262" i="49"/>
  <c r="E261" i="49"/>
  <c r="E260" i="49"/>
  <c r="E259" i="49"/>
  <c r="E258" i="49"/>
  <c r="E257" i="49"/>
  <c r="E256" i="49"/>
  <c r="E255" i="49"/>
  <c r="E254" i="49"/>
  <c r="E253" i="49"/>
  <c r="E252" i="49"/>
  <c r="E251" i="49"/>
  <c r="E250" i="49"/>
  <c r="I237" i="49"/>
  <c r="I236" i="49"/>
  <c r="I235" i="49"/>
  <c r="I234" i="49"/>
  <c r="I233" i="49"/>
  <c r="I232" i="49"/>
  <c r="I231" i="49"/>
  <c r="I230" i="49"/>
  <c r="I229" i="49"/>
  <c r="I228" i="49"/>
  <c r="I227" i="49"/>
  <c r="I226" i="49"/>
  <c r="I225" i="49"/>
  <c r="I224" i="49"/>
  <c r="I223" i="49"/>
  <c r="I222" i="49"/>
  <c r="I221" i="49"/>
  <c r="I220" i="49"/>
  <c r="I219" i="49"/>
  <c r="I218" i="49"/>
  <c r="I217" i="49"/>
  <c r="E237" i="49"/>
  <c r="E236" i="49"/>
  <c r="E235" i="49"/>
  <c r="E234" i="49"/>
  <c r="E233" i="49"/>
  <c r="E232" i="49"/>
  <c r="E231" i="49"/>
  <c r="E230" i="49"/>
  <c r="E229" i="49"/>
  <c r="E228" i="49"/>
  <c r="E227" i="49"/>
  <c r="E226" i="49"/>
  <c r="E225" i="49"/>
  <c r="E224" i="49"/>
  <c r="E223" i="49"/>
  <c r="E222" i="49"/>
  <c r="E221" i="49"/>
  <c r="E220" i="49"/>
  <c r="E219" i="49"/>
  <c r="E217" i="49"/>
  <c r="I187" i="49"/>
  <c r="I188" i="49"/>
  <c r="I189" i="49"/>
  <c r="I190" i="49"/>
  <c r="I191" i="49"/>
  <c r="I192" i="49"/>
  <c r="I193" i="49"/>
  <c r="I194" i="49"/>
  <c r="I195" i="49"/>
  <c r="I196" i="49"/>
  <c r="I197" i="49"/>
  <c r="I198" i="49"/>
  <c r="I199" i="49"/>
  <c r="I200" i="49"/>
  <c r="I201" i="49"/>
  <c r="I202" i="49"/>
  <c r="I203" i="49"/>
  <c r="I204" i="49"/>
  <c r="I205" i="49"/>
  <c r="I206" i="49"/>
  <c r="I186" i="49"/>
  <c r="E187" i="49"/>
  <c r="E188" i="49"/>
  <c r="E189" i="49"/>
  <c r="E190" i="49"/>
  <c r="E191" i="49"/>
  <c r="E192" i="49"/>
  <c r="E193" i="49"/>
  <c r="E194" i="49"/>
  <c r="E195" i="49"/>
  <c r="E196" i="49"/>
  <c r="E197" i="49"/>
  <c r="E198" i="49"/>
  <c r="E199" i="49"/>
  <c r="E200" i="49"/>
  <c r="E201" i="49"/>
  <c r="E202" i="49"/>
  <c r="E203" i="49"/>
  <c r="E204" i="49"/>
  <c r="E205" i="49"/>
  <c r="E206" i="49"/>
  <c r="E186" i="49"/>
  <c r="I173" i="49"/>
  <c r="I172" i="49"/>
  <c r="I171" i="49"/>
  <c r="I170" i="49"/>
  <c r="I169" i="49"/>
  <c r="I168" i="49"/>
  <c r="I167" i="49"/>
  <c r="I166" i="49"/>
  <c r="I165" i="49"/>
  <c r="I164" i="49"/>
  <c r="I163" i="49"/>
  <c r="I162" i="49"/>
  <c r="I161" i="49"/>
  <c r="I160" i="49"/>
  <c r="I159" i="49"/>
  <c r="I158" i="49"/>
  <c r="I157" i="49"/>
  <c r="I156" i="49"/>
  <c r="I155" i="49"/>
  <c r="I154" i="49"/>
  <c r="I153" i="49"/>
  <c r="E173" i="49"/>
  <c r="E172" i="49"/>
  <c r="E171" i="49"/>
  <c r="E170" i="49"/>
  <c r="E169" i="49"/>
  <c r="E168" i="49"/>
  <c r="E167" i="49"/>
  <c r="E166" i="49"/>
  <c r="E165" i="49"/>
  <c r="E164" i="49"/>
  <c r="E163" i="49"/>
  <c r="E162" i="49"/>
  <c r="E161" i="49"/>
  <c r="E160" i="49"/>
  <c r="E159" i="49"/>
  <c r="E158" i="49"/>
  <c r="E157" i="49"/>
  <c r="E156" i="49"/>
  <c r="E155" i="49"/>
  <c r="E154" i="49"/>
  <c r="E153" i="49"/>
  <c r="I142" i="49"/>
  <c r="I141" i="49"/>
  <c r="I140" i="49"/>
  <c r="I139" i="49"/>
  <c r="I138" i="49"/>
  <c r="I137" i="49"/>
  <c r="I136" i="49"/>
  <c r="I135" i="49"/>
  <c r="I134" i="49"/>
  <c r="I133" i="49"/>
  <c r="I132" i="49"/>
  <c r="I131" i="49"/>
  <c r="I130" i="49"/>
  <c r="I129" i="49"/>
  <c r="I128" i="49"/>
  <c r="I127" i="49"/>
  <c r="I126" i="49"/>
  <c r="I125" i="49"/>
  <c r="I124" i="49"/>
  <c r="I123" i="49"/>
  <c r="I122" i="49"/>
  <c r="E142" i="49"/>
  <c r="E141" i="49"/>
  <c r="E140" i="49"/>
  <c r="E139" i="49"/>
  <c r="E138" i="49"/>
  <c r="E137" i="49"/>
  <c r="E136" i="49"/>
  <c r="E135" i="49"/>
  <c r="E134" i="49"/>
  <c r="E133" i="49"/>
  <c r="E132" i="49"/>
  <c r="E131" i="49"/>
  <c r="E130" i="49"/>
  <c r="E129" i="49"/>
  <c r="E128" i="49"/>
  <c r="E127" i="49"/>
  <c r="E126" i="49"/>
  <c r="E125" i="49"/>
  <c r="E124" i="49"/>
  <c r="E123" i="49"/>
  <c r="E122" i="49"/>
  <c r="I109" i="49"/>
  <c r="I108" i="49"/>
  <c r="I107" i="49"/>
  <c r="I106" i="49"/>
  <c r="I105" i="49"/>
  <c r="I104" i="49"/>
  <c r="I103" i="49"/>
  <c r="I102" i="49"/>
  <c r="I101" i="49"/>
  <c r="I100" i="49"/>
  <c r="I99" i="49"/>
  <c r="I98" i="49"/>
  <c r="I97" i="49"/>
  <c r="I96" i="49"/>
  <c r="I95" i="49"/>
  <c r="I94" i="49"/>
  <c r="I93" i="49"/>
  <c r="I92" i="49"/>
  <c r="I91" i="49"/>
  <c r="I90" i="49"/>
  <c r="I89" i="49"/>
  <c r="E109" i="49"/>
  <c r="E108" i="49"/>
  <c r="E107" i="49"/>
  <c r="E106" i="49"/>
  <c r="E105" i="49"/>
  <c r="E104" i="49"/>
  <c r="E103" i="49"/>
  <c r="E102" i="49"/>
  <c r="E101" i="49"/>
  <c r="E100" i="49"/>
  <c r="E99" i="49"/>
  <c r="E98" i="49"/>
  <c r="E97" i="49"/>
  <c r="E96" i="49"/>
  <c r="E95" i="49"/>
  <c r="E94" i="49"/>
  <c r="E93" i="49"/>
  <c r="E92" i="49"/>
  <c r="E91" i="49"/>
  <c r="E90" i="49"/>
  <c r="E89" i="49"/>
  <c r="E75" i="49" l="1"/>
  <c r="C120" i="48"/>
  <c r="C119" i="48"/>
  <c r="C131" i="48"/>
  <c r="P52" i="48"/>
  <c r="G76" i="48"/>
  <c r="H76" i="48" s="1"/>
  <c r="H13" i="48" s="1"/>
  <c r="C96" i="48"/>
  <c r="C95" i="48"/>
  <c r="C94" i="48"/>
  <c r="C93" i="48"/>
  <c r="O29" i="48"/>
  <c r="C92" i="48"/>
  <c r="C91" i="48"/>
  <c r="O27" i="48"/>
  <c r="C90" i="48"/>
  <c r="O26" i="48"/>
  <c r="C89" i="48"/>
  <c r="O25" i="48"/>
  <c r="C88" i="48"/>
  <c r="O24" i="48"/>
  <c r="C87" i="48"/>
  <c r="O23" i="48"/>
  <c r="C86" i="48"/>
  <c r="C85" i="48"/>
  <c r="O21" i="48"/>
  <c r="C84" i="48"/>
  <c r="C83" i="48"/>
  <c r="C82" i="48"/>
  <c r="O18" i="48"/>
  <c r="C81" i="48"/>
  <c r="O17" i="48"/>
  <c r="C80" i="48"/>
  <c r="C79" i="48"/>
  <c r="C78" i="48"/>
  <c r="C77" i="48"/>
  <c r="O13" i="48"/>
  <c r="M76" i="48"/>
  <c r="C76" i="48"/>
  <c r="P75" i="48"/>
  <c r="O75" i="48"/>
  <c r="N75" i="48"/>
  <c r="M75" i="48"/>
  <c r="L75" i="48"/>
  <c r="K75" i="48"/>
  <c r="J75" i="48"/>
  <c r="I75" i="48"/>
  <c r="H75" i="48"/>
  <c r="D75" i="48"/>
  <c r="C75" i="48"/>
  <c r="P74" i="48"/>
  <c r="O74" i="48"/>
  <c r="M74" i="48"/>
  <c r="L74" i="48"/>
  <c r="K74" i="48"/>
  <c r="I74" i="48"/>
  <c r="H74" i="48"/>
  <c r="C74" i="48"/>
  <c r="P73" i="48"/>
  <c r="O73" i="48"/>
  <c r="I73" i="48"/>
  <c r="C73" i="48"/>
  <c r="N72" i="48"/>
  <c r="I72" i="48"/>
  <c r="M45" i="48"/>
  <c r="P44" i="48"/>
  <c r="O44" i="48"/>
  <c r="N44" i="48"/>
  <c r="M44" i="48"/>
  <c r="L44" i="48"/>
  <c r="K44" i="48"/>
  <c r="J44" i="48"/>
  <c r="I44" i="48"/>
  <c r="H44" i="48"/>
  <c r="D44" i="48"/>
  <c r="C44" i="48"/>
  <c r="P43" i="48"/>
  <c r="O43" i="48"/>
  <c r="L43" i="48"/>
  <c r="K43" i="48"/>
  <c r="I43" i="48"/>
  <c r="H43" i="48"/>
  <c r="C43" i="48"/>
  <c r="P42" i="48"/>
  <c r="O42" i="48"/>
  <c r="I42" i="48"/>
  <c r="C42" i="48"/>
  <c r="O33" i="48"/>
  <c r="D33" i="48"/>
  <c r="C33" i="48"/>
  <c r="D32" i="48"/>
  <c r="C32" i="48"/>
  <c r="O31" i="48"/>
  <c r="D31" i="48"/>
  <c r="C31" i="48"/>
  <c r="D30" i="48"/>
  <c r="C30" i="48"/>
  <c r="D29" i="48"/>
  <c r="C29" i="48"/>
  <c r="D28" i="48"/>
  <c r="C28" i="48"/>
  <c r="D27" i="48"/>
  <c r="C27" i="48"/>
  <c r="D26" i="48"/>
  <c r="C26" i="48"/>
  <c r="D25" i="48"/>
  <c r="C25" i="48"/>
  <c r="D24" i="48"/>
  <c r="C24" i="48"/>
  <c r="D23" i="48"/>
  <c r="C23" i="48"/>
  <c r="D22" i="48"/>
  <c r="C22" i="48"/>
  <c r="D21" i="48"/>
  <c r="C21" i="48"/>
  <c r="D20" i="48"/>
  <c r="C20" i="48"/>
  <c r="D19" i="48"/>
  <c r="C19" i="48"/>
  <c r="D18" i="48"/>
  <c r="C18" i="48"/>
  <c r="D17" i="48"/>
  <c r="C17" i="48"/>
  <c r="D16" i="48"/>
  <c r="C16" i="48"/>
  <c r="D15" i="48"/>
  <c r="C15" i="48"/>
  <c r="D14" i="48"/>
  <c r="C14" i="48"/>
  <c r="A14" i="48"/>
  <c r="A15" i="48" s="1"/>
  <c r="A16" i="48" s="1"/>
  <c r="A17" i="48" s="1"/>
  <c r="A18" i="48" s="1"/>
  <c r="A19" i="48" s="1"/>
  <c r="A20" i="48" s="1"/>
  <c r="A21" i="48" s="1"/>
  <c r="A22" i="48" s="1"/>
  <c r="A23" i="48" s="1"/>
  <c r="A24" i="48" s="1"/>
  <c r="A25" i="48" s="1"/>
  <c r="A26" i="48" s="1"/>
  <c r="A27" i="48" s="1"/>
  <c r="A28" i="48" s="1"/>
  <c r="A29" i="48" s="1"/>
  <c r="A30" i="48" s="1"/>
  <c r="A31" i="48" s="1"/>
  <c r="A32" i="48" s="1"/>
  <c r="A33" i="48" s="1"/>
  <c r="L13" i="48"/>
  <c r="D13" i="48"/>
  <c r="C13" i="48"/>
  <c r="G75" i="48"/>
  <c r="E75" i="48"/>
  <c r="G74" i="48"/>
  <c r="F43" i="48"/>
  <c r="E73" i="48"/>
  <c r="F398" i="49"/>
  <c r="F397" i="49"/>
  <c r="F396" i="49"/>
  <c r="F395" i="49"/>
  <c r="F394" i="49"/>
  <c r="F393" i="49"/>
  <c r="F392" i="49"/>
  <c r="F391" i="49"/>
  <c r="F390" i="49"/>
  <c r="F389" i="49"/>
  <c r="F388" i="49"/>
  <c r="F387" i="49"/>
  <c r="F386" i="49"/>
  <c r="F385" i="49"/>
  <c r="F384" i="49"/>
  <c r="F383" i="49"/>
  <c r="F382" i="49"/>
  <c r="F381" i="49"/>
  <c r="F380" i="49"/>
  <c r="F379" i="49"/>
  <c r="F378" i="49"/>
  <c r="J378" i="49" s="1"/>
  <c r="K376" i="49"/>
  <c r="J376" i="49"/>
  <c r="I376" i="49"/>
  <c r="H376" i="49"/>
  <c r="G376" i="49"/>
  <c r="F376" i="49"/>
  <c r="E376" i="49"/>
  <c r="D376" i="49"/>
  <c r="K375" i="49"/>
  <c r="J375" i="49"/>
  <c r="I375" i="49"/>
  <c r="H375" i="49"/>
  <c r="G375" i="49"/>
  <c r="F375" i="49"/>
  <c r="E375" i="49"/>
  <c r="D375" i="49"/>
  <c r="G374" i="49"/>
  <c r="F365" i="49"/>
  <c r="F364" i="49"/>
  <c r="F363" i="49"/>
  <c r="F362" i="49"/>
  <c r="F361" i="49"/>
  <c r="F360" i="49"/>
  <c r="F359" i="49"/>
  <c r="F358" i="49"/>
  <c r="F357" i="49"/>
  <c r="F356" i="49"/>
  <c r="F355" i="49"/>
  <c r="F354" i="49"/>
  <c r="F353" i="49"/>
  <c r="F352" i="49"/>
  <c r="F351" i="49"/>
  <c r="F350" i="49"/>
  <c r="F349" i="49"/>
  <c r="F348" i="49"/>
  <c r="F347" i="49"/>
  <c r="F346" i="49"/>
  <c r="F345" i="49"/>
  <c r="J344" i="49"/>
  <c r="K343" i="49"/>
  <c r="J343" i="49"/>
  <c r="I343" i="49"/>
  <c r="H343" i="49"/>
  <c r="G343" i="49"/>
  <c r="F343" i="49"/>
  <c r="E343" i="49"/>
  <c r="D343" i="49"/>
  <c r="K342" i="49"/>
  <c r="J342" i="49"/>
  <c r="I342" i="49"/>
  <c r="H342" i="49"/>
  <c r="G342" i="49"/>
  <c r="F342" i="49"/>
  <c r="E342" i="49"/>
  <c r="D342" i="49"/>
  <c r="G341" i="49"/>
  <c r="F334" i="49"/>
  <c r="F333" i="49"/>
  <c r="F332" i="49"/>
  <c r="F331" i="49"/>
  <c r="F330" i="49"/>
  <c r="F329" i="49"/>
  <c r="F328" i="49"/>
  <c r="F327" i="49"/>
  <c r="F326" i="49"/>
  <c r="F325" i="49"/>
  <c r="F324" i="49"/>
  <c r="F323" i="49"/>
  <c r="F322" i="49"/>
  <c r="F321" i="49"/>
  <c r="F320" i="49"/>
  <c r="F319" i="49"/>
  <c r="F318" i="49"/>
  <c r="F317" i="49"/>
  <c r="F316" i="49"/>
  <c r="F315" i="49"/>
  <c r="F314" i="49"/>
  <c r="J313" i="49"/>
  <c r="K312" i="49"/>
  <c r="J312" i="49"/>
  <c r="I312" i="49"/>
  <c r="H312" i="49"/>
  <c r="G312" i="49"/>
  <c r="F312" i="49"/>
  <c r="E312" i="49"/>
  <c r="D312" i="49"/>
  <c r="K311" i="49"/>
  <c r="J311" i="49"/>
  <c r="I311" i="49"/>
  <c r="H311" i="49"/>
  <c r="G311" i="49"/>
  <c r="F311" i="49"/>
  <c r="E311" i="49"/>
  <c r="D311" i="49"/>
  <c r="G310" i="49"/>
  <c r="F301" i="49"/>
  <c r="F300" i="49"/>
  <c r="F299" i="49"/>
  <c r="F298" i="49"/>
  <c r="F297" i="49"/>
  <c r="I70" i="49"/>
  <c r="G60" i="48" s="1"/>
  <c r="F296" i="49"/>
  <c r="F295" i="49"/>
  <c r="F294" i="49"/>
  <c r="F293" i="49"/>
  <c r="F292" i="49"/>
  <c r="F291" i="49"/>
  <c r="F290" i="49"/>
  <c r="F289" i="49"/>
  <c r="F288" i="49"/>
  <c r="F287" i="49"/>
  <c r="F286" i="49"/>
  <c r="F285" i="49"/>
  <c r="F284" i="49"/>
  <c r="F283" i="49"/>
  <c r="F282" i="49"/>
  <c r="F281" i="49"/>
  <c r="J280" i="49"/>
  <c r="K279" i="49"/>
  <c r="J279" i="49"/>
  <c r="I279" i="49"/>
  <c r="H279" i="49"/>
  <c r="G279" i="49"/>
  <c r="F279" i="49"/>
  <c r="E279" i="49"/>
  <c r="D279" i="49"/>
  <c r="K278" i="49"/>
  <c r="J278" i="49"/>
  <c r="I278" i="49"/>
  <c r="H278" i="49"/>
  <c r="G278" i="49"/>
  <c r="F278" i="49"/>
  <c r="E278" i="49"/>
  <c r="D278" i="49"/>
  <c r="G277" i="49"/>
  <c r="F269" i="49"/>
  <c r="F268" i="49"/>
  <c r="F267" i="49"/>
  <c r="F266" i="49"/>
  <c r="F265" i="49"/>
  <c r="F264" i="49"/>
  <c r="F263" i="49"/>
  <c r="F262" i="49"/>
  <c r="F261" i="49"/>
  <c r="F260" i="49"/>
  <c r="F259" i="49"/>
  <c r="F258" i="49"/>
  <c r="F257" i="49"/>
  <c r="F256" i="49"/>
  <c r="F255" i="49"/>
  <c r="F254" i="49"/>
  <c r="E58" i="49"/>
  <c r="F252" i="49"/>
  <c r="F251" i="49"/>
  <c r="F250" i="49"/>
  <c r="J249" i="49"/>
  <c r="K248" i="49"/>
  <c r="J248" i="49"/>
  <c r="I248" i="49"/>
  <c r="H248" i="49"/>
  <c r="F248" i="49"/>
  <c r="E248" i="49"/>
  <c r="D248" i="49"/>
  <c r="K247" i="49"/>
  <c r="J247" i="49"/>
  <c r="I247" i="49"/>
  <c r="H247" i="49"/>
  <c r="F247" i="49"/>
  <c r="E247" i="49"/>
  <c r="D247" i="49"/>
  <c r="F237" i="49"/>
  <c r="F236" i="49"/>
  <c r="F235" i="49"/>
  <c r="F234" i="49"/>
  <c r="F233" i="49"/>
  <c r="F232" i="49"/>
  <c r="F231" i="49"/>
  <c r="F230" i="49"/>
  <c r="F229" i="49"/>
  <c r="F228" i="49"/>
  <c r="F227" i="49"/>
  <c r="F226" i="49"/>
  <c r="F225" i="49"/>
  <c r="F224" i="49"/>
  <c r="F223" i="49"/>
  <c r="F222" i="49"/>
  <c r="F221" i="49"/>
  <c r="F220" i="49"/>
  <c r="F219" i="49"/>
  <c r="F218" i="49"/>
  <c r="F217" i="49"/>
  <c r="J216" i="49"/>
  <c r="K215" i="49"/>
  <c r="J215" i="49"/>
  <c r="I215" i="49"/>
  <c r="H215" i="49"/>
  <c r="G215" i="49"/>
  <c r="F215" i="49"/>
  <c r="E215" i="49"/>
  <c r="D215" i="49"/>
  <c r="K214" i="49"/>
  <c r="J214" i="49"/>
  <c r="I214" i="49"/>
  <c r="H214" i="49"/>
  <c r="G214" i="49"/>
  <c r="F214" i="49"/>
  <c r="E214" i="49"/>
  <c r="D214" i="49"/>
  <c r="G213" i="49"/>
  <c r="F206" i="49"/>
  <c r="F205" i="49"/>
  <c r="F204" i="49"/>
  <c r="F203" i="49"/>
  <c r="F202" i="49"/>
  <c r="F201" i="49"/>
  <c r="F200" i="49"/>
  <c r="F199" i="49"/>
  <c r="F198" i="49"/>
  <c r="E66" i="49"/>
  <c r="F196" i="49"/>
  <c r="F195" i="49"/>
  <c r="F194" i="49"/>
  <c r="I62" i="49"/>
  <c r="G52" i="48" s="1"/>
  <c r="F193" i="49"/>
  <c r="F192" i="49"/>
  <c r="F191" i="49"/>
  <c r="F190" i="49"/>
  <c r="F189" i="49"/>
  <c r="F188" i="49"/>
  <c r="F187" i="49"/>
  <c r="F186" i="49"/>
  <c r="J185" i="49"/>
  <c r="K184" i="49"/>
  <c r="J184" i="49"/>
  <c r="I184" i="49"/>
  <c r="H184" i="49"/>
  <c r="G184" i="49"/>
  <c r="F184" i="49"/>
  <c r="E184" i="49"/>
  <c r="D184" i="49"/>
  <c r="K183" i="49"/>
  <c r="J183" i="49"/>
  <c r="I183" i="49"/>
  <c r="H183" i="49"/>
  <c r="G183" i="49"/>
  <c r="F183" i="49"/>
  <c r="E183" i="49"/>
  <c r="D183" i="49"/>
  <c r="G182" i="49"/>
  <c r="F173" i="49"/>
  <c r="F172" i="49"/>
  <c r="F171" i="49"/>
  <c r="F170" i="49"/>
  <c r="F169" i="49"/>
  <c r="F168" i="49"/>
  <c r="F167" i="49"/>
  <c r="F166" i="49"/>
  <c r="F165" i="49"/>
  <c r="F164" i="49"/>
  <c r="F163" i="49"/>
  <c r="F162" i="49"/>
  <c r="F161" i="49"/>
  <c r="F160" i="49"/>
  <c r="F159" i="49"/>
  <c r="F158" i="49"/>
  <c r="F157" i="49"/>
  <c r="F156" i="49"/>
  <c r="F155" i="49"/>
  <c r="F154" i="49"/>
  <c r="F153" i="49"/>
  <c r="J152" i="49"/>
  <c r="K151" i="49"/>
  <c r="J151" i="49"/>
  <c r="I151" i="49"/>
  <c r="H151" i="49"/>
  <c r="G151" i="49"/>
  <c r="F151" i="49"/>
  <c r="E151" i="49"/>
  <c r="D151" i="49"/>
  <c r="K150" i="49"/>
  <c r="J150" i="49"/>
  <c r="I150" i="49"/>
  <c r="H150" i="49"/>
  <c r="G150" i="49"/>
  <c r="F150" i="49"/>
  <c r="E150" i="49"/>
  <c r="D150" i="49"/>
  <c r="G149" i="49"/>
  <c r="F142" i="49"/>
  <c r="F141" i="49"/>
  <c r="F140" i="49"/>
  <c r="F139" i="49"/>
  <c r="F138" i="49"/>
  <c r="F137" i="49"/>
  <c r="F136" i="49"/>
  <c r="I68" i="49"/>
  <c r="G58" i="48" s="1"/>
  <c r="F135" i="49"/>
  <c r="F134" i="49"/>
  <c r="F133" i="49"/>
  <c r="F132" i="49"/>
  <c r="I64" i="49"/>
  <c r="G54" i="48" s="1"/>
  <c r="F131" i="49"/>
  <c r="F130" i="49"/>
  <c r="F129" i="49"/>
  <c r="F128" i="49"/>
  <c r="F127" i="49"/>
  <c r="F126" i="49"/>
  <c r="F125" i="49"/>
  <c r="F124" i="49"/>
  <c r="F123" i="49"/>
  <c r="F122" i="49"/>
  <c r="J121" i="49"/>
  <c r="K120" i="49"/>
  <c r="J120" i="49"/>
  <c r="I120" i="49"/>
  <c r="H120" i="49"/>
  <c r="G120" i="49"/>
  <c r="F120" i="49"/>
  <c r="E120" i="49"/>
  <c r="D120" i="49"/>
  <c r="K119" i="49"/>
  <c r="J119" i="49"/>
  <c r="I119" i="49"/>
  <c r="H119" i="49"/>
  <c r="G119" i="49"/>
  <c r="F119" i="49"/>
  <c r="E119" i="49"/>
  <c r="D119" i="49"/>
  <c r="G118" i="49"/>
  <c r="F109" i="49"/>
  <c r="F108" i="49"/>
  <c r="I73" i="49"/>
  <c r="G63" i="48" s="1"/>
  <c r="F106" i="49"/>
  <c r="F105" i="49"/>
  <c r="F104" i="49"/>
  <c r="F103" i="49"/>
  <c r="F102" i="49"/>
  <c r="F101" i="49"/>
  <c r="F100" i="49"/>
  <c r="I65" i="49"/>
  <c r="G55" i="48" s="1"/>
  <c r="E65" i="49"/>
  <c r="F98" i="49"/>
  <c r="I63" i="49"/>
  <c r="G53" i="48" s="1"/>
  <c r="F97" i="49"/>
  <c r="F96" i="49"/>
  <c r="F95" i="49"/>
  <c r="F94" i="49"/>
  <c r="F93" i="49"/>
  <c r="F92" i="49"/>
  <c r="I57" i="49"/>
  <c r="G47" i="48" s="1"/>
  <c r="F91" i="49"/>
  <c r="F90" i="49"/>
  <c r="F89" i="49"/>
  <c r="J88" i="49"/>
  <c r="K87" i="49"/>
  <c r="J87" i="49"/>
  <c r="I87" i="49"/>
  <c r="H87" i="49"/>
  <c r="G87" i="49"/>
  <c r="F87" i="49"/>
  <c r="E87" i="49"/>
  <c r="D87" i="49"/>
  <c r="K86" i="49"/>
  <c r="J86" i="49"/>
  <c r="I86" i="49"/>
  <c r="H86" i="49"/>
  <c r="G86" i="49"/>
  <c r="F86" i="49"/>
  <c r="E86" i="49"/>
  <c r="D86" i="49"/>
  <c r="G85" i="49"/>
  <c r="H75" i="49"/>
  <c r="F65" i="48" s="1"/>
  <c r="F33" i="48" s="1"/>
  <c r="G75" i="49"/>
  <c r="E65" i="48" s="1"/>
  <c r="E33" i="48" s="1"/>
  <c r="I74" i="49"/>
  <c r="G64" i="48" s="1"/>
  <c r="H74" i="49"/>
  <c r="F64" i="48" s="1"/>
  <c r="F32" i="48" s="1"/>
  <c r="G74" i="49"/>
  <c r="E64" i="48" s="1"/>
  <c r="E32" i="48" s="1"/>
  <c r="E74" i="49"/>
  <c r="D74" i="49"/>
  <c r="H73" i="49"/>
  <c r="F63" i="48" s="1"/>
  <c r="F31" i="48" s="1"/>
  <c r="G73" i="49"/>
  <c r="E63" i="48" s="1"/>
  <c r="E31" i="48" s="1"/>
  <c r="D73" i="49"/>
  <c r="I72" i="49"/>
  <c r="G62" i="48" s="1"/>
  <c r="H72" i="49"/>
  <c r="F62" i="48" s="1"/>
  <c r="F30" i="48" s="1"/>
  <c r="G72" i="49"/>
  <c r="E62" i="48" s="1"/>
  <c r="E30" i="48" s="1"/>
  <c r="D72" i="49"/>
  <c r="H71" i="49"/>
  <c r="F61" i="48" s="1"/>
  <c r="F29" i="48" s="1"/>
  <c r="G71" i="49"/>
  <c r="E61" i="48" s="1"/>
  <c r="E29" i="48" s="1"/>
  <c r="E71" i="49"/>
  <c r="D71" i="49"/>
  <c r="H70" i="49"/>
  <c r="F60" i="48" s="1"/>
  <c r="F28" i="48" s="1"/>
  <c r="G70" i="49"/>
  <c r="E60" i="48" s="1"/>
  <c r="E28" i="48" s="1"/>
  <c r="E70" i="49"/>
  <c r="D70" i="49"/>
  <c r="I69" i="49"/>
  <c r="G59" i="48" s="1"/>
  <c r="H69" i="49"/>
  <c r="F59" i="48" s="1"/>
  <c r="F27" i="48" s="1"/>
  <c r="G69" i="49"/>
  <c r="E59" i="48" s="1"/>
  <c r="E27" i="48" s="1"/>
  <c r="D69" i="49"/>
  <c r="H68" i="49"/>
  <c r="F58" i="48" s="1"/>
  <c r="F26" i="48" s="1"/>
  <c r="G68" i="49"/>
  <c r="E58" i="48" s="1"/>
  <c r="E26" i="48" s="1"/>
  <c r="E68" i="49"/>
  <c r="D68" i="49"/>
  <c r="H67" i="49"/>
  <c r="F57" i="48" s="1"/>
  <c r="F25" i="48" s="1"/>
  <c r="G67" i="49"/>
  <c r="E57" i="48" s="1"/>
  <c r="E25" i="48" s="1"/>
  <c r="D67" i="49"/>
  <c r="I66" i="49"/>
  <c r="G56" i="48" s="1"/>
  <c r="H66" i="49"/>
  <c r="F56" i="48" s="1"/>
  <c r="F24" i="48" s="1"/>
  <c r="G66" i="49"/>
  <c r="E56" i="48" s="1"/>
  <c r="E24" i="48" s="1"/>
  <c r="D66" i="49"/>
  <c r="H65" i="49"/>
  <c r="F55" i="48" s="1"/>
  <c r="F23" i="48" s="1"/>
  <c r="G65" i="49"/>
  <c r="E55" i="48" s="1"/>
  <c r="E23" i="48" s="1"/>
  <c r="D65" i="49"/>
  <c r="H64" i="49"/>
  <c r="F54" i="48" s="1"/>
  <c r="F22" i="48" s="1"/>
  <c r="G64" i="49"/>
  <c r="E54" i="48" s="1"/>
  <c r="E22" i="48" s="1"/>
  <c r="E64" i="49"/>
  <c r="D64" i="49"/>
  <c r="H63" i="49"/>
  <c r="F53" i="48" s="1"/>
  <c r="F21" i="48" s="1"/>
  <c r="G63" i="49"/>
  <c r="E53" i="48" s="1"/>
  <c r="E21" i="48" s="1"/>
  <c r="E63" i="49"/>
  <c r="D63" i="49"/>
  <c r="H62" i="49"/>
  <c r="F52" i="48" s="1"/>
  <c r="F20" i="48" s="1"/>
  <c r="G62" i="49"/>
  <c r="E52" i="48" s="1"/>
  <c r="E20" i="48" s="1"/>
  <c r="E62" i="49"/>
  <c r="D62" i="49"/>
  <c r="I61" i="49"/>
  <c r="G51" i="48" s="1"/>
  <c r="H61" i="49"/>
  <c r="F51" i="48" s="1"/>
  <c r="F19" i="48" s="1"/>
  <c r="G61" i="49"/>
  <c r="E51" i="48" s="1"/>
  <c r="E19" i="48" s="1"/>
  <c r="D61" i="49"/>
  <c r="I60" i="49"/>
  <c r="G50" i="48" s="1"/>
  <c r="H60" i="49"/>
  <c r="F50" i="48" s="1"/>
  <c r="F18" i="48" s="1"/>
  <c r="G60" i="49"/>
  <c r="E50" i="48" s="1"/>
  <c r="E18" i="48" s="1"/>
  <c r="D60" i="49"/>
  <c r="H59" i="49"/>
  <c r="F49" i="48" s="1"/>
  <c r="F17" i="48" s="1"/>
  <c r="G59" i="49"/>
  <c r="E49" i="48" s="1"/>
  <c r="E17" i="48" s="1"/>
  <c r="D59" i="49"/>
  <c r="I58" i="49"/>
  <c r="G48" i="48" s="1"/>
  <c r="H58" i="49"/>
  <c r="F48" i="48" s="1"/>
  <c r="F16" i="48" s="1"/>
  <c r="G58" i="49"/>
  <c r="E48" i="48" s="1"/>
  <c r="E16" i="48" s="1"/>
  <c r="D58" i="49"/>
  <c r="H57" i="49"/>
  <c r="F47" i="48" s="1"/>
  <c r="F15" i="48" s="1"/>
  <c r="G57" i="49"/>
  <c r="E47" i="48" s="1"/>
  <c r="E15" i="48" s="1"/>
  <c r="D57" i="49"/>
  <c r="I56" i="49"/>
  <c r="G46" i="48" s="1"/>
  <c r="H56" i="49"/>
  <c r="F46" i="48" s="1"/>
  <c r="F14" i="48" s="1"/>
  <c r="G56" i="49"/>
  <c r="E46" i="48" s="1"/>
  <c r="E14" i="48" s="1"/>
  <c r="E56" i="49"/>
  <c r="D56" i="49"/>
  <c r="H55" i="49"/>
  <c r="F45" i="48" s="1"/>
  <c r="F13" i="48" s="1"/>
  <c r="G55" i="49"/>
  <c r="E45" i="48" s="1"/>
  <c r="D55" i="49"/>
  <c r="G46" i="49"/>
  <c r="F46" i="49"/>
  <c r="E46" i="49"/>
  <c r="D46" i="49"/>
  <c r="I26" i="49"/>
  <c r="H26" i="49"/>
  <c r="G26" i="49"/>
  <c r="E26" i="49"/>
  <c r="D25" i="49"/>
  <c r="D24" i="49"/>
  <c r="D23" i="49"/>
  <c r="D22" i="49"/>
  <c r="D21" i="49"/>
  <c r="D20" i="49"/>
  <c r="D19" i="49"/>
  <c r="D18" i="49"/>
  <c r="D17" i="49"/>
  <c r="D16" i="49"/>
  <c r="D15" i="49"/>
  <c r="D14" i="49"/>
  <c r="A14" i="49"/>
  <c r="A15" i="49" s="1"/>
  <c r="A16" i="49" s="1"/>
  <c r="A17" i="49" s="1"/>
  <c r="A18" i="49" s="1"/>
  <c r="A19" i="49" s="1"/>
  <c r="A20" i="49" s="1"/>
  <c r="A21" i="49" s="1"/>
  <c r="A22" i="49" s="1"/>
  <c r="A23" i="49" s="1"/>
  <c r="A24" i="49" s="1"/>
  <c r="A25" i="49" s="1"/>
  <c r="A45" i="48" l="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G41" i="57"/>
  <c r="E78" i="7"/>
  <c r="J281" i="49"/>
  <c r="K281" i="49" s="1"/>
  <c r="J89" i="49"/>
  <c r="K89" i="49" s="1"/>
  <c r="J122" i="49"/>
  <c r="K122" i="49" s="1"/>
  <c r="A26" i="49"/>
  <c r="A33" i="49" s="1"/>
  <c r="A34" i="49" s="1"/>
  <c r="A35" i="49" s="1"/>
  <c r="A36" i="49" s="1"/>
  <c r="A37" i="49" s="1"/>
  <c r="A38" i="49" s="1"/>
  <c r="A39" i="49" s="1"/>
  <c r="A40" i="49" s="1"/>
  <c r="A41" i="49" s="1"/>
  <c r="A42" i="49" s="1"/>
  <c r="A43" i="49" s="1"/>
  <c r="A44" i="49" s="1"/>
  <c r="A45" i="49" s="1"/>
  <c r="E57" i="7"/>
  <c r="E46" i="7"/>
  <c r="E53" i="7"/>
  <c r="J314" i="49"/>
  <c r="J345" i="49"/>
  <c r="K345" i="49" s="1"/>
  <c r="J217" i="49"/>
  <c r="K217" i="49" s="1"/>
  <c r="J186" i="49"/>
  <c r="K186" i="49" s="1"/>
  <c r="E16" i="71"/>
  <c r="F33" i="11"/>
  <c r="E15" i="71"/>
  <c r="F32" i="11"/>
  <c r="E17" i="71"/>
  <c r="F34" i="11"/>
  <c r="E14" i="71"/>
  <c r="F31" i="11"/>
  <c r="J54" i="49"/>
  <c r="D46" i="7"/>
  <c r="E12" i="71"/>
  <c r="F29" i="11"/>
  <c r="D26" i="49"/>
  <c r="E9" i="71"/>
  <c r="F26" i="11"/>
  <c r="E13" i="71"/>
  <c r="F30" i="11"/>
  <c r="E10" i="71"/>
  <c r="F27" i="11"/>
  <c r="E11" i="71"/>
  <c r="F28" i="11"/>
  <c r="J379" i="49"/>
  <c r="J380" i="49" s="1"/>
  <c r="F62" i="49"/>
  <c r="J250" i="49"/>
  <c r="F63" i="49"/>
  <c r="F67" i="49"/>
  <c r="F60" i="49"/>
  <c r="F69" i="49"/>
  <c r="F61" i="49"/>
  <c r="F68" i="49"/>
  <c r="F64" i="49"/>
  <c r="F59" i="49"/>
  <c r="F71" i="49"/>
  <c r="F70" i="49"/>
  <c r="F57" i="49"/>
  <c r="F55" i="49"/>
  <c r="M13" i="48"/>
  <c r="P95" i="48"/>
  <c r="P78" i="48"/>
  <c r="F74" i="48"/>
  <c r="E44" i="48"/>
  <c r="E13" i="48"/>
  <c r="G79" i="48"/>
  <c r="H79" i="48" s="1"/>
  <c r="H16" i="48" s="1"/>
  <c r="P92" i="48"/>
  <c r="P79" i="48"/>
  <c r="P87" i="48"/>
  <c r="P94" i="48"/>
  <c r="G86" i="48"/>
  <c r="H86" i="48" s="1"/>
  <c r="H23" i="48" s="1"/>
  <c r="P54" i="48"/>
  <c r="G44" i="48"/>
  <c r="P50" i="48"/>
  <c r="P57" i="48"/>
  <c r="G78" i="48"/>
  <c r="H78" i="48" s="1"/>
  <c r="H15" i="48" s="1"/>
  <c r="P84" i="48"/>
  <c r="G83" i="48"/>
  <c r="H83" i="48" s="1"/>
  <c r="H20" i="48" s="1"/>
  <c r="G85" i="48"/>
  <c r="H85" i="48" s="1"/>
  <c r="H22" i="48" s="1"/>
  <c r="G91" i="48"/>
  <c r="G28" i="48" s="1"/>
  <c r="P93" i="48"/>
  <c r="P49" i="48"/>
  <c r="P56" i="48"/>
  <c r="P58" i="48"/>
  <c r="G77" i="48"/>
  <c r="H77" i="48" s="1"/>
  <c r="H14" i="48" s="1"/>
  <c r="G81" i="48"/>
  <c r="H81" i="48" s="1"/>
  <c r="I81" i="48" s="1"/>
  <c r="P85" i="48"/>
  <c r="G87" i="48"/>
  <c r="G24" i="48" s="1"/>
  <c r="G89" i="48"/>
  <c r="P91" i="48"/>
  <c r="F75" i="48"/>
  <c r="F44" i="48"/>
  <c r="O15" i="48"/>
  <c r="I76" i="48"/>
  <c r="P89" i="48"/>
  <c r="P60" i="48"/>
  <c r="P65" i="48"/>
  <c r="P76" i="48"/>
  <c r="P82" i="48"/>
  <c r="P83" i="48"/>
  <c r="P20" i="48" s="1"/>
  <c r="O28" i="48"/>
  <c r="E42" i="48"/>
  <c r="P46" i="48"/>
  <c r="P64" i="48"/>
  <c r="P77" i="48"/>
  <c r="O14" i="48"/>
  <c r="O20" i="48"/>
  <c r="P48" i="48"/>
  <c r="P62" i="48"/>
  <c r="P80" i="48"/>
  <c r="G90" i="48"/>
  <c r="G82" i="48"/>
  <c r="G19" i="48" s="1"/>
  <c r="P61" i="48"/>
  <c r="P53" i="48"/>
  <c r="P45" i="48"/>
  <c r="P96" i="48"/>
  <c r="G93" i="48"/>
  <c r="P88" i="48"/>
  <c r="G96" i="48"/>
  <c r="G88" i="48"/>
  <c r="G80" i="48"/>
  <c r="P59" i="48"/>
  <c r="P51" i="48"/>
  <c r="G92" i="48"/>
  <c r="G84" i="48"/>
  <c r="P63" i="48"/>
  <c r="P55" i="48"/>
  <c r="P47" i="48"/>
  <c r="P86" i="48"/>
  <c r="P90" i="48"/>
  <c r="E74" i="48"/>
  <c r="E43" i="48"/>
  <c r="P81" i="48"/>
  <c r="O16" i="48"/>
  <c r="O32" i="48"/>
  <c r="G43" i="48"/>
  <c r="G94" i="48"/>
  <c r="G95" i="48"/>
  <c r="O22" i="48"/>
  <c r="O30" i="48"/>
  <c r="F56" i="49"/>
  <c r="J90" i="49"/>
  <c r="K90" i="49" s="1"/>
  <c r="F72" i="49"/>
  <c r="F74" i="49"/>
  <c r="F253" i="49"/>
  <c r="F58" i="49" s="1"/>
  <c r="F270" i="49"/>
  <c r="F75" i="49" s="1"/>
  <c r="E72" i="49"/>
  <c r="I67" i="49"/>
  <c r="G57" i="48" s="1"/>
  <c r="E60" i="49"/>
  <c r="E73" i="49"/>
  <c r="I71" i="49"/>
  <c r="G61" i="48" s="1"/>
  <c r="F107" i="49"/>
  <c r="F73" i="49" s="1"/>
  <c r="I75" i="49"/>
  <c r="G65" i="48" s="1"/>
  <c r="I55" i="49"/>
  <c r="G45" i="48" s="1"/>
  <c r="K45" i="48" s="1"/>
  <c r="N45" i="48" s="1"/>
  <c r="E57" i="49"/>
  <c r="F197" i="49"/>
  <c r="F66" i="49" s="1"/>
  <c r="E55" i="49"/>
  <c r="F99" i="49"/>
  <c r="F65" i="49" s="1"/>
  <c r="E59" i="49"/>
  <c r="E67" i="49"/>
  <c r="I59" i="49"/>
  <c r="G49" i="48" s="1"/>
  <c r="E61" i="49"/>
  <c r="E69" i="49"/>
  <c r="J153" i="49"/>
  <c r="K153" i="49" s="1"/>
  <c r="J315" i="49" l="1"/>
  <c r="K315" i="49" s="1"/>
  <c r="K314" i="49"/>
  <c r="J251" i="49"/>
  <c r="K251" i="49" s="1"/>
  <c r="K250" i="49"/>
  <c r="P24" i="48"/>
  <c r="J282" i="49"/>
  <c r="K282" i="49" s="1"/>
  <c r="A66" i="48"/>
  <c r="A67" i="48" s="1"/>
  <c r="A68"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3" i="48" s="1"/>
  <c r="J187" i="49"/>
  <c r="K187" i="49" s="1"/>
  <c r="J123" i="49"/>
  <c r="A46" i="49"/>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P28" i="48"/>
  <c r="J346" i="49"/>
  <c r="K346" i="49" s="1"/>
  <c r="J218" i="49"/>
  <c r="K218" i="49" s="1"/>
  <c r="J55" i="49"/>
  <c r="G29" i="48"/>
  <c r="G25" i="48"/>
  <c r="G13" i="48"/>
  <c r="P32" i="48"/>
  <c r="P30" i="48"/>
  <c r="H18" i="48"/>
  <c r="P13" i="48"/>
  <c r="P15" i="48"/>
  <c r="G14" i="48"/>
  <c r="I78" i="48"/>
  <c r="J78" i="48" s="1"/>
  <c r="J15" i="48" s="1"/>
  <c r="K46" i="48"/>
  <c r="K47" i="48" s="1"/>
  <c r="P29" i="48"/>
  <c r="I86" i="48"/>
  <c r="I23" i="48" s="1"/>
  <c r="I79" i="48"/>
  <c r="J79" i="48" s="1"/>
  <c r="J16" i="48" s="1"/>
  <c r="P19" i="48"/>
  <c r="G16" i="48"/>
  <c r="E120" i="48"/>
  <c r="G18" i="48"/>
  <c r="G15" i="48"/>
  <c r="G20" i="48"/>
  <c r="P31" i="48"/>
  <c r="P25" i="48"/>
  <c r="P17" i="48"/>
  <c r="P26" i="48"/>
  <c r="P22" i="48"/>
  <c r="I77" i="48"/>
  <c r="J77" i="48" s="1"/>
  <c r="J14" i="48" s="1"/>
  <c r="I83" i="48"/>
  <c r="I20" i="48" s="1"/>
  <c r="H89" i="48"/>
  <c r="G26" i="48"/>
  <c r="P21" i="48"/>
  <c r="P16" i="48"/>
  <c r="H87" i="48"/>
  <c r="H24" i="48" s="1"/>
  <c r="I85" i="48"/>
  <c r="J85" i="48" s="1"/>
  <c r="J22" i="48" s="1"/>
  <c r="P18" i="48"/>
  <c r="G23" i="48"/>
  <c r="G22" i="48"/>
  <c r="H91" i="48"/>
  <c r="H28" i="48" s="1"/>
  <c r="H93" i="48"/>
  <c r="H30" i="48" s="1"/>
  <c r="H95" i="48"/>
  <c r="H32" i="48" s="1"/>
  <c r="G32" i="48"/>
  <c r="E119" i="48"/>
  <c r="H80" i="48"/>
  <c r="H17" i="48" s="1"/>
  <c r="G17" i="48"/>
  <c r="J81" i="48"/>
  <c r="J18" i="48" s="1"/>
  <c r="I18" i="48"/>
  <c r="G31" i="48"/>
  <c r="H94" i="48"/>
  <c r="H31" i="48" s="1"/>
  <c r="H88" i="48"/>
  <c r="H25" i="48" s="1"/>
  <c r="H82" i="48"/>
  <c r="H19" i="48" s="1"/>
  <c r="P23" i="48"/>
  <c r="H96" i="48"/>
  <c r="H33" i="48" s="1"/>
  <c r="G33" i="48"/>
  <c r="H90" i="48"/>
  <c r="H27" i="48" s="1"/>
  <c r="G27" i="48"/>
  <c r="P33" i="48"/>
  <c r="G30" i="48"/>
  <c r="P14" i="48"/>
  <c r="P27" i="48"/>
  <c r="H92" i="48"/>
  <c r="H29" i="48" s="1"/>
  <c r="G21" i="48"/>
  <c r="H84" i="48"/>
  <c r="H21" i="48" s="1"/>
  <c r="J76" i="48"/>
  <c r="J13" i="48" s="1"/>
  <c r="I13" i="48"/>
  <c r="J316" i="49"/>
  <c r="K316" i="49" s="1"/>
  <c r="J91" i="49"/>
  <c r="K91" i="49" s="1"/>
  <c r="J283" i="49"/>
  <c r="K283" i="49" s="1"/>
  <c r="J381" i="49"/>
  <c r="J252" i="49"/>
  <c r="K252" i="49" s="1"/>
  <c r="J154" i="49"/>
  <c r="K154" i="49" s="1"/>
  <c r="J124" i="49" l="1"/>
  <c r="K124" i="49" s="1"/>
  <c r="K123" i="49"/>
  <c r="P37" i="48"/>
  <c r="D41" i="57" s="1"/>
  <c r="J219" i="49"/>
  <c r="A107" i="48"/>
  <c r="A111" i="48" s="1"/>
  <c r="G72" i="48"/>
  <c r="I87" i="48"/>
  <c r="I24" i="48" s="1"/>
  <c r="J188" i="49"/>
  <c r="K188" i="49" s="1"/>
  <c r="G19" i="71"/>
  <c r="A88" i="49"/>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G42" i="57"/>
  <c r="E82" i="7"/>
  <c r="J347" i="49"/>
  <c r="K347" i="49" s="1"/>
  <c r="K55" i="49"/>
  <c r="J56" i="49"/>
  <c r="I14" i="48"/>
  <c r="I15" i="48"/>
  <c r="I16" i="48"/>
  <c r="J83" i="48"/>
  <c r="J20" i="48" s="1"/>
  <c r="J86" i="48"/>
  <c r="J23" i="48" s="1"/>
  <c r="K76" i="48"/>
  <c r="N76" i="48" s="1"/>
  <c r="N13" i="48" s="1"/>
  <c r="I95" i="48"/>
  <c r="I32" i="48" s="1"/>
  <c r="H26" i="48"/>
  <c r="I89" i="48"/>
  <c r="I22" i="48"/>
  <c r="I91" i="48"/>
  <c r="J91" i="48" s="1"/>
  <c r="J28" i="48" s="1"/>
  <c r="I88" i="48"/>
  <c r="I80" i="48"/>
  <c r="K48" i="48"/>
  <c r="I84" i="48"/>
  <c r="I94" i="48"/>
  <c r="I92" i="48"/>
  <c r="I90" i="48"/>
  <c r="I82" i="48"/>
  <c r="I93" i="48"/>
  <c r="I96" i="48"/>
  <c r="J284" i="49"/>
  <c r="K284" i="49" s="1"/>
  <c r="J382" i="49"/>
  <c r="J92" i="49"/>
  <c r="K92" i="49" s="1"/>
  <c r="J155" i="49"/>
  <c r="K155" i="49" s="1"/>
  <c r="J317" i="49"/>
  <c r="K317" i="49" s="1"/>
  <c r="J253" i="49"/>
  <c r="K253" i="49" s="1"/>
  <c r="J125" i="49" l="1"/>
  <c r="K125" i="49" s="1"/>
  <c r="J220" i="49"/>
  <c r="K220" i="49" s="1"/>
  <c r="K219" i="49"/>
  <c r="J87" i="48"/>
  <c r="J24" i="48" s="1"/>
  <c r="J348" i="49"/>
  <c r="K348" i="49" s="1"/>
  <c r="J189" i="49"/>
  <c r="A121" i="49"/>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G9" i="71"/>
  <c r="H26" i="11"/>
  <c r="K56" i="49"/>
  <c r="K77" i="48"/>
  <c r="K78" i="48" s="1"/>
  <c r="J95" i="48"/>
  <c r="J32" i="48" s="1"/>
  <c r="K13" i="48"/>
  <c r="I28" i="48"/>
  <c r="J89" i="48"/>
  <c r="J26" i="48" s="1"/>
  <c r="I26" i="48"/>
  <c r="H72" i="48"/>
  <c r="J93" i="48"/>
  <c r="J30" i="48" s="1"/>
  <c r="I30" i="48"/>
  <c r="J94" i="48"/>
  <c r="J31" i="48" s="1"/>
  <c r="I31" i="48"/>
  <c r="J82" i="48"/>
  <c r="J19" i="48" s="1"/>
  <c r="I19" i="48"/>
  <c r="J84" i="48"/>
  <c r="J21" i="48" s="1"/>
  <c r="I21" i="48"/>
  <c r="I17" i="48"/>
  <c r="J80" i="48"/>
  <c r="J17" i="48" s="1"/>
  <c r="I27" i="48"/>
  <c r="J90" i="48"/>
  <c r="J27" i="48" s="1"/>
  <c r="J88" i="48"/>
  <c r="J25" i="48" s="1"/>
  <c r="I25" i="48"/>
  <c r="J96" i="48"/>
  <c r="J33" i="48" s="1"/>
  <c r="I33" i="48"/>
  <c r="J92" i="48"/>
  <c r="J29" i="48" s="1"/>
  <c r="I29" i="48"/>
  <c r="K49" i="48"/>
  <c r="J156" i="49"/>
  <c r="K156" i="49" s="1"/>
  <c r="J221" i="49"/>
  <c r="K221" i="49" s="1"/>
  <c r="J254" i="49"/>
  <c r="K254" i="49" s="1"/>
  <c r="J57" i="49"/>
  <c r="J383" i="49"/>
  <c r="J285" i="49"/>
  <c r="K285" i="49" s="1"/>
  <c r="J318" i="49"/>
  <c r="K318" i="49" s="1"/>
  <c r="J93" i="49"/>
  <c r="K93" i="49" s="1"/>
  <c r="J126" i="49" l="1"/>
  <c r="K126" i="49" s="1"/>
  <c r="J190" i="49"/>
  <c r="K190" i="49" s="1"/>
  <c r="K189" i="49"/>
  <c r="K57" i="49"/>
  <c r="J349" i="49"/>
  <c r="K349" i="49" s="1"/>
  <c r="A152" i="49"/>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H27" i="11"/>
  <c r="G10" i="71"/>
  <c r="K14" i="48"/>
  <c r="K79" i="48"/>
  <c r="K15" i="48"/>
  <c r="J255" i="49"/>
  <c r="K255" i="49" s="1"/>
  <c r="J286" i="49"/>
  <c r="K286" i="49" s="1"/>
  <c r="J157" i="49"/>
  <c r="K157" i="49" s="1"/>
  <c r="J222" i="49"/>
  <c r="K222" i="49" s="1"/>
  <c r="J58" i="49"/>
  <c r="J384" i="49"/>
  <c r="J191" i="49"/>
  <c r="K191" i="49" s="1"/>
  <c r="J94" i="49"/>
  <c r="K94" i="49" s="1"/>
  <c r="J319" i="49"/>
  <c r="K319" i="49" s="1"/>
  <c r="J127" i="49" l="1"/>
  <c r="K127" i="49" s="1"/>
  <c r="J350" i="49"/>
  <c r="K350" i="49" s="1"/>
  <c r="J59" i="49"/>
  <c r="K58" i="49"/>
  <c r="A185" i="49"/>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G11" i="71"/>
  <c r="H28" i="11"/>
  <c r="K51" i="48"/>
  <c r="K80" i="48"/>
  <c r="K16" i="48"/>
  <c r="A119" i="48"/>
  <c r="J72" i="48"/>
  <c r="J287" i="49"/>
  <c r="K287" i="49" s="1"/>
  <c r="J223" i="49"/>
  <c r="K223" i="49" s="1"/>
  <c r="J95" i="49"/>
  <c r="K95" i="49" s="1"/>
  <c r="J320" i="49"/>
  <c r="K320" i="49" s="1"/>
  <c r="K59" i="49"/>
  <c r="J158" i="49"/>
  <c r="K158" i="49" s="1"/>
  <c r="J256" i="49"/>
  <c r="K256" i="49" s="1"/>
  <c r="J192" i="49"/>
  <c r="K192" i="49" s="1"/>
  <c r="J385" i="49"/>
  <c r="J128" i="49"/>
  <c r="K128" i="49" s="1"/>
  <c r="J351" i="49" l="1"/>
  <c r="J60" i="49"/>
  <c r="A216" i="49"/>
  <c r="A217" i="49" s="1"/>
  <c r="A218" i="49" s="1"/>
  <c r="A219" i="49" s="1"/>
  <c r="A220" i="49" s="1"/>
  <c r="A221" i="49" s="1"/>
  <c r="A222" i="49" s="1"/>
  <c r="A223" i="49" s="1"/>
  <c r="A224" i="49" s="1"/>
  <c r="A225" i="49" s="1"/>
  <c r="A226" i="49" s="1"/>
  <c r="A227" i="49" s="1"/>
  <c r="A228" i="49" s="1"/>
  <c r="A229" i="49" s="1"/>
  <c r="A230" i="49" s="1"/>
  <c r="A231" i="49" s="1"/>
  <c r="A232" i="49" s="1"/>
  <c r="A233" i="49" s="1"/>
  <c r="A234" i="49" s="1"/>
  <c r="A235" i="49" s="1"/>
  <c r="A236" i="49" s="1"/>
  <c r="A237" i="49" s="1"/>
  <c r="G12" i="71"/>
  <c r="H29" i="11"/>
  <c r="K52" i="48"/>
  <c r="K81" i="48"/>
  <c r="K17" i="48"/>
  <c r="A120" i="48"/>
  <c r="A121" i="48" s="1"/>
  <c r="A122" i="48" s="1"/>
  <c r="A123" i="48" s="1"/>
  <c r="A124" i="48" s="1"/>
  <c r="A125" i="48" s="1"/>
  <c r="A126" i="48" s="1"/>
  <c r="A127" i="48" s="1"/>
  <c r="A128" i="48" s="1"/>
  <c r="A129" i="48" s="1"/>
  <c r="A130" i="48" s="1"/>
  <c r="J224" i="49"/>
  <c r="K224" i="49" s="1"/>
  <c r="J386" i="49"/>
  <c r="J321" i="49"/>
  <c r="K321" i="49" s="1"/>
  <c r="J288" i="49"/>
  <c r="K288" i="49" s="1"/>
  <c r="J193" i="49"/>
  <c r="K193" i="49" s="1"/>
  <c r="J257" i="49"/>
  <c r="K257" i="49" s="1"/>
  <c r="J96" i="49"/>
  <c r="K96" i="49" s="1"/>
  <c r="J129" i="49"/>
  <c r="K129" i="49" s="1"/>
  <c r="K60" i="49"/>
  <c r="J159" i="49"/>
  <c r="K159" i="49" s="1"/>
  <c r="J352" i="49" l="1"/>
  <c r="K352" i="49" s="1"/>
  <c r="K351" i="49"/>
  <c r="J61" i="49"/>
  <c r="A238" i="49"/>
  <c r="A239" i="49" s="1"/>
  <c r="A240" i="49" s="1"/>
  <c r="A241" i="49" s="1"/>
  <c r="A249" i="49" s="1"/>
  <c r="A250" i="49" s="1"/>
  <c r="A251" i="49" s="1"/>
  <c r="A252" i="49" s="1"/>
  <c r="A253" i="49" s="1"/>
  <c r="A254" i="49" s="1"/>
  <c r="A255" i="49" s="1"/>
  <c r="A256" i="49" s="1"/>
  <c r="A257" i="49" s="1"/>
  <c r="A258" i="49" s="1"/>
  <c r="A259" i="49" s="1"/>
  <c r="A260" i="49" s="1"/>
  <c r="A261" i="49" s="1"/>
  <c r="A262" i="49" s="1"/>
  <c r="A263" i="49" s="1"/>
  <c r="A264" i="49" s="1"/>
  <c r="A265" i="49" s="1"/>
  <c r="A266" i="49" s="1"/>
  <c r="A267" i="49" s="1"/>
  <c r="A268" i="49" s="1"/>
  <c r="A269" i="49" s="1"/>
  <c r="A270" i="49" s="1"/>
  <c r="A271" i="49" s="1"/>
  <c r="F130" i="48"/>
  <c r="A131" i="48"/>
  <c r="A132" i="48" s="1"/>
  <c r="A133" i="48" s="1"/>
  <c r="F131" i="48"/>
  <c r="K82" i="48"/>
  <c r="K18" i="48"/>
  <c r="K53" i="48"/>
  <c r="J130" i="49"/>
  <c r="K130" i="49" s="1"/>
  <c r="J160" i="49"/>
  <c r="K160" i="49" s="1"/>
  <c r="J289" i="49"/>
  <c r="K289" i="49" s="1"/>
  <c r="J97" i="49"/>
  <c r="K97" i="49" s="1"/>
  <c r="J258" i="49"/>
  <c r="K258" i="49" s="1"/>
  <c r="J353" i="49"/>
  <c r="K353" i="49" s="1"/>
  <c r="J387" i="49"/>
  <c r="J322" i="49"/>
  <c r="K322" i="49" s="1"/>
  <c r="J194" i="49"/>
  <c r="K194" i="49" s="1"/>
  <c r="J225" i="49"/>
  <c r="K225" i="49" s="1"/>
  <c r="K61" i="49" l="1"/>
  <c r="F133" i="48"/>
  <c r="H30" i="11"/>
  <c r="A272" i="49"/>
  <c r="A273" i="49" s="1"/>
  <c r="A274" i="49" s="1"/>
  <c r="A280" i="49" s="1"/>
  <c r="A281" i="49" s="1"/>
  <c r="A282" i="49" s="1"/>
  <c r="A283" i="49" s="1"/>
  <c r="A284" i="49" s="1"/>
  <c r="A285" i="49" s="1"/>
  <c r="A286" i="49" s="1"/>
  <c r="A287" i="49" s="1"/>
  <c r="A288" i="49" s="1"/>
  <c r="A289" i="49" s="1"/>
  <c r="A290" i="49" s="1"/>
  <c r="A291" i="49" s="1"/>
  <c r="A292" i="49" s="1"/>
  <c r="A293" i="49" s="1"/>
  <c r="A294" i="49" s="1"/>
  <c r="A295" i="49" s="1"/>
  <c r="A296" i="49" s="1"/>
  <c r="A297" i="49" s="1"/>
  <c r="A298" i="49" s="1"/>
  <c r="A299" i="49" s="1"/>
  <c r="A300" i="49" s="1"/>
  <c r="A301" i="49" s="1"/>
  <c r="A302" i="49" s="1"/>
  <c r="A303" i="49" s="1"/>
  <c r="A304" i="49" s="1"/>
  <c r="A305" i="49" s="1"/>
  <c r="G13" i="71"/>
  <c r="K54" i="48"/>
  <c r="K83" i="48"/>
  <c r="K19" i="48"/>
  <c r="J226" i="49"/>
  <c r="K226" i="49" s="1"/>
  <c r="J290" i="49"/>
  <c r="K290" i="49" s="1"/>
  <c r="J354" i="49"/>
  <c r="K354" i="49" s="1"/>
  <c r="J195" i="49"/>
  <c r="K195" i="49" s="1"/>
  <c r="J259" i="49"/>
  <c r="K259" i="49" s="1"/>
  <c r="J161" i="49"/>
  <c r="K62" i="49"/>
  <c r="J323" i="49"/>
  <c r="K323" i="49" s="1"/>
  <c r="J62" i="49"/>
  <c r="J131" i="49"/>
  <c r="K131" i="49" s="1"/>
  <c r="J388" i="49"/>
  <c r="J98" i="49"/>
  <c r="K98" i="49" s="1"/>
  <c r="J63" i="49" l="1"/>
  <c r="K161" i="49"/>
  <c r="H31" i="11"/>
  <c r="G14" i="71"/>
  <c r="A313" i="49"/>
  <c r="A314" i="49" s="1"/>
  <c r="A315" i="49" s="1"/>
  <c r="A316" i="49" s="1"/>
  <c r="A317" i="49" s="1"/>
  <c r="A318" i="49" s="1"/>
  <c r="A319" i="49" s="1"/>
  <c r="A320" i="49" s="1"/>
  <c r="A321" i="49" s="1"/>
  <c r="A322" i="49" s="1"/>
  <c r="A323" i="49" s="1"/>
  <c r="A324" i="49" s="1"/>
  <c r="A325" i="49" s="1"/>
  <c r="A326" i="49" s="1"/>
  <c r="A327" i="49" s="1"/>
  <c r="A328" i="49" s="1"/>
  <c r="A329" i="49" s="1"/>
  <c r="A330" i="49" s="1"/>
  <c r="A331" i="49" s="1"/>
  <c r="A332" i="49" s="1"/>
  <c r="A333" i="49" s="1"/>
  <c r="A334" i="49" s="1"/>
  <c r="G15" i="71"/>
  <c r="H32" i="11"/>
  <c r="K84" i="48"/>
  <c r="K20" i="48"/>
  <c r="K55" i="48"/>
  <c r="J324" i="49"/>
  <c r="K324" i="49" s="1"/>
  <c r="J355" i="49"/>
  <c r="K355" i="49" s="1"/>
  <c r="J99" i="49"/>
  <c r="K99" i="49" s="1"/>
  <c r="J389" i="49"/>
  <c r="J162" i="49"/>
  <c r="K63" i="49"/>
  <c r="J291" i="49"/>
  <c r="K291" i="49" s="1"/>
  <c r="J132" i="49"/>
  <c r="K132" i="49" s="1"/>
  <c r="J260" i="49"/>
  <c r="K260" i="49" s="1"/>
  <c r="J227" i="49"/>
  <c r="K227" i="49" s="1"/>
  <c r="J196" i="49"/>
  <c r="K196" i="49" s="1"/>
  <c r="J64" i="49" l="1"/>
  <c r="K162" i="49"/>
  <c r="K64" i="49" s="1"/>
  <c r="A335" i="49"/>
  <c r="A336" i="49" s="1"/>
  <c r="A337" i="49" s="1"/>
  <c r="A338" i="49" s="1"/>
  <c r="A344" i="49" s="1"/>
  <c r="A345" i="49" s="1"/>
  <c r="A346" i="49" s="1"/>
  <c r="A347" i="49" s="1"/>
  <c r="A348" i="49" s="1"/>
  <c r="A349" i="49" s="1"/>
  <c r="A350" i="49" s="1"/>
  <c r="A351" i="49" s="1"/>
  <c r="A352" i="49" s="1"/>
  <c r="A353" i="49" s="1"/>
  <c r="A354" i="49" s="1"/>
  <c r="A355" i="49" s="1"/>
  <c r="A356" i="49" s="1"/>
  <c r="A357" i="49" s="1"/>
  <c r="A358" i="49" s="1"/>
  <c r="A359" i="49" s="1"/>
  <c r="A360" i="49" s="1"/>
  <c r="A361" i="49" s="1"/>
  <c r="A362" i="49" s="1"/>
  <c r="A363" i="49" s="1"/>
  <c r="A364" i="49" s="1"/>
  <c r="A365" i="49" s="1"/>
  <c r="H33" i="11"/>
  <c r="K56" i="48"/>
  <c r="K85" i="48"/>
  <c r="K21" i="48"/>
  <c r="J197" i="49"/>
  <c r="K197" i="49" s="1"/>
  <c r="J356" i="49"/>
  <c r="K356" i="49" s="1"/>
  <c r="J133" i="49"/>
  <c r="K133" i="49" s="1"/>
  <c r="J390" i="49"/>
  <c r="J325" i="49"/>
  <c r="K325" i="49" s="1"/>
  <c r="J228" i="49"/>
  <c r="K228" i="49" s="1"/>
  <c r="J292" i="49"/>
  <c r="K292" i="49" s="1"/>
  <c r="J261" i="49"/>
  <c r="K261" i="49" s="1"/>
  <c r="J100" i="49"/>
  <c r="K100" i="49" s="1"/>
  <c r="J163" i="49"/>
  <c r="K163" i="49" s="1"/>
  <c r="A366" i="49" l="1"/>
  <c r="A367" i="49" s="1"/>
  <c r="A368" i="49" s="1"/>
  <c r="A369" i="49" s="1"/>
  <c r="G17" i="71" s="1"/>
  <c r="G16" i="71"/>
  <c r="K86" i="48"/>
  <c r="K22" i="48"/>
  <c r="K57" i="48"/>
  <c r="J101" i="49"/>
  <c r="K101" i="49" s="1"/>
  <c r="J357" i="49"/>
  <c r="K357" i="49" s="1"/>
  <c r="J326" i="49"/>
  <c r="K326" i="49" s="1"/>
  <c r="J198" i="49"/>
  <c r="K198" i="49" s="1"/>
  <c r="J262" i="49"/>
  <c r="K262" i="49" s="1"/>
  <c r="J391" i="49"/>
  <c r="K65" i="49"/>
  <c r="J164" i="49"/>
  <c r="J293" i="49"/>
  <c r="K293" i="49" s="1"/>
  <c r="J134" i="49"/>
  <c r="K134" i="49" s="1"/>
  <c r="J65" i="49"/>
  <c r="J229" i="49"/>
  <c r="K229" i="49" s="1"/>
  <c r="J66" i="49" l="1"/>
  <c r="K164" i="49"/>
  <c r="H34" i="11"/>
  <c r="A377" i="49"/>
  <c r="A378" i="49" s="1"/>
  <c r="A379" i="49" s="1"/>
  <c r="A380" i="49" s="1"/>
  <c r="A381" i="49" s="1"/>
  <c r="A382" i="49" s="1"/>
  <c r="A383" i="49" s="1"/>
  <c r="A384" i="49" s="1"/>
  <c r="A385" i="49" s="1"/>
  <c r="A386" i="49" s="1"/>
  <c r="A387" i="49" s="1"/>
  <c r="A388" i="49" s="1"/>
  <c r="A389" i="49" s="1"/>
  <c r="A390" i="49" s="1"/>
  <c r="A391" i="49" s="1"/>
  <c r="A392" i="49" s="1"/>
  <c r="A393" i="49" s="1"/>
  <c r="A394" i="49" s="1"/>
  <c r="A395" i="49" s="1"/>
  <c r="A396" i="49" s="1"/>
  <c r="A397" i="49" s="1"/>
  <c r="A398" i="49" s="1"/>
  <c r="K87" i="48"/>
  <c r="K23" i="48"/>
  <c r="K58" i="48"/>
  <c r="J135" i="49"/>
  <c r="K135" i="49" s="1"/>
  <c r="J358" i="49"/>
  <c r="K358" i="49" s="1"/>
  <c r="J294" i="49"/>
  <c r="K294" i="49" s="1"/>
  <c r="J263" i="49"/>
  <c r="K263" i="49" s="1"/>
  <c r="J102" i="49"/>
  <c r="K102" i="49" s="1"/>
  <c r="J230" i="49"/>
  <c r="K230" i="49" s="1"/>
  <c r="J165" i="49"/>
  <c r="K165" i="49" s="1"/>
  <c r="J199" i="49"/>
  <c r="K199" i="49" s="1"/>
  <c r="J392" i="49"/>
  <c r="J327" i="49"/>
  <c r="K327" i="49" s="1"/>
  <c r="K66" i="49" l="1"/>
  <c r="A399" i="49"/>
  <c r="A400" i="49" s="1"/>
  <c r="A401" i="49" s="1"/>
  <c r="A402" i="49" s="1"/>
  <c r="G18" i="71" s="1"/>
  <c r="K88" i="48"/>
  <c r="K24" i="48"/>
  <c r="K59" i="48"/>
  <c r="J393" i="49"/>
  <c r="J103" i="49"/>
  <c r="K103" i="49" s="1"/>
  <c r="J166" i="49"/>
  <c r="K166" i="49" s="1"/>
  <c r="K67" i="49"/>
  <c r="J295" i="49"/>
  <c r="K295" i="49" s="1"/>
  <c r="J200" i="49"/>
  <c r="K200" i="49" s="1"/>
  <c r="J67" i="49"/>
  <c r="J136" i="49"/>
  <c r="K136" i="49" s="1"/>
  <c r="J231" i="49"/>
  <c r="K231" i="49" s="1"/>
  <c r="J359" i="49"/>
  <c r="K359" i="49" s="1"/>
  <c r="J328" i="49"/>
  <c r="K328" i="49" s="1"/>
  <c r="J264" i="49"/>
  <c r="K264" i="49" s="1"/>
  <c r="K89" i="48" l="1"/>
  <c r="K25" i="48"/>
  <c r="K60" i="48"/>
  <c r="J167" i="49"/>
  <c r="J137" i="49"/>
  <c r="K137" i="49" s="1"/>
  <c r="J360" i="49"/>
  <c r="K360" i="49" s="1"/>
  <c r="J329" i="49"/>
  <c r="K329" i="49" s="1"/>
  <c r="J104" i="49"/>
  <c r="K104" i="49" s="1"/>
  <c r="J265" i="49"/>
  <c r="K265" i="49" s="1"/>
  <c r="J232" i="49"/>
  <c r="K232" i="49" s="1"/>
  <c r="J68" i="49"/>
  <c r="J201" i="49"/>
  <c r="K201" i="49" s="1"/>
  <c r="J296" i="49"/>
  <c r="K296" i="49" s="1"/>
  <c r="J394" i="49"/>
  <c r="J69" i="49" l="1"/>
  <c r="K167" i="49"/>
  <c r="K68" i="49"/>
  <c r="K90" i="48"/>
  <c r="K26" i="48"/>
  <c r="K61" i="48"/>
  <c r="J330" i="49"/>
  <c r="K330" i="49" s="1"/>
  <c r="J361" i="49"/>
  <c r="K361" i="49" s="1"/>
  <c r="J233" i="49"/>
  <c r="K233" i="49" s="1"/>
  <c r="J266" i="49"/>
  <c r="K266" i="49" s="1"/>
  <c r="J105" i="49"/>
  <c r="K105" i="49" s="1"/>
  <c r="J395" i="49"/>
  <c r="J297" i="49"/>
  <c r="K297" i="49" s="1"/>
  <c r="J202" i="49"/>
  <c r="K202" i="49" s="1"/>
  <c r="J138" i="49"/>
  <c r="K138" i="49" s="1"/>
  <c r="K69" i="49"/>
  <c r="J168" i="49"/>
  <c r="K168" i="49" s="1"/>
  <c r="K62" i="48" l="1"/>
  <c r="K91" i="48"/>
  <c r="K27" i="48"/>
  <c r="J267" i="49"/>
  <c r="K267" i="49" s="1"/>
  <c r="J169" i="49"/>
  <c r="K70" i="49"/>
  <c r="J234" i="49"/>
  <c r="K234" i="49" s="1"/>
  <c r="J139" i="49"/>
  <c r="K139" i="49" s="1"/>
  <c r="J70" i="49"/>
  <c r="J331" i="49"/>
  <c r="K331" i="49" s="1"/>
  <c r="J298" i="49"/>
  <c r="K298" i="49" s="1"/>
  <c r="J396" i="49"/>
  <c r="J362" i="49"/>
  <c r="K362" i="49" s="1"/>
  <c r="J203" i="49"/>
  <c r="K203" i="49" s="1"/>
  <c r="J106" i="49"/>
  <c r="K106" i="49" s="1"/>
  <c r="J71" i="49" l="1"/>
  <c r="K169" i="49"/>
  <c r="K63" i="48"/>
  <c r="K92" i="48"/>
  <c r="K28" i="48"/>
  <c r="J397" i="49"/>
  <c r="J235" i="49"/>
  <c r="K235" i="49" s="1"/>
  <c r="J107" i="49"/>
  <c r="K107" i="49" s="1"/>
  <c r="J332" i="49"/>
  <c r="K332" i="49" s="1"/>
  <c r="J204" i="49"/>
  <c r="K204" i="49" s="1"/>
  <c r="J363" i="49"/>
  <c r="K363" i="49" s="1"/>
  <c r="J140" i="49"/>
  <c r="K140" i="49" s="1"/>
  <c r="J299" i="49"/>
  <c r="K299" i="49" s="1"/>
  <c r="J170" i="49"/>
  <c r="J268" i="49"/>
  <c r="K268" i="49" s="1"/>
  <c r="J72" i="49" l="1"/>
  <c r="K170" i="49"/>
  <c r="K72" i="49" s="1"/>
  <c r="K71" i="49"/>
  <c r="K64" i="48"/>
  <c r="K93" i="48"/>
  <c r="K29" i="48"/>
  <c r="J108" i="49"/>
  <c r="K108" i="49" s="1"/>
  <c r="J205" i="49"/>
  <c r="K205" i="49" s="1"/>
  <c r="J171" i="49"/>
  <c r="K171" i="49" s="1"/>
  <c r="J141" i="49"/>
  <c r="K141" i="49" s="1"/>
  <c r="J269" i="49"/>
  <c r="K269" i="49" s="1"/>
  <c r="J364" i="49"/>
  <c r="K364" i="49" s="1"/>
  <c r="J236" i="49"/>
  <c r="K236" i="49" s="1"/>
  <c r="J300" i="49"/>
  <c r="K300" i="49" s="1"/>
  <c r="J333" i="49"/>
  <c r="K333" i="49" s="1"/>
  <c r="J398" i="49"/>
  <c r="J399" i="49" l="1"/>
  <c r="K94" i="48"/>
  <c r="K30" i="48"/>
  <c r="K65" i="48"/>
  <c r="J172" i="49"/>
  <c r="K172" i="49" s="1"/>
  <c r="K73" i="49"/>
  <c r="J270" i="49"/>
  <c r="K270" i="49" s="1"/>
  <c r="J334" i="49"/>
  <c r="K334" i="49" s="1"/>
  <c r="J301" i="49"/>
  <c r="K301" i="49" s="1"/>
  <c r="J142" i="49"/>
  <c r="K142" i="49" s="1"/>
  <c r="J109" i="49"/>
  <c r="J74" i="49"/>
  <c r="J237" i="49"/>
  <c r="K237" i="49" s="1"/>
  <c r="J206" i="49"/>
  <c r="K206" i="49" s="1"/>
  <c r="J365" i="49"/>
  <c r="K365" i="49" s="1"/>
  <c r="J73" i="49"/>
  <c r="J110" i="49" l="1"/>
  <c r="K110" i="49" s="1"/>
  <c r="K109" i="49"/>
  <c r="K66" i="48"/>
  <c r="J400" i="49"/>
  <c r="J366" i="49"/>
  <c r="K366" i="49" s="1"/>
  <c r="J335" i="49"/>
  <c r="K335" i="49" s="1"/>
  <c r="J302" i="49"/>
  <c r="K302" i="49" s="1"/>
  <c r="J271" i="49"/>
  <c r="K271" i="49" s="1"/>
  <c r="J238" i="49"/>
  <c r="K238" i="49" s="1"/>
  <c r="J207" i="49"/>
  <c r="K207" i="49" s="1"/>
  <c r="J143" i="49"/>
  <c r="K143" i="49" s="1"/>
  <c r="K95" i="48"/>
  <c r="K31" i="48"/>
  <c r="K74" i="49"/>
  <c r="J173" i="49"/>
  <c r="K173" i="49" s="1"/>
  <c r="J111" i="49" l="1"/>
  <c r="K111" i="49" s="1"/>
  <c r="K67" i="48"/>
  <c r="J401" i="49"/>
  <c r="K402" i="49" s="1"/>
  <c r="J367" i="49"/>
  <c r="K367" i="49" s="1"/>
  <c r="J336" i="49"/>
  <c r="K336" i="49" s="1"/>
  <c r="J303" i="49"/>
  <c r="K303" i="49" s="1"/>
  <c r="J272" i="49"/>
  <c r="K272" i="49" s="1"/>
  <c r="J239" i="49"/>
  <c r="K239" i="49" s="1"/>
  <c r="J208" i="49"/>
  <c r="K208" i="49" s="1"/>
  <c r="K75" i="49"/>
  <c r="J174" i="49"/>
  <c r="J144" i="49"/>
  <c r="K144" i="49" s="1"/>
  <c r="J112" i="49"/>
  <c r="K112" i="49" s="1"/>
  <c r="K96" i="48"/>
  <c r="K97" i="48" s="1"/>
  <c r="K98" i="48" s="1"/>
  <c r="K99" i="48" s="1"/>
  <c r="K32" i="48"/>
  <c r="J75" i="49"/>
  <c r="J76" i="49" l="1"/>
  <c r="K174" i="49"/>
  <c r="K35" i="48"/>
  <c r="K34" i="48"/>
  <c r="K113" i="49"/>
  <c r="G26" i="11" s="1"/>
  <c r="F19" i="71"/>
  <c r="F18" i="71"/>
  <c r="K68" i="48"/>
  <c r="K36" i="48" s="1"/>
  <c r="J368" i="49"/>
  <c r="K368" i="49" s="1"/>
  <c r="J337" i="49"/>
  <c r="K337" i="49" s="1"/>
  <c r="J304" i="49"/>
  <c r="K304" i="49" s="1"/>
  <c r="J273" i="49"/>
  <c r="K273" i="49" s="1"/>
  <c r="J240" i="49"/>
  <c r="K240" i="49" s="1"/>
  <c r="J209" i="49"/>
  <c r="K209" i="49" s="1"/>
  <c r="J175" i="49"/>
  <c r="K76" i="49"/>
  <c r="J145" i="49"/>
  <c r="K145" i="49" s="1"/>
  <c r="K33" i="48"/>
  <c r="J77" i="49" l="1"/>
  <c r="K175" i="49"/>
  <c r="F9" i="71"/>
  <c r="K37" i="48"/>
  <c r="C41" i="57" s="1"/>
  <c r="K241" i="49"/>
  <c r="K305" i="49"/>
  <c r="K369" i="49"/>
  <c r="K146" i="49"/>
  <c r="K210" i="49"/>
  <c r="K274" i="49"/>
  <c r="K338" i="49"/>
  <c r="K77" i="49"/>
  <c r="J176" i="49"/>
  <c r="K176" i="49" s="1"/>
  <c r="I124" i="1"/>
  <c r="J78" i="49" l="1"/>
  <c r="K78" i="49"/>
  <c r="K177" i="49"/>
  <c r="G28" i="11" s="1"/>
  <c r="F10" i="71"/>
  <c r="G27" i="11"/>
  <c r="G33" i="11"/>
  <c r="F16" i="71"/>
  <c r="F17" i="71"/>
  <c r="G34" i="11"/>
  <c r="F14" i="71"/>
  <c r="G31" i="11"/>
  <c r="G32" i="11"/>
  <c r="F15" i="71"/>
  <c r="G29" i="11"/>
  <c r="F12" i="71"/>
  <c r="F13" i="71"/>
  <c r="G30" i="11"/>
  <c r="G192" i="15"/>
  <c r="G193" i="15" s="1"/>
  <c r="G184" i="15"/>
  <c r="G185" i="15" s="1"/>
  <c r="D162" i="15"/>
  <c r="I147" i="15"/>
  <c r="A147" i="15"/>
  <c r="I145" i="15"/>
  <c r="H145" i="15"/>
  <c r="G145" i="15"/>
  <c r="F145" i="15"/>
  <c r="A137" i="15"/>
  <c r="A138" i="15" s="1"/>
  <c r="A139" i="15" s="1"/>
  <c r="A140" i="15" s="1"/>
  <c r="A141" i="15" s="1"/>
  <c r="I132" i="15"/>
  <c r="A112" i="15"/>
  <c r="A113" i="15" s="1"/>
  <c r="A114" i="15" s="1"/>
  <c r="A115" i="15" s="1"/>
  <c r="A116" i="15" s="1"/>
  <c r="A117" i="15" s="1"/>
  <c r="A118" i="15" s="1"/>
  <c r="A119" i="15" s="1"/>
  <c r="A120" i="15" s="1"/>
  <c r="A121" i="15" s="1"/>
  <c r="A122" i="15" s="1"/>
  <c r="A123" i="15" s="1"/>
  <c r="A130" i="15" s="1"/>
  <c r="E103" i="15"/>
  <c r="A99" i="15"/>
  <c r="A100" i="15" s="1"/>
  <c r="I98" i="15"/>
  <c r="H98" i="15"/>
  <c r="D98" i="15"/>
  <c r="A87" i="15"/>
  <c r="A88" i="15" s="1"/>
  <c r="A89" i="15" s="1"/>
  <c r="A90" i="15" s="1"/>
  <c r="A91" i="15" s="1"/>
  <c r="A92" i="15" s="1"/>
  <c r="A93" i="15" s="1"/>
  <c r="A94" i="15" s="1"/>
  <c r="A95" i="15" s="1"/>
  <c r="I75" i="15"/>
  <c r="A75" i="15"/>
  <c r="E80" i="15" s="1"/>
  <c r="I73" i="15"/>
  <c r="H73" i="15"/>
  <c r="G73" i="15"/>
  <c r="F73" i="15"/>
  <c r="D73" i="15"/>
  <c r="A67" i="15"/>
  <c r="A68" i="15" s="1"/>
  <c r="A69" i="15" s="1"/>
  <c r="A70" i="15" s="1"/>
  <c r="D62" i="15"/>
  <c r="F41" i="15"/>
  <c r="F62" i="15" s="1"/>
  <c r="A31" i="15"/>
  <c r="A11" i="15"/>
  <c r="A12" i="15" s="1"/>
  <c r="A13" i="15" s="1"/>
  <c r="E40" i="15" l="1"/>
  <c r="H40" i="15" s="1"/>
  <c r="E44" i="15"/>
  <c r="H44" i="15" s="1"/>
  <c r="E39" i="15"/>
  <c r="H39" i="15" s="1"/>
  <c r="E37" i="15"/>
  <c r="H37" i="15" s="1"/>
  <c r="E38" i="15"/>
  <c r="H38" i="15" s="1"/>
  <c r="E33" i="15"/>
  <c r="H33" i="15" s="1"/>
  <c r="E116" i="15"/>
  <c r="G116" i="15" s="1"/>
  <c r="E114" i="15"/>
  <c r="G114" i="15" s="1"/>
  <c r="E32" i="15"/>
  <c r="G32" i="15" s="1"/>
  <c r="E31" i="15"/>
  <c r="E115" i="15"/>
  <c r="G115" i="15" s="1"/>
  <c r="E42" i="15"/>
  <c r="G42" i="15" s="1"/>
  <c r="E36" i="15"/>
  <c r="G36" i="15" s="1"/>
  <c r="K79" i="49"/>
  <c r="C42" i="57" s="1"/>
  <c r="F11" i="71"/>
  <c r="F98" i="15"/>
  <c r="F100" i="15" s="1"/>
  <c r="I100" i="15"/>
  <c r="E14" i="15"/>
  <c r="A14" i="15"/>
  <c r="E19" i="15" s="1"/>
  <c r="E98" i="15"/>
  <c r="A148" i="15"/>
  <c r="A149" i="15" s="1"/>
  <c r="E12" i="15" s="1"/>
  <c r="D75" i="15"/>
  <c r="G98" i="15"/>
  <c r="E73" i="15"/>
  <c r="F75" i="15"/>
  <c r="F77" i="15" s="1"/>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60" i="15" s="1"/>
  <c r="I62" i="15"/>
  <c r="D145" i="15"/>
  <c r="E145" i="15"/>
  <c r="H132" i="15"/>
  <c r="H147" i="15" s="1"/>
  <c r="A103" i="15"/>
  <c r="E11" i="15"/>
  <c r="D132" i="15"/>
  <c r="A76" i="15"/>
  <c r="A77" i="15" s="1"/>
  <c r="E152" i="15"/>
  <c r="G31" i="15" l="1"/>
  <c r="E62" i="15"/>
  <c r="E75" i="15" s="1"/>
  <c r="D82" i="7"/>
  <c r="A15" i="15"/>
  <c r="A16" i="15" s="1"/>
  <c r="A17" i="15" s="1"/>
  <c r="A18" i="15" s="1"/>
  <c r="A19" i="15" s="1"/>
  <c r="A20" i="15" s="1"/>
  <c r="A21" i="15" s="1"/>
  <c r="A22" i="15" s="1"/>
  <c r="A23" i="15" s="1"/>
  <c r="A24" i="15" s="1"/>
  <c r="A152" i="15"/>
  <c r="A160" i="15" s="1"/>
  <c r="G132" i="15"/>
  <c r="G147" i="15" s="1"/>
  <c r="I149" i="15"/>
  <c r="G62" i="15"/>
  <c r="G75" i="15" s="1"/>
  <c r="H62" i="15"/>
  <c r="H75" i="15" s="1"/>
  <c r="A80" i="15"/>
  <c r="E10" i="15"/>
  <c r="D147" i="15"/>
  <c r="I77" i="15"/>
  <c r="F132" i="15"/>
  <c r="F147" i="15" s="1"/>
  <c r="F149" i="15" s="1"/>
  <c r="E132" i="15"/>
  <c r="E147" i="15" s="1"/>
  <c r="A161" i="15"/>
  <c r="A162" i="15" s="1"/>
  <c r="E24" i="15" l="1"/>
  <c r="A163" i="15"/>
  <c r="A164" i="15" s="1"/>
  <c r="E13" i="15" s="1"/>
  <c r="I162" i="15"/>
  <c r="I164" i="15" l="1"/>
  <c r="A62" i="2"/>
  <c r="E42" i="30" l="1"/>
  <c r="E22" i="30" s="1"/>
  <c r="E41" i="30"/>
  <c r="D22" i="30" s="1"/>
  <c r="F102" i="8" l="1"/>
  <c r="F97" i="8"/>
  <c r="F83" i="8"/>
  <c r="E83" i="8"/>
  <c r="E86" i="8" s="1"/>
  <c r="F95" i="8"/>
  <c r="F94" i="8"/>
  <c r="E72" i="7"/>
  <c r="G79" i="46"/>
  <c r="G78" i="46"/>
  <c r="J10" i="28" l="1"/>
  <c r="C12" i="72"/>
  <c r="L10" i="28" s="1"/>
  <c r="F23" i="22" l="1"/>
  <c r="G23" i="22"/>
  <c r="A11" i="22"/>
  <c r="A12" i="22" s="1"/>
  <c r="A13" i="22" s="1"/>
  <c r="A14" i="22" s="1"/>
  <c r="A15" i="22" s="1"/>
  <c r="A16" i="22" s="1"/>
  <c r="A17" i="22" s="1"/>
  <c r="A18" i="22" s="1"/>
  <c r="A19" i="22" s="1"/>
  <c r="A20" i="22" s="1"/>
  <c r="A10" i="22"/>
  <c r="A21" i="22" l="1"/>
  <c r="A67" i="44" l="1"/>
  <c r="A68" i="44" s="1"/>
  <c r="A69" i="44" s="1"/>
  <c r="A70" i="44" s="1"/>
  <c r="A30" i="44"/>
  <c r="A18" i="44"/>
  <c r="G81" i="44" l="1"/>
  <c r="A77" i="44"/>
  <c r="I108" i="1"/>
  <c r="A108" i="1" l="1"/>
  <c r="K108" i="1" l="1"/>
  <c r="E73" i="7" l="1"/>
  <c r="H193" i="61" l="1"/>
  <c r="H196" i="61" s="1"/>
  <c r="M193" i="61" l="1"/>
  <c r="F193" i="61"/>
  <c r="N193" i="61" s="1"/>
  <c r="G193" i="61" l="1"/>
  <c r="I193" i="61"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D125" i="2" l="1"/>
  <c r="D126" i="2" s="1"/>
  <c r="F163" i="46" s="1"/>
  <c r="D119" i="2"/>
  <c r="D120" i="2" s="1"/>
  <c r="F162" i="46" s="1"/>
  <c r="D113" i="2"/>
  <c r="D114" i="2" s="1"/>
  <c r="F161" i="46" s="1"/>
  <c r="D107" i="2"/>
  <c r="D108" i="2" s="1"/>
  <c r="F145" i="46" s="1"/>
  <c r="D101" i="2"/>
  <c r="D102" i="2" s="1"/>
  <c r="F141" i="46" s="1"/>
  <c r="D95" i="2"/>
  <c r="D96" i="2" s="1"/>
  <c r="F136" i="46" s="1"/>
  <c r="D89" i="2"/>
  <c r="D90" i="2" s="1"/>
  <c r="F134" i="46" s="1"/>
  <c r="D83" i="2"/>
  <c r="D84" i="2" s="1"/>
  <c r="F133" i="46" s="1"/>
  <c r="D77" i="2"/>
  <c r="D78" i="2" s="1"/>
  <c r="F132" i="46" s="1"/>
  <c r="D71" i="2"/>
  <c r="D72" i="2" s="1"/>
  <c r="F122" i="46" s="1"/>
  <c r="D65" i="2"/>
  <c r="D66" i="2" s="1"/>
  <c r="F121" i="46" s="1"/>
  <c r="D59" i="2"/>
  <c r="D60" i="2" s="1"/>
  <c r="D53" i="2"/>
  <c r="D54" i="2" s="1"/>
  <c r="D47" i="2"/>
  <c r="D48" i="2" s="1"/>
  <c r="F106" i="46" s="1"/>
  <c r="D41" i="2"/>
  <c r="D42" i="2" s="1"/>
  <c r="F105" i="46" s="1"/>
  <c r="D35" i="2"/>
  <c r="D36" i="2" s="1"/>
  <c r="F143" i="46" l="1"/>
  <c r="F109" i="46"/>
  <c r="F100" i="46"/>
  <c r="F101" i="46"/>
  <c r="F99" i="46"/>
  <c r="F108" i="46"/>
  <c r="F140" i="46"/>
  <c r="F139" i="46"/>
  <c r="F138" i="46"/>
  <c r="C29" i="46"/>
  <c r="L29" i="46"/>
  <c r="E115" i="46" s="1"/>
  <c r="K29" i="46"/>
  <c r="G29" i="46"/>
  <c r="I59" i="72"/>
  <c r="I58" i="72"/>
  <c r="C115" i="46" l="1"/>
  <c r="D115" i="46"/>
  <c r="I64" i="72"/>
  <c r="L40" i="28" s="1"/>
  <c r="H72" i="72"/>
  <c r="H71" i="72"/>
  <c r="H70" i="72"/>
  <c r="H74" i="72" l="1"/>
  <c r="L39" i="28" s="1"/>
  <c r="E45" i="21"/>
  <c r="E44" i="21"/>
  <c r="B190" i="71" l="1"/>
  <c r="B187" i="71"/>
  <c r="E21" i="2"/>
  <c r="E20" i="2"/>
  <c r="E12" i="2"/>
  <c r="E11" i="2"/>
  <c r="E41" i="71"/>
  <c r="H27" i="8"/>
  <c r="H25" i="8"/>
  <c r="H23" i="8"/>
  <c r="H9" i="8"/>
  <c r="H8" i="8"/>
  <c r="G40" i="32"/>
  <c r="G34" i="32"/>
  <c r="G28" i="32"/>
  <c r="G20" i="32"/>
  <c r="G14" i="32"/>
  <c r="G41" i="32"/>
  <c r="G35" i="32"/>
  <c r="G29" i="32"/>
  <c r="G21" i="32"/>
  <c r="G15" i="32"/>
  <c r="B37" i="31"/>
  <c r="G10" i="31"/>
  <c r="G9" i="31"/>
  <c r="B99" i="44"/>
  <c r="B194" i="71"/>
  <c r="B184" i="71"/>
  <c r="B183" i="71"/>
  <c r="F141" i="71"/>
  <c r="F140" i="71"/>
  <c r="F114" i="71"/>
  <c r="F54" i="71"/>
  <c r="F47" i="71"/>
  <c r="D87" i="46"/>
  <c r="G90" i="12"/>
  <c r="J49" i="28"/>
  <c r="J47" i="28"/>
  <c r="J46" i="28"/>
  <c r="J32" i="28"/>
  <c r="J8" i="28"/>
  <c r="G68" i="8"/>
  <c r="G70" i="8"/>
  <c r="H61" i="8"/>
  <c r="E58" i="7"/>
  <c r="E54" i="7"/>
  <c r="E51" i="7"/>
  <c r="E39" i="7"/>
  <c r="I135" i="1"/>
  <c r="I134" i="1"/>
  <c r="I133" i="1"/>
  <c r="I130" i="1"/>
  <c r="I128" i="1"/>
  <c r="I126" i="1"/>
  <c r="I100" i="1"/>
  <c r="I32" i="1"/>
  <c r="I30" i="1"/>
  <c r="I26" i="1"/>
  <c r="I22" i="1"/>
  <c r="I12" i="1"/>
  <c r="I11" i="1"/>
  <c r="D71" i="17" l="1"/>
  <c r="D7" i="17" s="1"/>
  <c r="F209" i="61" l="1"/>
  <c r="F210" i="61"/>
  <c r="F207" i="61"/>
  <c r="F213" i="61"/>
  <c r="G31" i="57" l="1"/>
  <c r="F48" i="71"/>
  <c r="F55" i="71"/>
  <c r="C36" i="71"/>
  <c r="F34" i="71"/>
  <c r="J45" i="8" l="1"/>
  <c r="E70" i="8" l="1"/>
  <c r="C108" i="26" l="1"/>
  <c r="G98" i="12"/>
  <c r="E19" i="55"/>
  <c r="E17" i="55"/>
  <c r="E18" i="55"/>
  <c r="G33" i="57"/>
  <c r="A33" i="57"/>
  <c r="A34" i="57" s="1"/>
  <c r="A35" i="57" s="1"/>
  <c r="A36" i="57" s="1"/>
  <c r="A37" i="57" s="1"/>
  <c r="A38" i="57" s="1"/>
  <c r="A39" i="57" s="1"/>
  <c r="A40" i="57" s="1"/>
  <c r="A41" i="57" s="1"/>
  <c r="A42" i="57" s="1"/>
  <c r="A43" i="57" s="1"/>
  <c r="A44" i="57" s="1"/>
  <c r="A45" i="57" s="1"/>
  <c r="A46" i="57" s="1"/>
  <c r="A47" i="57" s="1"/>
  <c r="A32" i="57"/>
  <c r="I21" i="45"/>
  <c r="L23" i="4" l="1"/>
  <c r="L24" i="64" s="1"/>
  <c r="C128" i="48" s="1"/>
  <c r="E128" i="48" s="1"/>
  <c r="K23" i="4"/>
  <c r="K24" i="64" s="1"/>
  <c r="C127" i="48" s="1"/>
  <c r="E127" i="48" s="1"/>
  <c r="J23" i="4"/>
  <c r="J24" i="64" s="1"/>
  <c r="C126" i="48" s="1"/>
  <c r="E126" i="48" s="1"/>
  <c r="I23" i="4"/>
  <c r="I24" i="64" s="1"/>
  <c r="C125" i="48" s="1"/>
  <c r="E125" i="48" s="1"/>
  <c r="H23" i="4"/>
  <c r="H24" i="64" s="1"/>
  <c r="C124" i="48" s="1"/>
  <c r="E124" i="48" s="1"/>
  <c r="G23" i="4"/>
  <c r="G24" i="64" s="1"/>
  <c r="C123" i="48" s="1"/>
  <c r="E123" i="48" s="1"/>
  <c r="F23" i="4"/>
  <c r="F24" i="64" s="1"/>
  <c r="C122" i="48" s="1"/>
  <c r="E122" i="48" s="1"/>
  <c r="E23" i="4"/>
  <c r="E24" i="64" s="1"/>
  <c r="C121" i="48" s="1"/>
  <c r="E121" i="48" l="1"/>
  <c r="E130" i="48" s="1"/>
  <c r="E131" i="48"/>
  <c r="F70" i="26"/>
  <c r="H57" i="26"/>
  <c r="F64" i="26"/>
  <c r="E133" i="48" l="1"/>
  <c r="L92" i="48" s="1"/>
  <c r="G63" i="22"/>
  <c r="G69" i="22"/>
  <c r="G46" i="22"/>
  <c r="G34" i="22"/>
  <c r="C57" i="22"/>
  <c r="L96" i="48" l="1"/>
  <c r="L46" i="48"/>
  <c r="M46" i="48" s="1"/>
  <c r="L97" i="48"/>
  <c r="L98" i="48"/>
  <c r="L99" i="48"/>
  <c r="L85" i="48"/>
  <c r="L81" i="48"/>
  <c r="L89" i="48"/>
  <c r="L95" i="48"/>
  <c r="L62" i="48"/>
  <c r="L87" i="48"/>
  <c r="L55" i="48"/>
  <c r="L79" i="48"/>
  <c r="L65" i="48"/>
  <c r="L61" i="48"/>
  <c r="L29" i="48" s="1"/>
  <c r="L58" i="48"/>
  <c r="L26" i="48" s="1"/>
  <c r="L53" i="48"/>
  <c r="L78" i="48"/>
  <c r="L93" i="48"/>
  <c r="L60" i="48"/>
  <c r="L86" i="48"/>
  <c r="L52" i="48"/>
  <c r="L48" i="48"/>
  <c r="L66" i="48"/>
  <c r="L67" i="48"/>
  <c r="L68" i="48"/>
  <c r="L54" i="48"/>
  <c r="L50" i="48"/>
  <c r="L49" i="48"/>
  <c r="L64" i="48"/>
  <c r="L91" i="48"/>
  <c r="L59" i="48"/>
  <c r="L56" i="48"/>
  <c r="L83" i="48"/>
  <c r="L51" i="48"/>
  <c r="L47" i="48"/>
  <c r="L94" i="48"/>
  <c r="L63" i="48"/>
  <c r="L90" i="48"/>
  <c r="L88" i="48"/>
  <c r="L57" i="48"/>
  <c r="L84" i="48"/>
  <c r="L82" i="48"/>
  <c r="L80" i="48"/>
  <c r="L77" i="48"/>
  <c r="M77" i="48" s="1"/>
  <c r="N77" i="48" s="1"/>
  <c r="L33" i="48"/>
  <c r="F69" i="22"/>
  <c r="F46" i="22" s="1"/>
  <c r="F63" i="22"/>
  <c r="F34" i="22" s="1"/>
  <c r="L20" i="48" l="1"/>
  <c r="L18" i="48"/>
  <c r="L34" i="48"/>
  <c r="L36" i="48"/>
  <c r="L21" i="48"/>
  <c r="L35" i="48"/>
  <c r="L16" i="48"/>
  <c r="L22" i="48"/>
  <c r="L30" i="48"/>
  <c r="L23" i="48"/>
  <c r="L15" i="48"/>
  <c r="M78" i="48"/>
  <c r="N78" i="48" s="1"/>
  <c r="L24" i="48"/>
  <c r="L14" i="48"/>
  <c r="L28" i="48"/>
  <c r="L19" i="48"/>
  <c r="L32" i="48"/>
  <c r="L17" i="48"/>
  <c r="L27" i="48"/>
  <c r="L31" i="48"/>
  <c r="L25" i="48"/>
  <c r="F49" i="22"/>
  <c r="M14" i="48"/>
  <c r="N46" i="48"/>
  <c r="N14" i="48" s="1"/>
  <c r="M47" i="48"/>
  <c r="N190" i="61"/>
  <c r="J190" i="61"/>
  <c r="M190" i="61" s="1"/>
  <c r="G190" i="61"/>
  <c r="I190" i="61" s="1"/>
  <c r="E196" i="61"/>
  <c r="M79" i="48" l="1"/>
  <c r="N79" i="48" s="1"/>
  <c r="M15" i="48"/>
  <c r="N47" i="48"/>
  <c r="N15" i="48" s="1"/>
  <c r="M48" i="48"/>
  <c r="K44" i="1"/>
  <c r="K52" i="1" s="1"/>
  <c r="B112" i="12"/>
  <c r="E129" i="21"/>
  <c r="M80" i="48" l="1"/>
  <c r="M81" i="48" s="1"/>
  <c r="M16" i="48"/>
  <c r="N48" i="48"/>
  <c r="N16" i="48" s="1"/>
  <c r="M49" i="48"/>
  <c r="K133" i="1"/>
  <c r="N80" i="48" l="1"/>
  <c r="N81" i="48"/>
  <c r="M82" i="48"/>
  <c r="M50" i="48"/>
  <c r="N50" i="48" s="1"/>
  <c r="M17" i="48"/>
  <c r="N49" i="48"/>
  <c r="C8" i="72"/>
  <c r="L8" i="28" s="1"/>
  <c r="A34" i="72"/>
  <c r="J50" i="28" s="1"/>
  <c r="A26" i="72"/>
  <c r="J33" i="28" s="1"/>
  <c r="C32" i="72"/>
  <c r="L49" i="28" s="1"/>
  <c r="A22" i="72"/>
  <c r="A10" i="72"/>
  <c r="C34" i="72"/>
  <c r="L50" i="28" s="1"/>
  <c r="C30" i="72"/>
  <c r="L46" i="28" s="1"/>
  <c r="C28" i="72"/>
  <c r="L34" i="28" s="1"/>
  <c r="L48" i="28" s="1"/>
  <c r="C26" i="72"/>
  <c r="L33" i="28" s="1"/>
  <c r="C24" i="72"/>
  <c r="C14" i="72"/>
  <c r="L11" i="28" s="1"/>
  <c r="C10" i="72"/>
  <c r="L9" i="28" s="1"/>
  <c r="N18" i="48" l="1"/>
  <c r="N17" i="48"/>
  <c r="M51" i="48"/>
  <c r="M18" i="48"/>
  <c r="N82" i="48"/>
  <c r="M83" i="48"/>
  <c r="L16" i="28"/>
  <c r="A14" i="72"/>
  <c r="J9" i="28"/>
  <c r="L32" i="28"/>
  <c r="L47" i="28"/>
  <c r="A28" i="72"/>
  <c r="J34" i="28" s="1"/>
  <c r="N83" i="48" l="1"/>
  <c r="M84" i="48"/>
  <c r="M52" i="48"/>
  <c r="N51" i="48"/>
  <c r="N19" i="48" s="1"/>
  <c r="M19" i="48"/>
  <c r="A16" i="72"/>
  <c r="J11" i="28"/>
  <c r="M53" i="48" l="1"/>
  <c r="M20" i="48"/>
  <c r="N52" i="48"/>
  <c r="N20" i="48" s="1"/>
  <c r="N84" i="48"/>
  <c r="M85" i="48"/>
  <c r="A18" i="72"/>
  <c r="M54" i="48" l="1"/>
  <c r="M21" i="48"/>
  <c r="N53" i="48"/>
  <c r="N21" i="48" s="1"/>
  <c r="N85" i="48"/>
  <c r="M86" i="48"/>
  <c r="L41" i="28"/>
  <c r="A9" i="28"/>
  <c r="M55" i="48" l="1"/>
  <c r="N54" i="48"/>
  <c r="N22" i="48" s="1"/>
  <c r="M22" i="48"/>
  <c r="N86" i="48"/>
  <c r="M87" i="48"/>
  <c r="A11" i="28"/>
  <c r="A12" i="28" s="1"/>
  <c r="A13" i="28" s="1"/>
  <c r="L51" i="28"/>
  <c r="L35" i="28"/>
  <c r="L43" i="28" s="1"/>
  <c r="M23" i="48" l="1"/>
  <c r="M56" i="48"/>
  <c r="N55" i="48"/>
  <c r="N23" i="48" s="1"/>
  <c r="N87" i="48"/>
  <c r="M88" i="48"/>
  <c r="J16" i="28"/>
  <c r="A14" i="28"/>
  <c r="E41" i="57"/>
  <c r="N88" i="48" l="1"/>
  <c r="M89" i="48"/>
  <c r="M24" i="48"/>
  <c r="N56" i="48"/>
  <c r="N24" i="48" s="1"/>
  <c r="M57" i="48"/>
  <c r="E51" i="63"/>
  <c r="E50" i="63"/>
  <c r="E49" i="63"/>
  <c r="E48" i="63"/>
  <c r="E45" i="63"/>
  <c r="E44" i="63"/>
  <c r="E43" i="63"/>
  <c r="E42" i="63"/>
  <c r="E41" i="63"/>
  <c r="E40" i="63"/>
  <c r="E39" i="63"/>
  <c r="E38" i="63"/>
  <c r="E37" i="63"/>
  <c r="E36" i="63"/>
  <c r="E35" i="63"/>
  <c r="E34" i="63"/>
  <c r="E33" i="63"/>
  <c r="E32" i="63"/>
  <c r="E31" i="63"/>
  <c r="E30" i="63"/>
  <c r="E29" i="63"/>
  <c r="M25" i="48" l="1"/>
  <c r="M58" i="48"/>
  <c r="N57" i="48"/>
  <c r="N25" i="48" s="1"/>
  <c r="N89" i="48"/>
  <c r="M90" i="48"/>
  <c r="E27" i="12"/>
  <c r="E26" i="12"/>
  <c r="E25" i="12"/>
  <c r="N90" i="48" l="1"/>
  <c r="M91" i="48"/>
  <c r="N58" i="48"/>
  <c r="N26" i="48" s="1"/>
  <c r="M26" i="48"/>
  <c r="M59" i="48"/>
  <c r="A15" i="28"/>
  <c r="M60" i="48" l="1"/>
  <c r="N59" i="48"/>
  <c r="N27" i="48" s="1"/>
  <c r="M27" i="48"/>
  <c r="N91" i="48"/>
  <c r="M92" i="48"/>
  <c r="A16" i="28"/>
  <c r="I63" i="1" s="1"/>
  <c r="N60" i="48" l="1"/>
  <c r="N28" i="48" s="1"/>
  <c r="M61" i="48"/>
  <c r="M28" i="48"/>
  <c r="N92" i="48"/>
  <c r="M93" i="48"/>
  <c r="A19" i="28"/>
  <c r="J27" i="28" s="1"/>
  <c r="N93" i="48" l="1"/>
  <c r="M94" i="48"/>
  <c r="M62" i="48"/>
  <c r="M29" i="48"/>
  <c r="N61" i="48"/>
  <c r="N29" i="48" s="1"/>
  <c r="A20" i="28"/>
  <c r="A21" i="28" s="1"/>
  <c r="A22" i="28" s="1"/>
  <c r="A23" i="28" s="1"/>
  <c r="A25" i="28" s="1"/>
  <c r="A26" i="28" s="1"/>
  <c r="A27" i="28" s="1"/>
  <c r="I64" i="1" s="1"/>
  <c r="M63" i="48" l="1"/>
  <c r="M30" i="48"/>
  <c r="N62" i="48"/>
  <c r="N30" i="48" s="1"/>
  <c r="N94" i="48"/>
  <c r="M95" i="48"/>
  <c r="A29" i="28"/>
  <c r="I65" i="1" s="1"/>
  <c r="J29" i="28"/>
  <c r="A32" i="28"/>
  <c r="A33" i="28" s="1"/>
  <c r="H302" i="11"/>
  <c r="G302" i="11"/>
  <c r="H301" i="11"/>
  <c r="G301" i="11"/>
  <c r="H300" i="11"/>
  <c r="G300" i="11"/>
  <c r="H299" i="11"/>
  <c r="G299" i="11"/>
  <c r="H298" i="11"/>
  <c r="G298" i="11"/>
  <c r="H297" i="11"/>
  <c r="G297" i="11"/>
  <c r="H296" i="11"/>
  <c r="G296" i="11"/>
  <c r="H295" i="11"/>
  <c r="G295" i="11"/>
  <c r="H294" i="11"/>
  <c r="G294" i="11"/>
  <c r="H293" i="11"/>
  <c r="G293" i="11"/>
  <c r="H292" i="11"/>
  <c r="G292" i="11"/>
  <c r="H291" i="11"/>
  <c r="G291" i="11"/>
  <c r="H290" i="11"/>
  <c r="G290" i="11"/>
  <c r="H283" i="11"/>
  <c r="G283" i="11"/>
  <c r="H282" i="11"/>
  <c r="G282" i="11"/>
  <c r="H281" i="11"/>
  <c r="G281" i="11"/>
  <c r="H280" i="11"/>
  <c r="G280" i="11"/>
  <c r="H279" i="11"/>
  <c r="G279" i="11"/>
  <c r="H278" i="11"/>
  <c r="G278" i="11"/>
  <c r="H277" i="11"/>
  <c r="G277" i="11"/>
  <c r="H276" i="11"/>
  <c r="G276" i="11"/>
  <c r="H275" i="11"/>
  <c r="G275" i="11"/>
  <c r="H274" i="11"/>
  <c r="G274" i="11"/>
  <c r="H273" i="11"/>
  <c r="G273" i="11"/>
  <c r="H272" i="11"/>
  <c r="G272" i="11"/>
  <c r="H271" i="11"/>
  <c r="G271" i="11"/>
  <c r="H264" i="11"/>
  <c r="G264" i="11"/>
  <c r="H263" i="11"/>
  <c r="G263" i="11"/>
  <c r="H262" i="11"/>
  <c r="G262" i="11"/>
  <c r="H261" i="11"/>
  <c r="G261" i="11"/>
  <c r="H260" i="11"/>
  <c r="G260" i="11"/>
  <c r="H259" i="11"/>
  <c r="G259" i="11"/>
  <c r="H258" i="11"/>
  <c r="G258" i="11"/>
  <c r="H257" i="11"/>
  <c r="G257" i="11"/>
  <c r="H256" i="11"/>
  <c r="G256" i="11"/>
  <c r="H255" i="11"/>
  <c r="G255" i="11"/>
  <c r="H254" i="11"/>
  <c r="G254" i="11"/>
  <c r="H253" i="11"/>
  <c r="G253" i="11"/>
  <c r="H252" i="11"/>
  <c r="G252" i="11"/>
  <c r="H245" i="11"/>
  <c r="G245" i="11"/>
  <c r="H244" i="11"/>
  <c r="G244" i="11"/>
  <c r="H243" i="11"/>
  <c r="G243" i="11"/>
  <c r="H242" i="11"/>
  <c r="G242" i="11"/>
  <c r="H241" i="11"/>
  <c r="G241" i="11"/>
  <c r="H240" i="11"/>
  <c r="G240" i="11"/>
  <c r="H239" i="11"/>
  <c r="G239" i="11"/>
  <c r="H238" i="11"/>
  <c r="G238" i="11"/>
  <c r="H237" i="11"/>
  <c r="G237" i="11"/>
  <c r="H236" i="11"/>
  <c r="G236" i="11"/>
  <c r="H235" i="11"/>
  <c r="G235" i="11"/>
  <c r="H234" i="11"/>
  <c r="G234" i="11"/>
  <c r="H233" i="11"/>
  <c r="G233" i="11"/>
  <c r="H226" i="11"/>
  <c r="G226" i="11"/>
  <c r="H225" i="11"/>
  <c r="G225" i="11"/>
  <c r="H224" i="11"/>
  <c r="G224" i="11"/>
  <c r="H223" i="11"/>
  <c r="G223" i="11"/>
  <c r="H222" i="11"/>
  <c r="G222" i="11"/>
  <c r="H221" i="11"/>
  <c r="G221" i="11"/>
  <c r="H220" i="11"/>
  <c r="G220" i="11"/>
  <c r="H219" i="11"/>
  <c r="G219" i="11"/>
  <c r="H218" i="11"/>
  <c r="G218" i="11"/>
  <c r="H217" i="11"/>
  <c r="G217" i="11"/>
  <c r="H216" i="11"/>
  <c r="G216" i="11"/>
  <c r="H215" i="11"/>
  <c r="G215" i="11"/>
  <c r="H214" i="11"/>
  <c r="G214" i="11"/>
  <c r="H207" i="11"/>
  <c r="G207" i="11"/>
  <c r="H206" i="11"/>
  <c r="G206" i="11"/>
  <c r="H205" i="11"/>
  <c r="G205" i="11"/>
  <c r="H204" i="11"/>
  <c r="G204" i="11"/>
  <c r="H203" i="11"/>
  <c r="G203" i="11"/>
  <c r="H202" i="11"/>
  <c r="G202" i="11"/>
  <c r="H201" i="11"/>
  <c r="G201" i="11"/>
  <c r="H200" i="11"/>
  <c r="G200" i="11"/>
  <c r="H199" i="11"/>
  <c r="G199" i="11"/>
  <c r="H198" i="11"/>
  <c r="G198" i="11"/>
  <c r="H197" i="11"/>
  <c r="G197" i="11"/>
  <c r="H196" i="11"/>
  <c r="G196" i="11"/>
  <c r="H195" i="11"/>
  <c r="G195" i="11"/>
  <c r="H188" i="11"/>
  <c r="G188" i="11"/>
  <c r="H187" i="11"/>
  <c r="G187" i="11"/>
  <c r="H186" i="11"/>
  <c r="G186" i="11"/>
  <c r="H185" i="11"/>
  <c r="G185" i="11"/>
  <c r="H184" i="11"/>
  <c r="G184" i="11"/>
  <c r="H183" i="11"/>
  <c r="G183" i="11"/>
  <c r="H182" i="11"/>
  <c r="G182" i="11"/>
  <c r="H181" i="11"/>
  <c r="G181" i="11"/>
  <c r="H180" i="11"/>
  <c r="G180" i="11"/>
  <c r="H179" i="11"/>
  <c r="G179" i="11"/>
  <c r="H178" i="11"/>
  <c r="G178" i="11"/>
  <c r="H177" i="11"/>
  <c r="G177" i="11"/>
  <c r="H176" i="11"/>
  <c r="G176" i="11"/>
  <c r="H169" i="11"/>
  <c r="G169" i="11"/>
  <c r="G84" i="11" s="1"/>
  <c r="H168" i="11"/>
  <c r="G168" i="11"/>
  <c r="G83" i="11" s="1"/>
  <c r="H167" i="11"/>
  <c r="G167" i="11"/>
  <c r="G82" i="11" s="1"/>
  <c r="H166" i="11"/>
  <c r="G166" i="11"/>
  <c r="G81" i="11" s="1"/>
  <c r="H165" i="11"/>
  <c r="G165" i="11"/>
  <c r="G80" i="11" s="1"/>
  <c r="H164" i="11"/>
  <c r="G164" i="11"/>
  <c r="G79" i="11" s="1"/>
  <c r="H163" i="11"/>
  <c r="G163" i="11"/>
  <c r="G78" i="11" s="1"/>
  <c r="H162" i="11"/>
  <c r="G162" i="11"/>
  <c r="G77" i="11" s="1"/>
  <c r="H161" i="11"/>
  <c r="G161" i="11"/>
  <c r="G76" i="11" s="1"/>
  <c r="H160" i="11"/>
  <c r="G160" i="11"/>
  <c r="G75" i="11" s="1"/>
  <c r="H159" i="11"/>
  <c r="G159" i="11"/>
  <c r="G74" i="11" s="1"/>
  <c r="H158" i="11"/>
  <c r="G158" i="11"/>
  <c r="G73" i="11" s="1"/>
  <c r="H157" i="11"/>
  <c r="G157" i="11"/>
  <c r="G72" i="11" s="1"/>
  <c r="H149" i="11"/>
  <c r="G149" i="11"/>
  <c r="H84" i="11" s="1"/>
  <c r="H148" i="11"/>
  <c r="G148" i="11"/>
  <c r="H83" i="11" s="1"/>
  <c r="H147" i="11"/>
  <c r="G147" i="11"/>
  <c r="H82" i="11" s="1"/>
  <c r="H146" i="11"/>
  <c r="G146" i="11"/>
  <c r="H81" i="11" s="1"/>
  <c r="H145" i="11"/>
  <c r="G145" i="11"/>
  <c r="H80" i="11" s="1"/>
  <c r="H144" i="11"/>
  <c r="G144" i="11"/>
  <c r="H79" i="11" s="1"/>
  <c r="H143" i="11"/>
  <c r="G143" i="11"/>
  <c r="H78" i="11" s="1"/>
  <c r="H142" i="11"/>
  <c r="G142" i="11"/>
  <c r="H77" i="11" s="1"/>
  <c r="H141" i="11"/>
  <c r="G141" i="11"/>
  <c r="H76" i="11" s="1"/>
  <c r="H140" i="11"/>
  <c r="G140" i="11"/>
  <c r="H75" i="11" s="1"/>
  <c r="H139" i="11"/>
  <c r="G139" i="11"/>
  <c r="H74" i="11" s="1"/>
  <c r="H138" i="11"/>
  <c r="G138" i="11"/>
  <c r="H73" i="11" s="1"/>
  <c r="H137" i="11"/>
  <c r="G137" i="11"/>
  <c r="H72" i="11" s="1"/>
  <c r="H129" i="11"/>
  <c r="G129" i="11"/>
  <c r="F84" i="11" s="1"/>
  <c r="H128" i="11"/>
  <c r="G128" i="11"/>
  <c r="F83" i="11" s="1"/>
  <c r="H127" i="11"/>
  <c r="G127" i="11"/>
  <c r="F82" i="11" s="1"/>
  <c r="H126" i="11"/>
  <c r="G126" i="11"/>
  <c r="F81" i="11" s="1"/>
  <c r="H125" i="11"/>
  <c r="G125" i="11"/>
  <c r="F80" i="11" s="1"/>
  <c r="H124" i="11"/>
  <c r="G124" i="11"/>
  <c r="F79" i="11" s="1"/>
  <c r="H123" i="11"/>
  <c r="G123" i="11"/>
  <c r="F78" i="11" s="1"/>
  <c r="H122" i="11"/>
  <c r="G122" i="11"/>
  <c r="F77" i="11" s="1"/>
  <c r="H121" i="11"/>
  <c r="G121" i="11"/>
  <c r="F76" i="11" s="1"/>
  <c r="H120" i="11"/>
  <c r="G120" i="11"/>
  <c r="F75" i="11" s="1"/>
  <c r="H119" i="11"/>
  <c r="G119" i="11"/>
  <c r="F74" i="11" s="1"/>
  <c r="H118" i="11"/>
  <c r="G118" i="11"/>
  <c r="F73" i="11" s="1"/>
  <c r="H117" i="11"/>
  <c r="G117" i="11"/>
  <c r="F72" i="11" s="1"/>
  <c r="F107" i="11"/>
  <c r="E97" i="11" l="1"/>
  <c r="G97" i="11" s="1"/>
  <c r="E105" i="11"/>
  <c r="G105" i="11" s="1"/>
  <c r="E101" i="11"/>
  <c r="G101" i="11" s="1"/>
  <c r="E99" i="11"/>
  <c r="G99" i="11" s="1"/>
  <c r="E103" i="11"/>
  <c r="G103" i="11" s="1"/>
  <c r="E95" i="11"/>
  <c r="G95" i="11" s="1"/>
  <c r="E94" i="11"/>
  <c r="G94" i="11" s="1"/>
  <c r="E96" i="11"/>
  <c r="G96" i="11" s="1"/>
  <c r="E98" i="11"/>
  <c r="G98" i="11" s="1"/>
  <c r="E100" i="11"/>
  <c r="G100" i="11" s="1"/>
  <c r="E102" i="11"/>
  <c r="G102" i="11" s="1"/>
  <c r="E104" i="11"/>
  <c r="G104" i="11" s="1"/>
  <c r="E106" i="11"/>
  <c r="G106" i="11" s="1"/>
  <c r="N95" i="48"/>
  <c r="M96" i="48"/>
  <c r="M64" i="48"/>
  <c r="M31" i="48"/>
  <c r="N63" i="48"/>
  <c r="N31" i="48" s="1"/>
  <c r="I47" i="28"/>
  <c r="A34" i="28"/>
  <c r="B57" i="28" s="1"/>
  <c r="N96" i="48" l="1"/>
  <c r="M97" i="48"/>
  <c r="G107" i="11"/>
  <c r="E107" i="11"/>
  <c r="M32" i="48"/>
  <c r="N64" i="48"/>
  <c r="N32" i="48" s="1"/>
  <c r="M65" i="48"/>
  <c r="M66" i="48" s="1"/>
  <c r="I48" i="28"/>
  <c r="A35" i="28"/>
  <c r="I68" i="1" s="1"/>
  <c r="J35" i="28"/>
  <c r="M34" i="48" l="1"/>
  <c r="N97" i="48"/>
  <c r="M98" i="48"/>
  <c r="N66" i="48"/>
  <c r="M67" i="48"/>
  <c r="N65" i="48"/>
  <c r="N33" i="48" s="1"/>
  <c r="M33" i="48"/>
  <c r="A38" i="28"/>
  <c r="A39" i="28" s="1"/>
  <c r="A40" i="28" s="1"/>
  <c r="A41" i="28" s="1"/>
  <c r="I69" i="1" s="1"/>
  <c r="B170" i="21"/>
  <c r="D156" i="21"/>
  <c r="M129" i="21"/>
  <c r="L129" i="21"/>
  <c r="K129" i="21"/>
  <c r="J129" i="21"/>
  <c r="I129" i="21"/>
  <c r="H129" i="21"/>
  <c r="G129" i="21"/>
  <c r="F129" i="21"/>
  <c r="D129" i="21"/>
  <c r="M83" i="21"/>
  <c r="L83" i="21"/>
  <c r="K83" i="21"/>
  <c r="J83" i="21"/>
  <c r="I83" i="21"/>
  <c r="H83" i="21"/>
  <c r="G83" i="21"/>
  <c r="F83" i="21"/>
  <c r="E83" i="21"/>
  <c r="D83" i="21"/>
  <c r="N82" i="21"/>
  <c r="N81" i="21"/>
  <c r="N80" i="21"/>
  <c r="N79" i="21"/>
  <c r="N78" i="21"/>
  <c r="N77" i="21"/>
  <c r="N76" i="21"/>
  <c r="N75" i="21"/>
  <c r="N74" i="21"/>
  <c r="N73" i="21"/>
  <c r="N72" i="21"/>
  <c r="N71" i="21"/>
  <c r="F58" i="21"/>
  <c r="E46" i="21"/>
  <c r="F51" i="21" s="1"/>
  <c r="F35" i="21"/>
  <c r="E35" i="21"/>
  <c r="D35" i="21"/>
  <c r="A35" i="21"/>
  <c r="H19" i="8" s="1"/>
  <c r="G34" i="21"/>
  <c r="G33" i="21"/>
  <c r="D25" i="21"/>
  <c r="A13" i="21"/>
  <c r="A14" i="21" s="1"/>
  <c r="A15" i="21" s="1"/>
  <c r="A16" i="21" s="1"/>
  <c r="A17" i="21" s="1"/>
  <c r="A18" i="21" s="1"/>
  <c r="A19" i="21" s="1"/>
  <c r="A20" i="21" s="1"/>
  <c r="A21" i="21" s="1"/>
  <c r="A22" i="21" s="1"/>
  <c r="A23" i="21" s="1"/>
  <c r="A24" i="21" s="1"/>
  <c r="M11" i="4"/>
  <c r="A12" i="4"/>
  <c r="A13" i="4" s="1"/>
  <c r="A14" i="4" s="1"/>
  <c r="A15" i="4" s="1"/>
  <c r="A16" i="4" s="1"/>
  <c r="A17" i="4" s="1"/>
  <c r="A18" i="4" s="1"/>
  <c r="A19" i="4" s="1"/>
  <c r="A20" i="4" s="1"/>
  <c r="A21" i="4" s="1"/>
  <c r="A22" i="4" s="1"/>
  <c r="A23" i="4" s="1"/>
  <c r="E36" i="7" s="1"/>
  <c r="M23" i="4"/>
  <c r="M24" i="64" s="1"/>
  <c r="F34" i="4"/>
  <c r="F35" i="4"/>
  <c r="D37" i="7" s="1"/>
  <c r="C36" i="4"/>
  <c r="D36" i="4"/>
  <c r="E36" i="4"/>
  <c r="H52" i="4"/>
  <c r="H53" i="4"/>
  <c r="F61" i="4" s="1"/>
  <c r="M74" i="4"/>
  <c r="M75" i="4"/>
  <c r="M76" i="4"/>
  <c r="M77" i="4"/>
  <c r="M78" i="4"/>
  <c r="M79" i="4"/>
  <c r="M80" i="4"/>
  <c r="M81" i="4"/>
  <c r="M82" i="4"/>
  <c r="M83" i="4"/>
  <c r="M84" i="4"/>
  <c r="M85" i="4"/>
  <c r="C86" i="4"/>
  <c r="D86" i="4"/>
  <c r="E86" i="4"/>
  <c r="F86" i="4"/>
  <c r="G86" i="4"/>
  <c r="H86" i="4"/>
  <c r="I86" i="4"/>
  <c r="J86" i="4"/>
  <c r="K86" i="4"/>
  <c r="L86" i="4"/>
  <c r="M94" i="4"/>
  <c r="M95" i="4"/>
  <c r="M96" i="4"/>
  <c r="M97" i="4"/>
  <c r="M98" i="4"/>
  <c r="M99" i="4"/>
  <c r="M100" i="4"/>
  <c r="M101" i="4"/>
  <c r="M102" i="4"/>
  <c r="M103" i="4"/>
  <c r="M104" i="4"/>
  <c r="M105" i="4"/>
  <c r="C106" i="4"/>
  <c r="C135" i="4" s="1"/>
  <c r="D106" i="4"/>
  <c r="D135" i="4" s="1"/>
  <c r="E106" i="4"/>
  <c r="E135" i="4" s="1"/>
  <c r="F106" i="4"/>
  <c r="F135" i="4" s="1"/>
  <c r="G106" i="4"/>
  <c r="G135" i="4" s="1"/>
  <c r="H106" i="4"/>
  <c r="H135" i="4" s="1"/>
  <c r="I106" i="4"/>
  <c r="I135" i="4" s="1"/>
  <c r="J106" i="4"/>
  <c r="J135" i="4" s="1"/>
  <c r="K106" i="4"/>
  <c r="K135" i="4" s="1"/>
  <c r="L106" i="4"/>
  <c r="L135" i="4" s="1"/>
  <c r="C114" i="4"/>
  <c r="D114" i="4"/>
  <c r="E114" i="4"/>
  <c r="F114" i="4"/>
  <c r="G114" i="4"/>
  <c r="H114" i="4"/>
  <c r="I114" i="4"/>
  <c r="J114" i="4"/>
  <c r="K114" i="4"/>
  <c r="L114" i="4"/>
  <c r="C115" i="4"/>
  <c r="D115" i="4"/>
  <c r="E115" i="4"/>
  <c r="F115" i="4"/>
  <c r="G115" i="4"/>
  <c r="H115" i="4"/>
  <c r="I115" i="4"/>
  <c r="J115" i="4"/>
  <c r="K115" i="4"/>
  <c r="L115" i="4"/>
  <c r="C116" i="4"/>
  <c r="D116" i="4"/>
  <c r="E116" i="4"/>
  <c r="F116" i="4"/>
  <c r="G116" i="4"/>
  <c r="H116" i="4"/>
  <c r="I116" i="4"/>
  <c r="J116" i="4"/>
  <c r="K116" i="4"/>
  <c r="L116" i="4"/>
  <c r="C117" i="4"/>
  <c r="D117" i="4"/>
  <c r="E117" i="4"/>
  <c r="F117" i="4"/>
  <c r="G117" i="4"/>
  <c r="H117" i="4"/>
  <c r="I117" i="4"/>
  <c r="J117" i="4"/>
  <c r="K117" i="4"/>
  <c r="L117" i="4"/>
  <c r="C118" i="4"/>
  <c r="D118" i="4"/>
  <c r="E118" i="4"/>
  <c r="F118" i="4"/>
  <c r="G118" i="4"/>
  <c r="H118" i="4"/>
  <c r="I118" i="4"/>
  <c r="J118" i="4"/>
  <c r="K118" i="4"/>
  <c r="L118" i="4"/>
  <c r="C119" i="4"/>
  <c r="D119" i="4"/>
  <c r="E119" i="4"/>
  <c r="F119" i="4"/>
  <c r="G119" i="4"/>
  <c r="H119" i="4"/>
  <c r="I119" i="4"/>
  <c r="J119" i="4"/>
  <c r="K119" i="4"/>
  <c r="L119" i="4"/>
  <c r="C120" i="4"/>
  <c r="D120" i="4"/>
  <c r="E120" i="4"/>
  <c r="F120" i="4"/>
  <c r="G120" i="4"/>
  <c r="H120" i="4"/>
  <c r="I120" i="4"/>
  <c r="J120" i="4"/>
  <c r="K120" i="4"/>
  <c r="L120" i="4"/>
  <c r="C121" i="4"/>
  <c r="D121" i="4"/>
  <c r="E121" i="4"/>
  <c r="F121" i="4"/>
  <c r="G121" i="4"/>
  <c r="H121" i="4"/>
  <c r="I121" i="4"/>
  <c r="J121" i="4"/>
  <c r="K121" i="4"/>
  <c r="L121" i="4"/>
  <c r="C122" i="4"/>
  <c r="D122" i="4"/>
  <c r="E122" i="4"/>
  <c r="F122" i="4"/>
  <c r="G122" i="4"/>
  <c r="H122" i="4"/>
  <c r="I122" i="4"/>
  <c r="J122" i="4"/>
  <c r="K122" i="4"/>
  <c r="L122" i="4"/>
  <c r="C123" i="4"/>
  <c r="D123" i="4"/>
  <c r="E123" i="4"/>
  <c r="F123" i="4"/>
  <c r="G123" i="4"/>
  <c r="H123" i="4"/>
  <c r="I123" i="4"/>
  <c r="J123" i="4"/>
  <c r="K123" i="4"/>
  <c r="L123" i="4"/>
  <c r="C124" i="4"/>
  <c r="D124" i="4"/>
  <c r="E124" i="4"/>
  <c r="F124" i="4"/>
  <c r="G124" i="4"/>
  <c r="H124" i="4"/>
  <c r="I124" i="4"/>
  <c r="J124" i="4"/>
  <c r="K124" i="4"/>
  <c r="L124" i="4"/>
  <c r="C125" i="4"/>
  <c r="D125" i="4"/>
  <c r="E125" i="4"/>
  <c r="F125" i="4"/>
  <c r="G125" i="4"/>
  <c r="H125" i="4"/>
  <c r="I125" i="4"/>
  <c r="J125" i="4"/>
  <c r="K125" i="4"/>
  <c r="L125" i="4"/>
  <c r="C131" i="4"/>
  <c r="D131" i="4"/>
  <c r="E131" i="4"/>
  <c r="F131" i="4"/>
  <c r="G131" i="4"/>
  <c r="H131" i="4"/>
  <c r="I131" i="4"/>
  <c r="J131" i="4"/>
  <c r="K131" i="4"/>
  <c r="L131" i="4"/>
  <c r="G24" i="2"/>
  <c r="G22" i="2"/>
  <c r="E126" i="4" l="1"/>
  <c r="J126" i="4"/>
  <c r="M35" i="48"/>
  <c r="N34" i="48"/>
  <c r="N98" i="48"/>
  <c r="M99" i="48"/>
  <c r="N99" i="48" s="1"/>
  <c r="M68" i="48"/>
  <c r="N67" i="48"/>
  <c r="I126" i="4"/>
  <c r="F126" i="4"/>
  <c r="L126" i="4"/>
  <c r="H126" i="4"/>
  <c r="K126" i="4"/>
  <c r="G126" i="4"/>
  <c r="C126" i="4"/>
  <c r="D126" i="4"/>
  <c r="F36" i="4"/>
  <c r="D43" i="4"/>
  <c r="M131" i="4"/>
  <c r="M12" i="64"/>
  <c r="D139" i="4"/>
  <c r="B176" i="4"/>
  <c r="L139" i="4"/>
  <c r="E38" i="7"/>
  <c r="I21" i="1"/>
  <c r="H139" i="4"/>
  <c r="M106" i="4"/>
  <c r="M135" i="4" s="1"/>
  <c r="F139" i="4"/>
  <c r="J139" i="4"/>
  <c r="K139" i="4"/>
  <c r="I139" i="4"/>
  <c r="I149" i="4" s="1"/>
  <c r="G139" i="4"/>
  <c r="E139" i="4"/>
  <c r="E149" i="4" s="1"/>
  <c r="C139" i="4"/>
  <c r="F56" i="4"/>
  <c r="G35" i="21"/>
  <c r="J19" i="8" s="1"/>
  <c r="M86" i="4"/>
  <c r="A44" i="21"/>
  <c r="A45" i="21" s="1"/>
  <c r="H46" i="21" s="1"/>
  <c r="A25" i="21"/>
  <c r="B174" i="21"/>
  <c r="K22" i="1"/>
  <c r="D39" i="7"/>
  <c r="N83" i="21"/>
  <c r="J41" i="28"/>
  <c r="J43" i="28"/>
  <c r="A43" i="28"/>
  <c r="I70" i="1" s="1"/>
  <c r="I147" i="4"/>
  <c r="M125" i="4"/>
  <c r="M124" i="4"/>
  <c r="M123" i="4"/>
  <c r="M122" i="4"/>
  <c r="M121" i="4"/>
  <c r="M120" i="4"/>
  <c r="M119" i="4"/>
  <c r="M118" i="4"/>
  <c r="M117" i="4"/>
  <c r="M116" i="4"/>
  <c r="M115" i="4"/>
  <c r="M114" i="4"/>
  <c r="A24" i="4"/>
  <c r="N129" i="21"/>
  <c r="K9" i="1"/>
  <c r="L154" i="4" l="1"/>
  <c r="E146" i="4"/>
  <c r="M139" i="4"/>
  <c r="C147" i="4"/>
  <c r="D150" i="4"/>
  <c r="I155" i="4"/>
  <c r="G149" i="4"/>
  <c r="F149" i="4"/>
  <c r="H155" i="4"/>
  <c r="C149" i="4"/>
  <c r="J149" i="4"/>
  <c r="N68" i="48"/>
  <c r="N36" i="48" s="1"/>
  <c r="M36" i="48"/>
  <c r="N35" i="48"/>
  <c r="H151" i="4"/>
  <c r="C148" i="4"/>
  <c r="H153" i="4"/>
  <c r="H148" i="4"/>
  <c r="C155" i="4"/>
  <c r="D146" i="4"/>
  <c r="D12" i="4" s="1"/>
  <c r="D13" i="64" s="1"/>
  <c r="D50" i="64" s="1"/>
  <c r="H150" i="4"/>
  <c r="H147" i="4"/>
  <c r="H157" i="4"/>
  <c r="H146" i="4"/>
  <c r="H12" i="4" s="1"/>
  <c r="H13" i="64" s="1"/>
  <c r="H50" i="64" s="1"/>
  <c r="K149" i="4"/>
  <c r="D148" i="4"/>
  <c r="G148" i="4"/>
  <c r="I150" i="4"/>
  <c r="L150" i="4"/>
  <c r="E156" i="4"/>
  <c r="G155" i="4"/>
  <c r="K152" i="4"/>
  <c r="G154" i="4"/>
  <c r="E150" i="4"/>
  <c r="E153" i="4"/>
  <c r="J148" i="4"/>
  <c r="J150" i="4"/>
  <c r="E148" i="4"/>
  <c r="E151" i="4"/>
  <c r="I154" i="4"/>
  <c r="I151" i="4"/>
  <c r="D155" i="4"/>
  <c r="F147" i="4"/>
  <c r="D149" i="4"/>
  <c r="F148" i="4"/>
  <c r="F150" i="4"/>
  <c r="E154" i="4"/>
  <c r="E155" i="4"/>
  <c r="I146" i="4"/>
  <c r="I12" i="4" s="1"/>
  <c r="I13" i="64" s="1"/>
  <c r="I50" i="64" s="1"/>
  <c r="L155" i="4"/>
  <c r="L152" i="4"/>
  <c r="D151" i="4"/>
  <c r="D156" i="4"/>
  <c r="L148" i="4"/>
  <c r="C154" i="4"/>
  <c r="C146" i="4"/>
  <c r="C12" i="4" s="1"/>
  <c r="C13" i="64" s="1"/>
  <c r="C50" i="64" s="1"/>
  <c r="C153" i="4"/>
  <c r="G152" i="4"/>
  <c r="G151" i="4"/>
  <c r="K156" i="4"/>
  <c r="D147" i="4"/>
  <c r="L153" i="4"/>
  <c r="D157" i="4"/>
  <c r="L149" i="4"/>
  <c r="D154" i="4"/>
  <c r="C152" i="4"/>
  <c r="C156" i="4"/>
  <c r="C151" i="4"/>
  <c r="K151" i="4"/>
  <c r="L151" i="4"/>
  <c r="L156" i="4"/>
  <c r="L146" i="4"/>
  <c r="L12" i="4" s="1"/>
  <c r="C150" i="4"/>
  <c r="C157" i="4"/>
  <c r="E152" i="4"/>
  <c r="E157" i="4"/>
  <c r="E147" i="4"/>
  <c r="G156" i="4"/>
  <c r="L147" i="4"/>
  <c r="D153" i="4"/>
  <c r="L157" i="4"/>
  <c r="D152" i="4"/>
  <c r="I156" i="4"/>
  <c r="I152" i="4"/>
  <c r="I148" i="4"/>
  <c r="I157" i="4"/>
  <c r="I153" i="4"/>
  <c r="F155" i="4"/>
  <c r="J155" i="4"/>
  <c r="G147" i="4"/>
  <c r="K148" i="4"/>
  <c r="K155" i="4"/>
  <c r="F151" i="4"/>
  <c r="F152" i="4"/>
  <c r="H152" i="4"/>
  <c r="G150" i="4"/>
  <c r="G146" i="4"/>
  <c r="G12" i="4" s="1"/>
  <c r="G157" i="4"/>
  <c r="G153" i="4"/>
  <c r="K154" i="4"/>
  <c r="K150" i="4"/>
  <c r="K146" i="4"/>
  <c r="K12" i="4" s="1"/>
  <c r="K13" i="64" s="1"/>
  <c r="K50" i="64" s="1"/>
  <c r="K157" i="4"/>
  <c r="K153" i="4"/>
  <c r="K147" i="4"/>
  <c r="F153" i="4"/>
  <c r="F157" i="4"/>
  <c r="F156" i="4"/>
  <c r="F146" i="4"/>
  <c r="F12" i="4" s="1"/>
  <c r="J152" i="4"/>
  <c r="H156" i="4"/>
  <c r="J147" i="4"/>
  <c r="J156" i="4"/>
  <c r="J146" i="4"/>
  <c r="J12" i="4" s="1"/>
  <c r="J13" i="64" s="1"/>
  <c r="J50" i="64" s="1"/>
  <c r="F154" i="4"/>
  <c r="J153" i="4"/>
  <c r="J157" i="4"/>
  <c r="J151" i="4"/>
  <c r="J154" i="4"/>
  <c r="H149" i="4"/>
  <c r="H154" i="4"/>
  <c r="A33" i="21"/>
  <c r="H35" i="21" s="1"/>
  <c r="H18" i="8"/>
  <c r="M126" i="4"/>
  <c r="A46" i="28"/>
  <c r="A47" i="28" s="1"/>
  <c r="A48" i="28" s="1"/>
  <c r="A49" i="28" s="1"/>
  <c r="B169" i="21"/>
  <c r="E12" i="4"/>
  <c r="A34" i="4"/>
  <c r="G58" i="21"/>
  <c r="A46" i="21"/>
  <c r="F100" i="12"/>
  <c r="B108" i="12"/>
  <c r="N37" i="48" l="1"/>
  <c r="D78" i="7" s="1"/>
  <c r="H13" i="4"/>
  <c r="H14" i="64" s="1"/>
  <c r="H51" i="64" s="1"/>
  <c r="D13" i="4"/>
  <c r="D14" i="64" s="1"/>
  <c r="D51" i="64" s="1"/>
  <c r="M153" i="4"/>
  <c r="M148" i="4"/>
  <c r="H158" i="4"/>
  <c r="M155" i="4"/>
  <c r="K158" i="4"/>
  <c r="I158" i="4"/>
  <c r="K13" i="4"/>
  <c r="K14" i="4" s="1"/>
  <c r="C13" i="4"/>
  <c r="C14" i="64" s="1"/>
  <c r="C51" i="64" s="1"/>
  <c r="D93" i="21" s="1"/>
  <c r="G13" i="64"/>
  <c r="G50" i="64" s="1"/>
  <c r="G13" i="4"/>
  <c r="G14" i="4" s="1"/>
  <c r="E158" i="4"/>
  <c r="M149" i="4"/>
  <c r="I13" i="4"/>
  <c r="I14" i="4" s="1"/>
  <c r="F158" i="4"/>
  <c r="H14" i="4"/>
  <c r="H15" i="64" s="1"/>
  <c r="H52" i="64" s="1"/>
  <c r="M154" i="4"/>
  <c r="M157" i="4"/>
  <c r="J158" i="4"/>
  <c r="G158" i="4"/>
  <c r="M146" i="4"/>
  <c r="M156" i="4"/>
  <c r="M150" i="4"/>
  <c r="M151" i="4"/>
  <c r="D158" i="4"/>
  <c r="M152" i="4"/>
  <c r="D92" i="21"/>
  <c r="F13" i="4"/>
  <c r="F13" i="64"/>
  <c r="F50" i="64" s="1"/>
  <c r="G92" i="21" s="1"/>
  <c r="E13" i="4"/>
  <c r="E13" i="64"/>
  <c r="E50" i="64" s="1"/>
  <c r="L13" i="4"/>
  <c r="L13" i="64"/>
  <c r="L50" i="64" s="1"/>
  <c r="M147" i="4"/>
  <c r="C158" i="4"/>
  <c r="L158" i="4"/>
  <c r="J13" i="4"/>
  <c r="B171" i="4"/>
  <c r="A50" i="28"/>
  <c r="M12" i="4"/>
  <c r="M13" i="64" s="1"/>
  <c r="A35" i="4"/>
  <c r="G51" i="21"/>
  <c r="A51" i="21"/>
  <c r="N92" i="21" l="1"/>
  <c r="D14" i="4"/>
  <c r="D15" i="64" s="1"/>
  <c r="D52" i="64" s="1"/>
  <c r="H15" i="4"/>
  <c r="H16" i="64" s="1"/>
  <c r="H53" i="64" s="1"/>
  <c r="I14" i="64"/>
  <c r="I51" i="64" s="1"/>
  <c r="M158" i="4"/>
  <c r="G14" i="64"/>
  <c r="G51" i="64" s="1"/>
  <c r="K14" i="64"/>
  <c r="K51" i="64" s="1"/>
  <c r="C14" i="4"/>
  <c r="C15" i="64" s="1"/>
  <c r="C52" i="64" s="1"/>
  <c r="D94" i="21" s="1"/>
  <c r="M13" i="4"/>
  <c r="M14" i="64" s="1"/>
  <c r="G15" i="4"/>
  <c r="G15" i="64"/>
  <c r="G52" i="64" s="1"/>
  <c r="M50" i="64"/>
  <c r="F14" i="64"/>
  <c r="F51" i="64" s="1"/>
  <c r="G93" i="21" s="1"/>
  <c r="N93" i="21" s="1"/>
  <c r="F14" i="4"/>
  <c r="L14" i="64"/>
  <c r="L51" i="64" s="1"/>
  <c r="L14" i="4"/>
  <c r="E14" i="4"/>
  <c r="E14" i="64"/>
  <c r="E51" i="64" s="1"/>
  <c r="K15" i="4"/>
  <c r="K15" i="64"/>
  <c r="K52" i="64" s="1"/>
  <c r="J14" i="4"/>
  <c r="J14" i="64"/>
  <c r="J51" i="64" s="1"/>
  <c r="I15" i="4"/>
  <c r="I15" i="64"/>
  <c r="I52" i="64" s="1"/>
  <c r="E37" i="7"/>
  <c r="B172" i="4"/>
  <c r="A51" i="28"/>
  <c r="I73" i="1" s="1"/>
  <c r="J51" i="28"/>
  <c r="A36" i="4"/>
  <c r="E43" i="4"/>
  <c r="A52" i="21"/>
  <c r="A53" i="21" s="1"/>
  <c r="H20" i="8" s="1"/>
  <c r="D15" i="4" l="1"/>
  <c r="H16" i="4"/>
  <c r="H17" i="64" s="1"/>
  <c r="H54" i="64" s="1"/>
  <c r="C15" i="4"/>
  <c r="C16" i="64" s="1"/>
  <c r="C53" i="64" s="1"/>
  <c r="D95" i="21" s="1"/>
  <c r="M14" i="4"/>
  <c r="M15" i="64" s="1"/>
  <c r="M51" i="64"/>
  <c r="F15" i="4"/>
  <c r="F15" i="64"/>
  <c r="F52" i="64" s="1"/>
  <c r="G94" i="21" s="1"/>
  <c r="N94" i="21" s="1"/>
  <c r="G16" i="4"/>
  <c r="G16" i="64"/>
  <c r="G53" i="64" s="1"/>
  <c r="K16" i="4"/>
  <c r="K16" i="64"/>
  <c r="K53" i="64" s="1"/>
  <c r="E15" i="4"/>
  <c r="E15" i="64"/>
  <c r="E52" i="64" s="1"/>
  <c r="I16" i="4"/>
  <c r="I16" i="64"/>
  <c r="I53" i="64" s="1"/>
  <c r="J15" i="4"/>
  <c r="J15" i="64"/>
  <c r="J52" i="64" s="1"/>
  <c r="L15" i="4"/>
  <c r="L15" i="64"/>
  <c r="L52" i="64" s="1"/>
  <c r="A58" i="21"/>
  <c r="G53" i="21"/>
  <c r="A42" i="4"/>
  <c r="E42" i="4"/>
  <c r="A59" i="21"/>
  <c r="A60" i="21" s="1"/>
  <c r="I23" i="1" s="1"/>
  <c r="H17" i="4" l="1"/>
  <c r="H18" i="64" s="1"/>
  <c r="H55" i="64" s="1"/>
  <c r="D16" i="64"/>
  <c r="D53" i="64" s="1"/>
  <c r="D16" i="4"/>
  <c r="C16" i="4"/>
  <c r="C17" i="64" s="1"/>
  <c r="C54" i="64" s="1"/>
  <c r="D96" i="21" s="1"/>
  <c r="M15" i="4"/>
  <c r="M16" i="64" s="1"/>
  <c r="I17" i="4"/>
  <c r="I17" i="64"/>
  <c r="I54" i="64" s="1"/>
  <c r="J16" i="4"/>
  <c r="J16" i="64"/>
  <c r="J53" i="64" s="1"/>
  <c r="M52" i="64"/>
  <c r="G17" i="4"/>
  <c r="G17" i="64"/>
  <c r="G54" i="64" s="1"/>
  <c r="L16" i="64"/>
  <c r="L53" i="64" s="1"/>
  <c r="L16" i="4"/>
  <c r="E16" i="4"/>
  <c r="E16" i="64"/>
  <c r="E53" i="64" s="1"/>
  <c r="F16" i="4"/>
  <c r="F16" i="64"/>
  <c r="F53" i="64" s="1"/>
  <c r="G95" i="21" s="1"/>
  <c r="H18" i="4"/>
  <c r="K17" i="4"/>
  <c r="K17" i="64"/>
  <c r="K54" i="64" s="1"/>
  <c r="A43" i="4"/>
  <c r="H6" i="8"/>
  <c r="G60" i="21"/>
  <c r="A71" i="21"/>
  <c r="N95" i="21" l="1"/>
  <c r="D17" i="4"/>
  <c r="D17" i="64"/>
  <c r="D54" i="64" s="1"/>
  <c r="C17" i="4"/>
  <c r="C18" i="64" s="1"/>
  <c r="C55" i="64" s="1"/>
  <c r="M16" i="4"/>
  <c r="M17" i="64" s="1"/>
  <c r="D97" i="21"/>
  <c r="L17" i="4"/>
  <c r="L17" i="64"/>
  <c r="L54" i="64" s="1"/>
  <c r="K18" i="4"/>
  <c r="K18" i="64"/>
  <c r="K55" i="64" s="1"/>
  <c r="M53" i="64"/>
  <c r="I18" i="4"/>
  <c r="I18" i="64"/>
  <c r="I55" i="64" s="1"/>
  <c r="H19" i="4"/>
  <c r="H19" i="64"/>
  <c r="H56" i="64" s="1"/>
  <c r="F17" i="4"/>
  <c r="F17" i="64"/>
  <c r="F54" i="64" s="1"/>
  <c r="G96" i="21" s="1"/>
  <c r="N96" i="21" s="1"/>
  <c r="E17" i="4"/>
  <c r="E17" i="64"/>
  <c r="E54" i="64" s="1"/>
  <c r="G18" i="4"/>
  <c r="G18" i="64"/>
  <c r="G55" i="64" s="1"/>
  <c r="J17" i="4"/>
  <c r="J17" i="64"/>
  <c r="J54" i="64" s="1"/>
  <c r="A52" i="4"/>
  <c r="A53" i="4" s="1"/>
  <c r="G61" i="4" s="1"/>
  <c r="I9" i="1"/>
  <c r="A72" i="21"/>
  <c r="A73" i="21" s="1"/>
  <c r="A74" i="21" s="1"/>
  <c r="A75" i="21" s="1"/>
  <c r="A76" i="21" s="1"/>
  <c r="A77" i="21" s="1"/>
  <c r="A78" i="21" s="1"/>
  <c r="A79" i="21" s="1"/>
  <c r="A80" i="21" s="1"/>
  <c r="A81" i="21" s="1"/>
  <c r="A82" i="21" s="1"/>
  <c r="A83" i="21" s="1"/>
  <c r="A91" i="21" s="1"/>
  <c r="C18" i="4"/>
  <c r="C19" i="64" s="1"/>
  <c r="C56" i="64" s="1"/>
  <c r="A56" i="4"/>
  <c r="D18" i="4" l="1"/>
  <c r="D18" i="64"/>
  <c r="D55" i="64" s="1"/>
  <c r="M17" i="4"/>
  <c r="M18" i="64" s="1"/>
  <c r="D98" i="21"/>
  <c r="G19" i="4"/>
  <c r="G19" i="64"/>
  <c r="G56" i="64" s="1"/>
  <c r="F18" i="4"/>
  <c r="F18" i="64"/>
  <c r="F55" i="64" s="1"/>
  <c r="G97" i="21" s="1"/>
  <c r="N97" i="21" s="1"/>
  <c r="K19" i="4"/>
  <c r="K19" i="64"/>
  <c r="K56" i="64" s="1"/>
  <c r="L18" i="4"/>
  <c r="L18" i="64"/>
  <c r="L55" i="64" s="1"/>
  <c r="M54" i="64"/>
  <c r="I19" i="4"/>
  <c r="I19" i="64"/>
  <c r="I56" i="64" s="1"/>
  <c r="E18" i="4"/>
  <c r="E18" i="64"/>
  <c r="E55" i="64" s="1"/>
  <c r="J18" i="4"/>
  <c r="J18" i="64"/>
  <c r="J55" i="64" s="1"/>
  <c r="H20" i="4"/>
  <c r="H20" i="64"/>
  <c r="H57" i="64" s="1"/>
  <c r="G56" i="4"/>
  <c r="E24" i="2"/>
  <c r="E22" i="2"/>
  <c r="A92" i="21"/>
  <c r="A93" i="21" s="1"/>
  <c r="A94" i="21" s="1"/>
  <c r="A95" i="21" s="1"/>
  <c r="A96" i="21" s="1"/>
  <c r="A97" i="21" s="1"/>
  <c r="A98" i="21" s="1"/>
  <c r="A99" i="21" s="1"/>
  <c r="A100" i="21" s="1"/>
  <c r="A101" i="21" s="1"/>
  <c r="A102" i="21" s="1"/>
  <c r="A103" i="21" s="1"/>
  <c r="C19" i="4"/>
  <c r="C20" i="64" s="1"/>
  <c r="C57" i="64" s="1"/>
  <c r="A57" i="4"/>
  <c r="A58" i="4" s="1"/>
  <c r="D19" i="4" l="1"/>
  <c r="D19" i="64"/>
  <c r="D56" i="64" s="1"/>
  <c r="M18" i="4"/>
  <c r="M19" i="64" s="1"/>
  <c r="E19" i="4"/>
  <c r="E19" i="64"/>
  <c r="E56" i="64" s="1"/>
  <c r="F19" i="4"/>
  <c r="F19" i="64"/>
  <c r="F56" i="64" s="1"/>
  <c r="G98" i="21" s="1"/>
  <c r="N98" i="21" s="1"/>
  <c r="D99" i="21"/>
  <c r="J19" i="4"/>
  <c r="J19" i="64"/>
  <c r="J56" i="64" s="1"/>
  <c r="I20" i="4"/>
  <c r="I20" i="64"/>
  <c r="I57" i="64" s="1"/>
  <c r="K20" i="4"/>
  <c r="K20" i="64"/>
  <c r="K57" i="64" s="1"/>
  <c r="H21" i="4"/>
  <c r="H21" i="64"/>
  <c r="H58" i="64" s="1"/>
  <c r="M55" i="64"/>
  <c r="L19" i="4"/>
  <c r="L19" i="64"/>
  <c r="L56" i="64" s="1"/>
  <c r="G20" i="4"/>
  <c r="G20" i="64"/>
  <c r="G57" i="64" s="1"/>
  <c r="A61" i="4"/>
  <c r="A62" i="4" s="1"/>
  <c r="A63" i="4" s="1"/>
  <c r="H7" i="8"/>
  <c r="B175" i="21"/>
  <c r="A111" i="21"/>
  <c r="B173" i="21"/>
  <c r="C20" i="4"/>
  <c r="C21" i="64" s="1"/>
  <c r="C58" i="64" s="1"/>
  <c r="G58" i="4"/>
  <c r="D20" i="64" l="1"/>
  <c r="D57" i="64" s="1"/>
  <c r="D20" i="4"/>
  <c r="L20" i="4"/>
  <c r="L20" i="64"/>
  <c r="L57" i="64" s="1"/>
  <c r="K21" i="4"/>
  <c r="K21" i="64"/>
  <c r="K58" i="64" s="1"/>
  <c r="I21" i="4"/>
  <c r="I21" i="64"/>
  <c r="I58" i="64" s="1"/>
  <c r="J20" i="4"/>
  <c r="J20" i="64"/>
  <c r="J57" i="64" s="1"/>
  <c r="D100" i="21"/>
  <c r="G21" i="4"/>
  <c r="G21" i="64"/>
  <c r="G58" i="64" s="1"/>
  <c r="F20" i="4"/>
  <c r="F20" i="64"/>
  <c r="F57" i="64" s="1"/>
  <c r="G99" i="21" s="1"/>
  <c r="N99" i="21" s="1"/>
  <c r="M56" i="64"/>
  <c r="M19" i="4"/>
  <c r="M20" i="64" s="1"/>
  <c r="H22" i="4"/>
  <c r="H23" i="64" s="1"/>
  <c r="H60" i="64" s="1"/>
  <c r="H22" i="64"/>
  <c r="H59" i="64" s="1"/>
  <c r="E20" i="4"/>
  <c r="E20" i="64"/>
  <c r="E57" i="64" s="1"/>
  <c r="A74" i="4"/>
  <c r="A75" i="4" s="1"/>
  <c r="A76" i="4" s="1"/>
  <c r="A77" i="4" s="1"/>
  <c r="A78" i="4" s="1"/>
  <c r="A79" i="4" s="1"/>
  <c r="A80" i="4" s="1"/>
  <c r="A81" i="4" s="1"/>
  <c r="A82" i="4" s="1"/>
  <c r="A83" i="4" s="1"/>
  <c r="A84" i="4" s="1"/>
  <c r="A85" i="4" s="1"/>
  <c r="A86" i="4" s="1"/>
  <c r="A94" i="4" s="1"/>
  <c r="I10" i="1"/>
  <c r="A112" i="21"/>
  <c r="A113" i="21" s="1"/>
  <c r="A114" i="21" s="1"/>
  <c r="A115" i="21" s="1"/>
  <c r="A116" i="21" s="1"/>
  <c r="A117" i="21" s="1"/>
  <c r="A118" i="21" s="1"/>
  <c r="A119" i="21" s="1"/>
  <c r="A120" i="21" s="1"/>
  <c r="A121" i="21" s="1"/>
  <c r="A122" i="21" s="1"/>
  <c r="A123" i="21" s="1"/>
  <c r="A129" i="21" s="1"/>
  <c r="C21" i="4"/>
  <c r="C22" i="64" s="1"/>
  <c r="C59" i="64" s="1"/>
  <c r="G63" i="4"/>
  <c r="D21" i="4" l="1"/>
  <c r="D21" i="64"/>
  <c r="D58" i="64" s="1"/>
  <c r="E21" i="4"/>
  <c r="E21" i="64"/>
  <c r="E58" i="64" s="1"/>
  <c r="H61" i="64"/>
  <c r="L21" i="4"/>
  <c r="L21" i="64"/>
  <c r="L58" i="64" s="1"/>
  <c r="G22" i="4"/>
  <c r="G22" i="64"/>
  <c r="G59" i="64" s="1"/>
  <c r="K22" i="4"/>
  <c r="K22" i="64"/>
  <c r="K59" i="64" s="1"/>
  <c r="D101" i="21"/>
  <c r="H24" i="4"/>
  <c r="I22" i="4"/>
  <c r="I22" i="64"/>
  <c r="I59" i="64" s="1"/>
  <c r="M20" i="4"/>
  <c r="M21" i="64" s="1"/>
  <c r="M57" i="64"/>
  <c r="F21" i="4"/>
  <c r="F21" i="64"/>
  <c r="F58" i="64" s="1"/>
  <c r="G100" i="21" s="1"/>
  <c r="N100" i="21" s="1"/>
  <c r="J21" i="4"/>
  <c r="J21" i="64"/>
  <c r="J58" i="64" s="1"/>
  <c r="B178" i="21"/>
  <c r="A133" i="21"/>
  <c r="A136" i="21" s="1"/>
  <c r="C22" i="4"/>
  <c r="C23" i="64" s="1"/>
  <c r="C60" i="64" s="1"/>
  <c r="A95" i="4"/>
  <c r="A96" i="4" s="1"/>
  <c r="A97" i="4" s="1"/>
  <c r="A98" i="4" s="1"/>
  <c r="A99" i="4" s="1"/>
  <c r="A100" i="4" s="1"/>
  <c r="A101" i="4" s="1"/>
  <c r="A102" i="4" s="1"/>
  <c r="A103" i="4" s="1"/>
  <c r="A104" i="4" s="1"/>
  <c r="A105" i="4" s="1"/>
  <c r="A106" i="4" s="1"/>
  <c r="D22" i="4" l="1"/>
  <c r="D22" i="64"/>
  <c r="D59" i="64" s="1"/>
  <c r="G23" i="64"/>
  <c r="G60" i="64" s="1"/>
  <c r="G24" i="4"/>
  <c r="E22" i="4"/>
  <c r="E22" i="64"/>
  <c r="E59" i="64" s="1"/>
  <c r="M21" i="4"/>
  <c r="M22" i="64" s="1"/>
  <c r="J22" i="4"/>
  <c r="J23" i="64" s="1"/>
  <c r="J60" i="64" s="1"/>
  <c r="J22" i="64"/>
  <c r="J59" i="64" s="1"/>
  <c r="I23" i="64"/>
  <c r="I60" i="64" s="1"/>
  <c r="I24" i="4"/>
  <c r="D102" i="21"/>
  <c r="C61" i="64"/>
  <c r="K23" i="64"/>
  <c r="K60" i="64" s="1"/>
  <c r="K24" i="4"/>
  <c r="F22" i="4"/>
  <c r="F22" i="64"/>
  <c r="F59" i="64" s="1"/>
  <c r="G101" i="21" s="1"/>
  <c r="N101" i="21" s="1"/>
  <c r="L22" i="4"/>
  <c r="L23" i="64" s="1"/>
  <c r="L60" i="64" s="1"/>
  <c r="L22" i="64"/>
  <c r="L59" i="64" s="1"/>
  <c r="M58" i="64"/>
  <c r="A144" i="21"/>
  <c r="B177" i="21"/>
  <c r="B176" i="21"/>
  <c r="A145" i="21"/>
  <c r="A146" i="21" s="1"/>
  <c r="A147" i="21" s="1"/>
  <c r="A148" i="21" s="1"/>
  <c r="A149" i="21" s="1"/>
  <c r="A150" i="21" s="1"/>
  <c r="A151" i="21" s="1"/>
  <c r="A152" i="21" s="1"/>
  <c r="A153" i="21" s="1"/>
  <c r="A154" i="21" s="1"/>
  <c r="A155" i="21" s="1"/>
  <c r="A156" i="21" s="1"/>
  <c r="C24" i="4"/>
  <c r="B175" i="4"/>
  <c r="A114" i="4"/>
  <c r="B177" i="4"/>
  <c r="D23" i="64" l="1"/>
  <c r="D60" i="64" s="1"/>
  <c r="D24" i="4"/>
  <c r="L24" i="4"/>
  <c r="J24" i="4"/>
  <c r="M22" i="4"/>
  <c r="M23" i="64" s="1"/>
  <c r="I61" i="64"/>
  <c r="G61" i="64"/>
  <c r="F23" i="64"/>
  <c r="F60" i="64" s="1"/>
  <c r="G102" i="21" s="1"/>
  <c r="F24" i="4"/>
  <c r="M59" i="64"/>
  <c r="E23" i="64"/>
  <c r="E60" i="64" s="1"/>
  <c r="E24" i="4"/>
  <c r="L61" i="64"/>
  <c r="K61" i="64"/>
  <c r="J61" i="64"/>
  <c r="B179" i="21"/>
  <c r="A115" i="4"/>
  <c r="A116" i="4" s="1"/>
  <c r="A117" i="4" s="1"/>
  <c r="A118" i="4" s="1"/>
  <c r="A119" i="4" s="1"/>
  <c r="A120" i="4" s="1"/>
  <c r="A121" i="4" s="1"/>
  <c r="A122" i="4" s="1"/>
  <c r="A123" i="4" s="1"/>
  <c r="A124" i="4" s="1"/>
  <c r="A125" i="4" s="1"/>
  <c r="A126" i="4" s="1"/>
  <c r="A131" i="4" s="1"/>
  <c r="N102" i="21" l="1"/>
  <c r="N103" i="21" s="1"/>
  <c r="G103" i="21"/>
  <c r="D61" i="64"/>
  <c r="M24" i="4"/>
  <c r="D42" i="4" s="1"/>
  <c r="J6" i="8" s="1"/>
  <c r="F61" i="64"/>
  <c r="E61" i="64"/>
  <c r="M60" i="64"/>
  <c r="M62" i="64" s="1"/>
  <c r="F92" i="64" s="1"/>
  <c r="B180" i="4"/>
  <c r="A135" i="4"/>
  <c r="A139" i="4" s="1"/>
  <c r="A146" i="4" l="1"/>
  <c r="A147" i="4" s="1"/>
  <c r="A148" i="4" s="1"/>
  <c r="A149" i="4" s="1"/>
  <c r="A150" i="4" s="1"/>
  <c r="A151" i="4" s="1"/>
  <c r="A152" i="4" s="1"/>
  <c r="A153" i="4" s="1"/>
  <c r="A154" i="4" s="1"/>
  <c r="A155" i="4" s="1"/>
  <c r="A156" i="4" s="1"/>
  <c r="A157" i="4" s="1"/>
  <c r="A158" i="4" s="1"/>
  <c r="B179" i="4"/>
  <c r="B178" i="4"/>
  <c r="B181" i="4" l="1"/>
  <c r="K69" i="1" l="1"/>
  <c r="K64" i="1"/>
  <c r="K73" i="1" l="1"/>
  <c r="K70" i="1" l="1"/>
  <c r="K84" i="1" s="1"/>
  <c r="K68" i="1"/>
  <c r="L55" i="46" l="1"/>
  <c r="E141" i="46" s="1"/>
  <c r="I141" i="46" s="1"/>
  <c r="K55" i="46"/>
  <c r="D141" i="46" s="1"/>
  <c r="H141" i="46" s="1"/>
  <c r="E62" i="46"/>
  <c r="D62" i="46"/>
  <c r="G55" i="46"/>
  <c r="C55" i="46"/>
  <c r="G141" i="46" l="1"/>
  <c r="J55" i="46"/>
  <c r="C141" i="46" s="1"/>
  <c r="B34" i="31" l="1"/>
  <c r="F44" i="26" l="1"/>
  <c r="F46" i="71" l="1"/>
  <c r="D19" i="71"/>
  <c r="D18" i="71"/>
  <c r="D53" i="71"/>
  <c r="A10" i="71"/>
  <c r="A11" i="71" s="1"/>
  <c r="A12" i="71" s="1"/>
  <c r="A13" i="71" s="1"/>
  <c r="A14" i="71" s="1"/>
  <c r="A15" i="71" s="1"/>
  <c r="A16" i="71" s="1"/>
  <c r="A17" i="71" s="1"/>
  <c r="A18" i="71" s="1"/>
  <c r="A19" i="71" s="1"/>
  <c r="D46" i="71"/>
  <c r="F53" i="71"/>
  <c r="D38" i="7"/>
  <c r="E128" i="61"/>
  <c r="E36" i="61"/>
  <c r="F77" i="61"/>
  <c r="G77" i="61" s="1"/>
  <c r="F44" i="61"/>
  <c r="J44" i="61" s="1"/>
  <c r="G12" i="2"/>
  <c r="C87" i="46"/>
  <c r="H61" i="46" s="1"/>
  <c r="G57" i="26"/>
  <c r="G58" i="26" s="1"/>
  <c r="G37" i="26" s="1"/>
  <c r="D37" i="26" s="1"/>
  <c r="G6" i="26" s="1"/>
  <c r="H6" i="26" s="1"/>
  <c r="E64" i="26"/>
  <c r="G11" i="2" s="1"/>
  <c r="H80" i="44"/>
  <c r="H77" i="44"/>
  <c r="H55" i="44"/>
  <c r="I34" i="44"/>
  <c r="H34" i="44"/>
  <c r="A14" i="44"/>
  <c r="A15" i="44" s="1"/>
  <c r="A16" i="44" s="1"/>
  <c r="A17" i="44" s="1"/>
  <c r="K21" i="1"/>
  <c r="E81" i="46"/>
  <c r="E83" i="46" s="1"/>
  <c r="D81" i="46"/>
  <c r="C79" i="46"/>
  <c r="J79" i="46" s="1"/>
  <c r="I81" i="46"/>
  <c r="L80" i="46"/>
  <c r="E166" i="46" s="1"/>
  <c r="I166" i="46" s="1"/>
  <c r="K79" i="46"/>
  <c r="D165" i="46" s="1"/>
  <c r="H165" i="46" s="1"/>
  <c r="K78" i="46"/>
  <c r="L78" i="46"/>
  <c r="E164" i="46" s="1"/>
  <c r="C78" i="46"/>
  <c r="G77" i="46"/>
  <c r="L77" i="46"/>
  <c r="K77" i="46"/>
  <c r="D163" i="46" s="1"/>
  <c r="H163" i="46" s="1"/>
  <c r="C77" i="46"/>
  <c r="G76" i="46"/>
  <c r="L76" i="46"/>
  <c r="K76" i="46"/>
  <c r="D162" i="46" s="1"/>
  <c r="H162" i="46" s="1"/>
  <c r="C76" i="46"/>
  <c r="G75" i="46"/>
  <c r="L75" i="46"/>
  <c r="K75" i="46"/>
  <c r="D161" i="46" s="1"/>
  <c r="H161" i="46" s="1"/>
  <c r="J215" i="46" s="1"/>
  <c r="C75" i="46"/>
  <c r="G74" i="46"/>
  <c r="L74" i="46"/>
  <c r="K74" i="46"/>
  <c r="D160" i="46" s="1"/>
  <c r="C74" i="46"/>
  <c r="G73" i="46"/>
  <c r="L73" i="46"/>
  <c r="K73" i="46"/>
  <c r="D159" i="46" s="1"/>
  <c r="C73" i="46"/>
  <c r="G72" i="46"/>
  <c r="L72" i="46"/>
  <c r="K72" i="46"/>
  <c r="D158" i="46" s="1"/>
  <c r="C72" i="46"/>
  <c r="G71" i="46"/>
  <c r="L79" i="46"/>
  <c r="E165" i="46" s="1"/>
  <c r="I165" i="46" s="1"/>
  <c r="K71" i="46"/>
  <c r="C71" i="46"/>
  <c r="C81" i="46" s="1"/>
  <c r="C165" i="46"/>
  <c r="I62" i="46"/>
  <c r="L61" i="46"/>
  <c r="E147" i="46" s="1"/>
  <c r="G60" i="46"/>
  <c r="G59" i="46"/>
  <c r="L59" i="46"/>
  <c r="E145" i="46" s="1"/>
  <c r="I145" i="46" s="1"/>
  <c r="C59" i="46"/>
  <c r="K58" i="46"/>
  <c r="J58" i="46" s="1"/>
  <c r="C144" i="46" s="1"/>
  <c r="G58" i="46"/>
  <c r="L58" i="46"/>
  <c r="E144" i="46" s="1"/>
  <c r="I144" i="46" s="1"/>
  <c r="C58" i="46"/>
  <c r="G57" i="46"/>
  <c r="L57" i="46"/>
  <c r="E143" i="46" s="1"/>
  <c r="I143" i="46" s="1"/>
  <c r="C57" i="46"/>
  <c r="K56" i="46"/>
  <c r="D142" i="46" s="1"/>
  <c r="G56" i="46"/>
  <c r="L56" i="46"/>
  <c r="E142" i="46" s="1"/>
  <c r="I142" i="46" s="1"/>
  <c r="C56" i="46"/>
  <c r="G54" i="46"/>
  <c r="L54" i="46"/>
  <c r="E140" i="46" s="1"/>
  <c r="I140" i="46" s="1"/>
  <c r="C54" i="46"/>
  <c r="K53" i="46"/>
  <c r="G53" i="46"/>
  <c r="L53" i="46"/>
  <c r="E139" i="46" s="1"/>
  <c r="I139" i="46" s="1"/>
  <c r="C53" i="46"/>
  <c r="G52" i="46"/>
  <c r="L52" i="46"/>
  <c r="E138" i="46" s="1"/>
  <c r="I138" i="46" s="1"/>
  <c r="C52" i="46"/>
  <c r="K51" i="46"/>
  <c r="D137" i="46" s="1"/>
  <c r="H137" i="46" s="1"/>
  <c r="G51" i="46"/>
  <c r="L51" i="46"/>
  <c r="E137" i="46" s="1"/>
  <c r="I137" i="46" s="1"/>
  <c r="C51" i="46"/>
  <c r="G50" i="46"/>
  <c r="L50" i="46"/>
  <c r="E136" i="46" s="1"/>
  <c r="I136" i="46" s="1"/>
  <c r="C50" i="46"/>
  <c r="K49" i="46"/>
  <c r="D135" i="46" s="1"/>
  <c r="G49" i="46"/>
  <c r="L49" i="46"/>
  <c r="E135" i="46" s="1"/>
  <c r="C49" i="46"/>
  <c r="G48" i="46"/>
  <c r="L48" i="46"/>
  <c r="E134" i="46" s="1"/>
  <c r="I134" i="46" s="1"/>
  <c r="C48" i="46"/>
  <c r="K47" i="46"/>
  <c r="D133" i="46" s="1"/>
  <c r="H133" i="46" s="1"/>
  <c r="G47" i="46"/>
  <c r="L47" i="46"/>
  <c r="E133" i="46" s="1"/>
  <c r="I133" i="46" s="1"/>
  <c r="C47" i="46"/>
  <c r="G46" i="46"/>
  <c r="L46" i="46"/>
  <c r="E132" i="46" s="1"/>
  <c r="I132" i="46" s="1"/>
  <c r="C46" i="46"/>
  <c r="K45" i="46"/>
  <c r="G45" i="46"/>
  <c r="L45" i="46"/>
  <c r="E131" i="46" s="1"/>
  <c r="I131" i="46" s="1"/>
  <c r="C45" i="46"/>
  <c r="G44" i="46"/>
  <c r="L44" i="46"/>
  <c r="E130" i="46" s="1"/>
  <c r="C44" i="46"/>
  <c r="K43" i="46"/>
  <c r="D129" i="46" s="1"/>
  <c r="G43" i="46"/>
  <c r="L43" i="46"/>
  <c r="E129" i="46" s="1"/>
  <c r="C43" i="46"/>
  <c r="G42" i="46"/>
  <c r="L42" i="46"/>
  <c r="E128" i="46" s="1"/>
  <c r="C42" i="46"/>
  <c r="K41" i="46"/>
  <c r="D127" i="46" s="1"/>
  <c r="G41" i="46"/>
  <c r="L41" i="46"/>
  <c r="E127" i="46" s="1"/>
  <c r="C41" i="46"/>
  <c r="G40" i="46"/>
  <c r="L40" i="46"/>
  <c r="E126" i="46" s="1"/>
  <c r="I126" i="46" s="1"/>
  <c r="C40" i="46"/>
  <c r="K39" i="46"/>
  <c r="D125" i="46" s="1"/>
  <c r="G39" i="46"/>
  <c r="L39" i="46"/>
  <c r="E125" i="46" s="1"/>
  <c r="C39" i="46"/>
  <c r="G38" i="46"/>
  <c r="L38" i="46"/>
  <c r="E124" i="46" s="1"/>
  <c r="I124" i="46" s="1"/>
  <c r="C38" i="46"/>
  <c r="K37" i="46"/>
  <c r="G37" i="46"/>
  <c r="L37" i="46"/>
  <c r="E123" i="46" s="1"/>
  <c r="I123" i="46" s="1"/>
  <c r="C37" i="46"/>
  <c r="G36" i="46"/>
  <c r="L36" i="46"/>
  <c r="E122" i="46" s="1"/>
  <c r="I122" i="46" s="1"/>
  <c r="C36" i="46"/>
  <c r="K35" i="46"/>
  <c r="D121" i="46" s="1"/>
  <c r="H121" i="46" s="1"/>
  <c r="G35" i="46"/>
  <c r="L35" i="46"/>
  <c r="E121" i="46" s="1"/>
  <c r="I121" i="46" s="1"/>
  <c r="C35" i="46"/>
  <c r="G34" i="46"/>
  <c r="L34" i="46"/>
  <c r="E120" i="46" s="1"/>
  <c r="I120" i="46" s="1"/>
  <c r="C34" i="46"/>
  <c r="K33" i="46"/>
  <c r="J33" i="46" s="1"/>
  <c r="C119" i="46" s="1"/>
  <c r="G33" i="46"/>
  <c r="L33" i="46"/>
  <c r="E119" i="46" s="1"/>
  <c r="C33" i="46"/>
  <c r="G32" i="46"/>
  <c r="L32" i="46"/>
  <c r="E118" i="46" s="1"/>
  <c r="K32" i="46"/>
  <c r="C32" i="46"/>
  <c r="G31" i="46"/>
  <c r="L31" i="46"/>
  <c r="E117" i="46" s="1"/>
  <c r="K31" i="46"/>
  <c r="C31" i="46"/>
  <c r="G30" i="46"/>
  <c r="L30" i="46"/>
  <c r="E116" i="46" s="1"/>
  <c r="K30" i="46"/>
  <c r="C30" i="46"/>
  <c r="G28" i="46"/>
  <c r="L28" i="46"/>
  <c r="E114" i="46" s="1"/>
  <c r="K28" i="46"/>
  <c r="C28" i="46"/>
  <c r="G27" i="46"/>
  <c r="L27" i="46"/>
  <c r="E113" i="46" s="1"/>
  <c r="I113" i="46" s="1"/>
  <c r="K27" i="46"/>
  <c r="C27" i="46"/>
  <c r="G26" i="46"/>
  <c r="L26" i="46"/>
  <c r="E112" i="46" s="1"/>
  <c r="I112" i="46" s="1"/>
  <c r="K26" i="46"/>
  <c r="C26" i="46"/>
  <c r="G25" i="46"/>
  <c r="L25" i="46"/>
  <c r="E111" i="46" s="1"/>
  <c r="I111" i="46" s="1"/>
  <c r="K25" i="46"/>
  <c r="C25" i="46"/>
  <c r="G24" i="46"/>
  <c r="L24" i="46"/>
  <c r="E110" i="46" s="1"/>
  <c r="I110" i="46" s="1"/>
  <c r="K24" i="46"/>
  <c r="C24" i="46"/>
  <c r="G23" i="46"/>
  <c r="L23" i="46"/>
  <c r="E109" i="46" s="1"/>
  <c r="I109" i="46" s="1"/>
  <c r="K23" i="46"/>
  <c r="C23" i="46"/>
  <c r="G22" i="46"/>
  <c r="L22" i="46"/>
  <c r="K22" i="46"/>
  <c r="C22" i="46"/>
  <c r="G21" i="46"/>
  <c r="L21" i="46"/>
  <c r="K21" i="46"/>
  <c r="C21" i="46"/>
  <c r="G20" i="46"/>
  <c r="L20" i="46"/>
  <c r="K20" i="46"/>
  <c r="C20" i="46"/>
  <c r="G19" i="46"/>
  <c r="L19" i="46"/>
  <c r="K19" i="46"/>
  <c r="C19" i="46"/>
  <c r="G18" i="46"/>
  <c r="L18" i="46"/>
  <c r="K18" i="46"/>
  <c r="C18" i="46"/>
  <c r="G17" i="46"/>
  <c r="L17" i="46"/>
  <c r="K17" i="46"/>
  <c r="C17" i="46"/>
  <c r="G16" i="46"/>
  <c r="L16" i="46"/>
  <c r="K16" i="46"/>
  <c r="C16" i="46"/>
  <c r="G15" i="46"/>
  <c r="L15" i="46"/>
  <c r="K15" i="46"/>
  <c r="C15" i="46"/>
  <c r="G14" i="46"/>
  <c r="L14" i="46"/>
  <c r="E100" i="46" s="1"/>
  <c r="I100" i="46" s="1"/>
  <c r="K14" i="46"/>
  <c r="C14" i="46"/>
  <c r="G13" i="46"/>
  <c r="L13" i="46"/>
  <c r="E99" i="46" s="1"/>
  <c r="I99" i="46" s="1"/>
  <c r="K13" i="46"/>
  <c r="C13" i="46"/>
  <c r="G12" i="46"/>
  <c r="L12" i="46"/>
  <c r="E98" i="46" s="1"/>
  <c r="I98" i="46" s="1"/>
  <c r="K12" i="46"/>
  <c r="C12"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G11" i="46"/>
  <c r="C11" i="46"/>
  <c r="E16" i="57"/>
  <c r="E10" i="57"/>
  <c r="E53" i="71"/>
  <c r="D122" i="21"/>
  <c r="D120" i="21"/>
  <c r="D118" i="21"/>
  <c r="D116" i="21"/>
  <c r="D114" i="21"/>
  <c r="D112" i="21"/>
  <c r="D46" i="17"/>
  <c r="D49" i="17"/>
  <c r="D48" i="17"/>
  <c r="D47" i="17"/>
  <c r="B54" i="54"/>
  <c r="C9" i="9"/>
  <c r="G67" i="65"/>
  <c r="K67" i="65" s="1"/>
  <c r="G66" i="65"/>
  <c r="K66" i="65" s="1"/>
  <c r="G65" i="65"/>
  <c r="K65" i="65" s="1"/>
  <c r="G64" i="65"/>
  <c r="G63" i="65"/>
  <c r="K63" i="65" s="1"/>
  <c r="G62" i="65"/>
  <c r="K62" i="65" s="1"/>
  <c r="G61" i="65"/>
  <c r="K61" i="65" s="1"/>
  <c r="G60" i="65"/>
  <c r="K60" i="65" s="1"/>
  <c r="G59" i="65"/>
  <c r="K59" i="65" s="1"/>
  <c r="G58" i="65"/>
  <c r="K58" i="65" s="1"/>
  <c r="G57" i="65"/>
  <c r="K57" i="65" s="1"/>
  <c r="G56" i="65"/>
  <c r="A5" i="31"/>
  <c r="L122" i="21"/>
  <c r="J122" i="21"/>
  <c r="H122" i="21"/>
  <c r="F122" i="21"/>
  <c r="L120" i="21"/>
  <c r="J120" i="21"/>
  <c r="H120" i="21"/>
  <c r="F120" i="21"/>
  <c r="L118" i="21"/>
  <c r="J118" i="21"/>
  <c r="H118" i="21"/>
  <c r="F118" i="21"/>
  <c r="L116" i="21"/>
  <c r="J116" i="21"/>
  <c r="H116" i="21"/>
  <c r="F116" i="21"/>
  <c r="L114" i="21"/>
  <c r="J114" i="21"/>
  <c r="H114" i="21"/>
  <c r="F114" i="21"/>
  <c r="L112" i="21"/>
  <c r="J112" i="21"/>
  <c r="H112" i="21"/>
  <c r="F112" i="21"/>
  <c r="D36" i="7"/>
  <c r="D97" i="65"/>
  <c r="E17" i="66"/>
  <c r="J25" i="8" s="1"/>
  <c r="F17" i="66"/>
  <c r="F21" i="66"/>
  <c r="F14" i="66"/>
  <c r="F7" i="66"/>
  <c r="E70" i="26"/>
  <c r="F53" i="22"/>
  <c r="D58" i="7"/>
  <c r="D54" i="7"/>
  <c r="F41" i="54"/>
  <c r="F38" i="54"/>
  <c r="F29" i="54"/>
  <c r="E40" i="56"/>
  <c r="E42" i="56" s="1"/>
  <c r="E26" i="56"/>
  <c r="E12" i="56"/>
  <c r="E17" i="56" s="1"/>
  <c r="H41" i="8"/>
  <c r="J9" i="8"/>
  <c r="G10" i="2"/>
  <c r="A8" i="2"/>
  <c r="K126" i="1"/>
  <c r="J50" i="8" s="1"/>
  <c r="A11" i="7"/>
  <c r="A12" i="7" s="1"/>
  <c r="A13" i="7" s="1"/>
  <c r="A14" i="7" s="1"/>
  <c r="A15" i="7" s="1"/>
  <c r="A16" i="7" s="1"/>
  <c r="K32" i="1"/>
  <c r="E21" i="66"/>
  <c r="E14" i="66"/>
  <c r="E7" i="66"/>
  <c r="I118" i="65"/>
  <c r="I117" i="65"/>
  <c r="I116" i="65"/>
  <c r="I114" i="65"/>
  <c r="I113" i="65"/>
  <c r="I112" i="65"/>
  <c r="I110" i="65"/>
  <c r="I109" i="65"/>
  <c r="G120" i="65"/>
  <c r="E120" i="65"/>
  <c r="C120" i="65"/>
  <c r="K64" i="65"/>
  <c r="H44" i="65"/>
  <c r="H43" i="65"/>
  <c r="H42" i="65"/>
  <c r="H41" i="65"/>
  <c r="H40" i="65"/>
  <c r="H39" i="65"/>
  <c r="H38" i="65"/>
  <c r="H37" i="65"/>
  <c r="H36" i="65"/>
  <c r="A14" i="65"/>
  <c r="A15" i="65" s="1"/>
  <c r="A16" i="65" s="1"/>
  <c r="A17" i="65" s="1"/>
  <c r="A18" i="65" s="1"/>
  <c r="A19" i="65" s="1"/>
  <c r="A20" i="65" s="1"/>
  <c r="A21" i="65" s="1"/>
  <c r="A22" i="65" s="1"/>
  <c r="A23" i="65" s="1"/>
  <c r="A24" i="65" s="1"/>
  <c r="B140" i="65" s="1"/>
  <c r="I108" i="65"/>
  <c r="A7" i="63"/>
  <c r="A8" i="63" s="1"/>
  <c r="A9" i="63" s="1"/>
  <c r="A10" i="63" s="1"/>
  <c r="A11" i="63" s="1"/>
  <c r="A12" i="63" s="1"/>
  <c r="A13" i="63" s="1"/>
  <c r="A14" i="63" s="1"/>
  <c r="A15" i="63" s="1"/>
  <c r="A16" i="63" s="1"/>
  <c r="A20" i="63" s="1"/>
  <c r="A21" i="63" s="1"/>
  <c r="A22" i="63" s="1"/>
  <c r="A27" i="63" s="1"/>
  <c r="A28" i="63" s="1"/>
  <c r="A29" i="63" s="1"/>
  <c r="A30" i="63" s="1"/>
  <c r="A31" i="63" s="1"/>
  <c r="A32" i="63" s="1"/>
  <c r="A33" i="63" s="1"/>
  <c r="A34" i="63" s="1"/>
  <c r="E111" i="21"/>
  <c r="G122" i="21"/>
  <c r="G121" i="21"/>
  <c r="G120" i="21"/>
  <c r="G119" i="21"/>
  <c r="G118" i="21"/>
  <c r="G117" i="21"/>
  <c r="G116" i="21"/>
  <c r="G115" i="21"/>
  <c r="G114" i="21"/>
  <c r="G113" i="21"/>
  <c r="G112" i="21"/>
  <c r="I122" i="21"/>
  <c r="I121" i="21"/>
  <c r="I120" i="21"/>
  <c r="I119" i="21"/>
  <c r="I118" i="21"/>
  <c r="I117" i="21"/>
  <c r="I116" i="21"/>
  <c r="I115" i="21"/>
  <c r="I114" i="21"/>
  <c r="I113" i="21"/>
  <c r="I112" i="21"/>
  <c r="K122" i="21"/>
  <c r="K121" i="21"/>
  <c r="K120" i="21"/>
  <c r="K119" i="21"/>
  <c r="K118" i="21"/>
  <c r="K117" i="21"/>
  <c r="K116" i="21"/>
  <c r="K115" i="21"/>
  <c r="K114" i="21"/>
  <c r="K113" i="21"/>
  <c r="K112" i="21"/>
  <c r="M122" i="21"/>
  <c r="M121" i="21"/>
  <c r="M120" i="21"/>
  <c r="M119" i="21"/>
  <c r="M118" i="21"/>
  <c r="M117" i="21"/>
  <c r="M116" i="21"/>
  <c r="M115" i="21"/>
  <c r="M114" i="21"/>
  <c r="M113" i="21"/>
  <c r="M112" i="21"/>
  <c r="D121" i="21"/>
  <c r="D119" i="21"/>
  <c r="D117" i="21"/>
  <c r="D115" i="21"/>
  <c r="D113" i="21"/>
  <c r="F121" i="21"/>
  <c r="F119" i="21"/>
  <c r="F117" i="21"/>
  <c r="F115" i="21"/>
  <c r="F113" i="21"/>
  <c r="H121" i="21"/>
  <c r="H119" i="21"/>
  <c r="H117" i="21"/>
  <c r="H115" i="21"/>
  <c r="H113" i="21"/>
  <c r="J121" i="21"/>
  <c r="J119" i="21"/>
  <c r="J117" i="21"/>
  <c r="J115" i="21"/>
  <c r="J113" i="21"/>
  <c r="L121" i="21"/>
  <c r="L119" i="21"/>
  <c r="L117" i="21"/>
  <c r="L115" i="21"/>
  <c r="L113" i="21"/>
  <c r="G48" i="11"/>
  <c r="G47" i="11"/>
  <c r="G46" i="11"/>
  <c r="E46" i="11" s="1"/>
  <c r="E39" i="12" s="1"/>
  <c r="H85" i="11"/>
  <c r="G60" i="11" s="1"/>
  <c r="G85" i="11"/>
  <c r="G62" i="11" s="1"/>
  <c r="E70" i="12" s="1"/>
  <c r="F85" i="11"/>
  <c r="G61" i="11" s="1"/>
  <c r="E69" i="12" s="1"/>
  <c r="E84" i="11"/>
  <c r="E83" i="11"/>
  <c r="E82" i="11"/>
  <c r="E81" i="11"/>
  <c r="E80" i="11"/>
  <c r="E79" i="11"/>
  <c r="E78" i="11"/>
  <c r="E77" i="11"/>
  <c r="E76" i="11"/>
  <c r="E75" i="11"/>
  <c r="E74" i="11"/>
  <c r="E73" i="11"/>
  <c r="E72" i="11"/>
  <c r="A25" i="12"/>
  <c r="A26" i="12"/>
  <c r="E211" i="61"/>
  <c r="F192" i="61"/>
  <c r="G192" i="61" s="1"/>
  <c r="I192" i="61" s="1"/>
  <c r="F191" i="61"/>
  <c r="G191" i="61" s="1"/>
  <c r="I191" i="61" s="1"/>
  <c r="F189" i="61"/>
  <c r="J189" i="61" s="1"/>
  <c r="L196" i="61"/>
  <c r="F188" i="61"/>
  <c r="N188" i="61" s="1"/>
  <c r="H183" i="61"/>
  <c r="E183" i="61"/>
  <c r="F180" i="61"/>
  <c r="J180" i="61" s="1"/>
  <c r="M180" i="61" s="1"/>
  <c r="F179" i="61"/>
  <c r="J179" i="61" s="1"/>
  <c r="M179" i="61" s="1"/>
  <c r="F178" i="61"/>
  <c r="N178" i="61" s="1"/>
  <c r="F177" i="61"/>
  <c r="G177" i="61" s="1"/>
  <c r="I177" i="61" s="1"/>
  <c r="F176" i="61"/>
  <c r="J176" i="61" s="1"/>
  <c r="M176" i="61" s="1"/>
  <c r="F175" i="61"/>
  <c r="N175" i="61" s="1"/>
  <c r="F174" i="61"/>
  <c r="J174" i="61" s="1"/>
  <c r="M174" i="61" s="1"/>
  <c r="F173" i="61"/>
  <c r="N173" i="61" s="1"/>
  <c r="F172" i="61"/>
  <c r="F171" i="61"/>
  <c r="J171" i="61" s="1"/>
  <c r="M171" i="61" s="1"/>
  <c r="F170" i="61"/>
  <c r="G170" i="61" s="1"/>
  <c r="I170" i="61" s="1"/>
  <c r="F169" i="61"/>
  <c r="N169" i="61" s="1"/>
  <c r="F168" i="61"/>
  <c r="N168" i="61" s="1"/>
  <c r="F167" i="61"/>
  <c r="N167" i="61" s="1"/>
  <c r="L183" i="61"/>
  <c r="F166" i="61"/>
  <c r="G166" i="61" s="1"/>
  <c r="N162" i="61"/>
  <c r="M162" i="61"/>
  <c r="L162" i="61"/>
  <c r="J162" i="61"/>
  <c r="I162" i="61"/>
  <c r="H162" i="61"/>
  <c r="G162" i="61"/>
  <c r="E162" i="61"/>
  <c r="N157" i="61"/>
  <c r="M157" i="61"/>
  <c r="L157" i="61"/>
  <c r="J157" i="61"/>
  <c r="I157" i="61"/>
  <c r="H157" i="61"/>
  <c r="G157" i="61"/>
  <c r="E157" i="61"/>
  <c r="L152" i="61"/>
  <c r="E152" i="61"/>
  <c r="F149" i="61"/>
  <c r="J149" i="61" s="1"/>
  <c r="M149" i="61" s="1"/>
  <c r="F148" i="61"/>
  <c r="G148" i="61" s="1"/>
  <c r="I148" i="61" s="1"/>
  <c r="F147" i="61"/>
  <c r="F146" i="61"/>
  <c r="J146" i="61" s="1"/>
  <c r="M146" i="61" s="1"/>
  <c r="F145" i="61"/>
  <c r="N145" i="61" s="1"/>
  <c r="F144" i="61"/>
  <c r="N144" i="61" s="1"/>
  <c r="F143" i="61"/>
  <c r="N143" i="61" s="1"/>
  <c r="F142" i="61"/>
  <c r="N142" i="61" s="1"/>
  <c r="F141" i="61"/>
  <c r="N141" i="61" s="1"/>
  <c r="F140" i="61"/>
  <c r="N140" i="61" s="1"/>
  <c r="F139" i="61"/>
  <c r="N139" i="61" s="1"/>
  <c r="F138" i="61"/>
  <c r="N138" i="61" s="1"/>
  <c r="F137" i="61"/>
  <c r="G137" i="61" s="1"/>
  <c r="F136" i="61"/>
  <c r="N136" i="61" s="1"/>
  <c r="F135" i="61"/>
  <c r="N135" i="61" s="1"/>
  <c r="F134" i="61"/>
  <c r="N134" i="61" s="1"/>
  <c r="F133" i="61"/>
  <c r="N133" i="61" s="1"/>
  <c r="F132" i="61"/>
  <c r="N132" i="61" s="1"/>
  <c r="F131" i="61"/>
  <c r="G131" i="61" s="1"/>
  <c r="H131" i="61" s="1"/>
  <c r="F123" i="61"/>
  <c r="N123" i="61" s="1"/>
  <c r="F122" i="61"/>
  <c r="N122" i="61" s="1"/>
  <c r="F121" i="61"/>
  <c r="N121" i="61" s="1"/>
  <c r="F120" i="61"/>
  <c r="N120" i="61" s="1"/>
  <c r="F119" i="61"/>
  <c r="N119" i="61" s="1"/>
  <c r="F118" i="61"/>
  <c r="G118" i="61" s="1"/>
  <c r="I118" i="61" s="1"/>
  <c r="F117" i="61"/>
  <c r="N117" i="61" s="1"/>
  <c r="F116" i="61"/>
  <c r="N116" i="61" s="1"/>
  <c r="F115" i="61"/>
  <c r="N115" i="61" s="1"/>
  <c r="F114" i="61"/>
  <c r="J114" i="61" s="1"/>
  <c r="M114" i="61" s="1"/>
  <c r="F113" i="61"/>
  <c r="J113" i="61" s="1"/>
  <c r="M113" i="61" s="1"/>
  <c r="F112" i="61"/>
  <c r="J112" i="61" s="1"/>
  <c r="M112" i="61" s="1"/>
  <c r="F111" i="61"/>
  <c r="J111" i="61" s="1"/>
  <c r="M111" i="61" s="1"/>
  <c r="F110" i="61"/>
  <c r="J110" i="61" s="1"/>
  <c r="M110" i="61" s="1"/>
  <c r="F109" i="61"/>
  <c r="J109" i="61" s="1"/>
  <c r="M109" i="61" s="1"/>
  <c r="F108" i="61"/>
  <c r="N108" i="61" s="1"/>
  <c r="F107" i="61"/>
  <c r="N107" i="61" s="1"/>
  <c r="F106" i="61"/>
  <c r="N106" i="61" s="1"/>
  <c r="F105" i="61"/>
  <c r="J105" i="61" s="1"/>
  <c r="M105" i="61" s="1"/>
  <c r="F104" i="61"/>
  <c r="F103" i="61"/>
  <c r="G103" i="61" s="1"/>
  <c r="I103" i="61" s="1"/>
  <c r="F102" i="61"/>
  <c r="N102" i="61" s="1"/>
  <c r="F101" i="61"/>
  <c r="J101" i="61" s="1"/>
  <c r="M101" i="61" s="1"/>
  <c r="F100" i="61"/>
  <c r="F99" i="61"/>
  <c r="J99" i="61" s="1"/>
  <c r="M99" i="61" s="1"/>
  <c r="F98" i="61"/>
  <c r="N98" i="61" s="1"/>
  <c r="F97" i="61"/>
  <c r="J97" i="61" s="1"/>
  <c r="M97" i="61" s="1"/>
  <c r="F96" i="61"/>
  <c r="N96" i="61" s="1"/>
  <c r="F95" i="61"/>
  <c r="J95" i="61" s="1"/>
  <c r="M95" i="61" s="1"/>
  <c r="F94" i="61"/>
  <c r="N94" i="61" s="1"/>
  <c r="F93" i="61"/>
  <c r="N93" i="61" s="1"/>
  <c r="F92" i="61"/>
  <c r="F91" i="61"/>
  <c r="J91" i="61" s="1"/>
  <c r="M91" i="61" s="1"/>
  <c r="F90" i="61"/>
  <c r="N90" i="61" s="1"/>
  <c r="F89" i="61"/>
  <c r="N89" i="61" s="1"/>
  <c r="F88" i="61"/>
  <c r="J88" i="61" s="1"/>
  <c r="M88" i="61" s="1"/>
  <c r="F87" i="61"/>
  <c r="N87" i="61" s="1"/>
  <c r="L128" i="61"/>
  <c r="F86" i="61"/>
  <c r="J86" i="61" s="1"/>
  <c r="M86" i="61" s="1"/>
  <c r="F85" i="61"/>
  <c r="J85" i="61" s="1"/>
  <c r="M85" i="61" s="1"/>
  <c r="F84" i="61"/>
  <c r="J84" i="61" s="1"/>
  <c r="M84" i="61" s="1"/>
  <c r="F83" i="61"/>
  <c r="J83" i="61" s="1"/>
  <c r="F82" i="61"/>
  <c r="J82" i="61" s="1"/>
  <c r="M82" i="61" s="1"/>
  <c r="F81" i="61"/>
  <c r="N81" i="61" s="1"/>
  <c r="F80" i="61"/>
  <c r="N80" i="61" s="1"/>
  <c r="H79" i="61"/>
  <c r="G79" i="61" s="1"/>
  <c r="F79" i="61"/>
  <c r="J79" i="61" s="1"/>
  <c r="M79" i="61" s="1"/>
  <c r="H78" i="61"/>
  <c r="H128" i="61" s="1"/>
  <c r="F78" i="61"/>
  <c r="G78" i="61" s="1"/>
  <c r="F76" i="61"/>
  <c r="N76" i="61" s="1"/>
  <c r="F75" i="61"/>
  <c r="N75" i="61" s="1"/>
  <c r="F74" i="61"/>
  <c r="N74" i="61" s="1"/>
  <c r="F73" i="61"/>
  <c r="N73" i="61" s="1"/>
  <c r="F72" i="61"/>
  <c r="N72" i="61" s="1"/>
  <c r="F71" i="61"/>
  <c r="J71" i="61" s="1"/>
  <c r="M71" i="61" s="1"/>
  <c r="F70" i="61"/>
  <c r="J70" i="61" s="1"/>
  <c r="M70" i="61" s="1"/>
  <c r="E67" i="61"/>
  <c r="F61" i="61"/>
  <c r="N61" i="61" s="1"/>
  <c r="F60" i="61"/>
  <c r="G60" i="61" s="1"/>
  <c r="I60" i="61" s="1"/>
  <c r="F59" i="61"/>
  <c r="J59" i="61" s="1"/>
  <c r="M59" i="61" s="1"/>
  <c r="F58" i="61"/>
  <c r="N58" i="61" s="1"/>
  <c r="F57" i="61"/>
  <c r="N57" i="61" s="1"/>
  <c r="F56" i="61"/>
  <c r="N56" i="61" s="1"/>
  <c r="F55" i="61"/>
  <c r="N55" i="61" s="1"/>
  <c r="F54" i="61"/>
  <c r="N54" i="61" s="1"/>
  <c r="H53" i="61"/>
  <c r="F53" i="61"/>
  <c r="G53" i="61" s="1"/>
  <c r="H52" i="61"/>
  <c r="G52" i="61" s="1"/>
  <c r="F52" i="61"/>
  <c r="J52" i="61" s="1"/>
  <c r="M52" i="61" s="1"/>
  <c r="H51" i="61"/>
  <c r="F51" i="61"/>
  <c r="G51" i="61" s="1"/>
  <c r="H50" i="61"/>
  <c r="G50" i="61" s="1"/>
  <c r="F50" i="61"/>
  <c r="F49" i="61"/>
  <c r="N49" i="61" s="1"/>
  <c r="F48" i="61"/>
  <c r="N48" i="61" s="1"/>
  <c r="F47" i="61"/>
  <c r="J47" i="61" s="1"/>
  <c r="M47" i="61" s="1"/>
  <c r="F46" i="61"/>
  <c r="J46" i="61" s="1"/>
  <c r="M46" i="61" s="1"/>
  <c r="L67" i="61"/>
  <c r="F45" i="61"/>
  <c r="J45" i="61" s="1"/>
  <c r="M45" i="61" s="1"/>
  <c r="F43" i="61"/>
  <c r="N43" i="61" s="1"/>
  <c r="F42" i="61"/>
  <c r="N42" i="61" s="1"/>
  <c r="F41" i="61"/>
  <c r="N41" i="61" s="1"/>
  <c r="F40" i="61"/>
  <c r="N40" i="61" s="1"/>
  <c r="F39" i="61"/>
  <c r="N39" i="61" s="1"/>
  <c r="L36" i="61"/>
  <c r="H36" i="61"/>
  <c r="F33" i="61"/>
  <c r="N33" i="61" s="1"/>
  <c r="F32" i="61"/>
  <c r="F31" i="61"/>
  <c r="J31" i="61" s="1"/>
  <c r="M31" i="61" s="1"/>
  <c r="H28" i="61"/>
  <c r="E28" i="61"/>
  <c r="F20" i="61"/>
  <c r="N20" i="61" s="1"/>
  <c r="L28" i="61"/>
  <c r="F19" i="61"/>
  <c r="G19" i="61" s="1"/>
  <c r="I19" i="61" s="1"/>
  <c r="F18" i="61"/>
  <c r="J18" i="61" s="1"/>
  <c r="M18" i="61" s="1"/>
  <c r="F17" i="61"/>
  <c r="F16" i="61"/>
  <c r="J16" i="61" s="1"/>
  <c r="M16" i="61" s="1"/>
  <c r="F15" i="61"/>
  <c r="G15" i="61" s="1"/>
  <c r="I15" i="61" s="1"/>
  <c r="F14" i="61"/>
  <c r="J14" i="61" s="1"/>
  <c r="F13" i="61"/>
  <c r="J13" i="61" s="1"/>
  <c r="M13" i="61" s="1"/>
  <c r="F12" i="61"/>
  <c r="J12" i="61" s="1"/>
  <c r="M12" i="61" s="1"/>
  <c r="L9" i="61"/>
  <c r="H9" i="61"/>
  <c r="E9" i="61"/>
  <c r="F6" i="61"/>
  <c r="J6" i="61" s="1"/>
  <c r="M6" i="61" s="1"/>
  <c r="F5" i="61"/>
  <c r="J5" i="61" s="1"/>
  <c r="M5" i="61" s="1"/>
  <c r="F4" i="61"/>
  <c r="G4" i="61" s="1"/>
  <c r="D16" i="57"/>
  <c r="E11" i="57"/>
  <c r="E12" i="57" s="1"/>
  <c r="D11" i="57"/>
  <c r="D10" i="57"/>
  <c r="D17" i="57"/>
  <c r="F48" i="11"/>
  <c r="F62" i="11"/>
  <c r="E46" i="71"/>
  <c r="E24" i="54"/>
  <c r="D24" i="54"/>
  <c r="A8" i="17"/>
  <c r="A9" i="17" s="1"/>
  <c r="A10" i="17" s="1"/>
  <c r="A11" i="17" s="1"/>
  <c r="A12" i="17" s="1"/>
  <c r="A13" i="17" s="1"/>
  <c r="A14" i="17" s="1"/>
  <c r="I101" i="1" s="1"/>
  <c r="H43" i="26"/>
  <c r="D43" i="26" s="1"/>
  <c r="G12" i="26" s="1"/>
  <c r="H12" i="26" s="1"/>
  <c r="D50" i="26"/>
  <c r="G19" i="26" s="1"/>
  <c r="H19" i="26" s="1"/>
  <c r="D49" i="26"/>
  <c r="G18" i="26" s="1"/>
  <c r="H18" i="26" s="1"/>
  <c r="D48" i="26"/>
  <c r="G17" i="26" s="1"/>
  <c r="H17" i="26" s="1"/>
  <c r="D47" i="26"/>
  <c r="G16" i="26" s="1"/>
  <c r="H16" i="26" s="1"/>
  <c r="D46" i="26"/>
  <c r="G15" i="26" s="1"/>
  <c r="H15" i="26" s="1"/>
  <c r="D45" i="26"/>
  <c r="G14" i="26" s="1"/>
  <c r="H14" i="26" s="1"/>
  <c r="D44" i="26"/>
  <c r="G13" i="26" s="1"/>
  <c r="H13" i="26" s="1"/>
  <c r="D42" i="26"/>
  <c r="G11" i="26" s="1"/>
  <c r="H11" i="26" s="1"/>
  <c r="D41" i="26"/>
  <c r="G10" i="26" s="1"/>
  <c r="H10" i="26" s="1"/>
  <c r="D40" i="26"/>
  <c r="G9" i="26" s="1"/>
  <c r="H9" i="26" s="1"/>
  <c r="D39" i="26"/>
  <c r="G8" i="26" s="1"/>
  <c r="H8" i="26" s="1"/>
  <c r="D38" i="26"/>
  <c r="G7" i="26" s="1"/>
  <c r="H7" i="26" s="1"/>
  <c r="A10" i="57"/>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K18" i="57"/>
  <c r="K20" i="57" s="1"/>
  <c r="E31" i="57" s="1"/>
  <c r="J18" i="57"/>
  <c r="I18" i="57"/>
  <c r="H18" i="57"/>
  <c r="G18" i="57"/>
  <c r="E17" i="57"/>
  <c r="E15" i="57"/>
  <c r="D15" i="57"/>
  <c r="C11" i="57"/>
  <c r="C10" i="57"/>
  <c r="K12" i="57"/>
  <c r="J12" i="57"/>
  <c r="I12" i="57"/>
  <c r="H12" i="57"/>
  <c r="G12" i="57"/>
  <c r="D12" i="57"/>
  <c r="F11" i="56"/>
  <c r="F10" i="56"/>
  <c r="A9" i="56"/>
  <c r="A10" i="56" s="1"/>
  <c r="C40" i="56"/>
  <c r="C42" i="56" s="1"/>
  <c r="F42" i="56" s="1"/>
  <c r="F39" i="56"/>
  <c r="F38" i="56"/>
  <c r="F36" i="56"/>
  <c r="C26" i="56"/>
  <c r="F26" i="56" s="1"/>
  <c r="F25" i="56"/>
  <c r="F24" i="56"/>
  <c r="F23" i="56"/>
  <c r="F22" i="56"/>
  <c r="F21" i="56"/>
  <c r="F20" i="56"/>
  <c r="C12" i="56"/>
  <c r="C17" i="56" s="1"/>
  <c r="F40" i="56"/>
  <c r="K30" i="1"/>
  <c r="K134" i="1"/>
  <c r="J58" i="8" s="1"/>
  <c r="A15" i="32"/>
  <c r="G16" i="32" s="1"/>
  <c r="A7" i="26"/>
  <c r="A8" i="26" s="1"/>
  <c r="A9" i="26" s="1"/>
  <c r="A10" i="26" s="1"/>
  <c r="A27" i="11"/>
  <c r="K100" i="1"/>
  <c r="A7" i="8"/>
  <c r="A8" i="8" s="1"/>
  <c r="A9" i="8" s="1"/>
  <c r="A33" i="8"/>
  <c r="H34" i="8" s="1"/>
  <c r="A34" i="8"/>
  <c r="A38" i="8" s="1"/>
  <c r="E41" i="32"/>
  <c r="E35" i="32"/>
  <c r="K12" i="1"/>
  <c r="K128" i="1"/>
  <c r="J52" i="8" s="1"/>
  <c r="F24" i="26"/>
  <c r="F7" i="42"/>
  <c r="E21" i="32" s="1"/>
  <c r="F27" i="12"/>
  <c r="F26" i="12"/>
  <c r="F55" i="12" s="1"/>
  <c r="F25" i="12"/>
  <c r="F54" i="12" s="1"/>
  <c r="J44" i="8"/>
  <c r="F22" i="31"/>
  <c r="E22" i="31"/>
  <c r="D22" i="31"/>
  <c r="E20" i="26"/>
  <c r="D18" i="57"/>
  <c r="F15" i="56"/>
  <c r="J20" i="61"/>
  <c r="M20" i="61" s="1"/>
  <c r="G20" i="61"/>
  <c r="I20" i="61" s="1"/>
  <c r="N32" i="61"/>
  <c r="N31" i="61"/>
  <c r="N45" i="61"/>
  <c r="N47" i="61"/>
  <c r="N59" i="61"/>
  <c r="J87" i="61"/>
  <c r="M87" i="61" s="1"/>
  <c r="G90" i="61"/>
  <c r="I90" i="61" s="1"/>
  <c r="G98" i="61"/>
  <c r="I98" i="61" s="1"/>
  <c r="J103" i="61"/>
  <c r="M103" i="61" s="1"/>
  <c r="N105" i="61"/>
  <c r="G39" i="61"/>
  <c r="I39" i="61" s="1"/>
  <c r="J39" i="61"/>
  <c r="M39" i="61" s="1"/>
  <c r="J40" i="61"/>
  <c r="M40" i="61" s="1"/>
  <c r="J42" i="61"/>
  <c r="M42" i="61" s="1"/>
  <c r="G43" i="61"/>
  <c r="I43" i="61" s="1"/>
  <c r="J43" i="61"/>
  <c r="M43" i="61" s="1"/>
  <c r="G47" i="61"/>
  <c r="I47" i="61" s="1"/>
  <c r="G49" i="61"/>
  <c r="I49" i="61" s="1"/>
  <c r="J49" i="61"/>
  <c r="M49" i="61" s="1"/>
  <c r="J50" i="61"/>
  <c r="M50" i="61" s="1"/>
  <c r="G54" i="61"/>
  <c r="I54" i="61" s="1"/>
  <c r="G55" i="61"/>
  <c r="I55" i="61" s="1"/>
  <c r="J55" i="61"/>
  <c r="M55" i="61" s="1"/>
  <c r="G57" i="61"/>
  <c r="I57" i="61" s="1"/>
  <c r="J57" i="61"/>
  <c r="M57" i="61" s="1"/>
  <c r="G58" i="61"/>
  <c r="I58" i="61" s="1"/>
  <c r="G59" i="61"/>
  <c r="I59" i="61" s="1"/>
  <c r="J78" i="61"/>
  <c r="M78" i="61" s="1"/>
  <c r="G80" i="61"/>
  <c r="I80" i="61" s="1"/>
  <c r="G81" i="61"/>
  <c r="I81" i="61" s="1"/>
  <c r="J81" i="61"/>
  <c r="M81" i="61" s="1"/>
  <c r="G82" i="61"/>
  <c r="I82" i="61" s="1"/>
  <c r="N91" i="61"/>
  <c r="G91" i="61"/>
  <c r="I91" i="61" s="1"/>
  <c r="J96" i="61"/>
  <c r="M96" i="61" s="1"/>
  <c r="G96" i="61"/>
  <c r="I96" i="61" s="1"/>
  <c r="N100" i="61"/>
  <c r="J100" i="61"/>
  <c r="M100" i="61" s="1"/>
  <c r="G100" i="61"/>
  <c r="I100" i="61" s="1"/>
  <c r="G102" i="61"/>
  <c r="I102" i="61" s="1"/>
  <c r="N104" i="61"/>
  <c r="J104" i="61"/>
  <c r="M104" i="61" s="1"/>
  <c r="G104" i="61"/>
  <c r="I104" i="61" s="1"/>
  <c r="J137" i="61"/>
  <c r="M137" i="61" s="1"/>
  <c r="J145" i="61"/>
  <c r="M145" i="61" s="1"/>
  <c r="G145" i="61"/>
  <c r="I145" i="61" s="1"/>
  <c r="N147" i="61"/>
  <c r="J147" i="61"/>
  <c r="M147" i="61" s="1"/>
  <c r="G147" i="61"/>
  <c r="I147" i="61" s="1"/>
  <c r="N149" i="61"/>
  <c r="J170" i="61"/>
  <c r="M170" i="61" s="1"/>
  <c r="J191" i="61"/>
  <c r="M191" i="61" s="1"/>
  <c r="J107" i="61"/>
  <c r="M107" i="61" s="1"/>
  <c r="G108" i="61"/>
  <c r="I108" i="61" s="1"/>
  <c r="J108" i="61"/>
  <c r="M108" i="61" s="1"/>
  <c r="J131" i="61"/>
  <c r="M131" i="61" s="1"/>
  <c r="G133" i="61"/>
  <c r="I133" i="61" s="1"/>
  <c r="J134" i="61"/>
  <c r="M134" i="61" s="1"/>
  <c r="G135" i="61"/>
  <c r="I135" i="61" s="1"/>
  <c r="J135" i="61"/>
  <c r="M135" i="61" s="1"/>
  <c r="N146" i="61"/>
  <c r="G146" i="61"/>
  <c r="I146" i="61" s="1"/>
  <c r="J168" i="61"/>
  <c r="M168" i="61" s="1"/>
  <c r="G168" i="61"/>
  <c r="I168" i="61" s="1"/>
  <c r="N172" i="61"/>
  <c r="J172" i="61"/>
  <c r="M172" i="61" s="1"/>
  <c r="G172" i="61"/>
  <c r="I172" i="61" s="1"/>
  <c r="J175" i="61"/>
  <c r="M175" i="61" s="1"/>
  <c r="G179" i="61"/>
  <c r="I179" i="61" s="1"/>
  <c r="G188" i="61"/>
  <c r="J192" i="61"/>
  <c r="M192" i="61" s="1"/>
  <c r="F47" i="11"/>
  <c r="F61" i="11"/>
  <c r="E61" i="11" s="1"/>
  <c r="F39" i="12"/>
  <c r="F56" i="12"/>
  <c r="F41" i="12"/>
  <c r="A9" i="2"/>
  <c r="A10" i="2" s="1"/>
  <c r="A11" i="2" s="1"/>
  <c r="H55" i="8"/>
  <c r="A28" i="11"/>
  <c r="A29" i="11" s="1"/>
  <c r="A30" i="11" s="1"/>
  <c r="A31" i="11" s="1"/>
  <c r="A32" i="11" s="1"/>
  <c r="A33" i="11" s="1"/>
  <c r="A34" i="11" s="1"/>
  <c r="A35" i="11" s="1"/>
  <c r="A36" i="11" s="1"/>
  <c r="A37" i="11" s="1"/>
  <c r="D120" i="65"/>
  <c r="F120" i="65"/>
  <c r="H120" i="65"/>
  <c r="I111" i="65"/>
  <c r="I115" i="65"/>
  <c r="I119" i="65"/>
  <c r="G21" i="2"/>
  <c r="J98" i="61"/>
  <c r="M98" i="61" s="1"/>
  <c r="H137" i="61"/>
  <c r="I137" i="61" s="1"/>
  <c r="N5" i="61"/>
  <c r="N6" i="61"/>
  <c r="N13" i="61"/>
  <c r="N70" i="61"/>
  <c r="N180" i="61"/>
  <c r="N192" i="61"/>
  <c r="N84" i="61"/>
  <c r="N85" i="61"/>
  <c r="N88" i="61"/>
  <c r="G120" i="61"/>
  <c r="I120" i="61" s="1"/>
  <c r="J19" i="61"/>
  <c r="M19" i="61" s="1"/>
  <c r="J48" i="61"/>
  <c r="M48" i="61" s="1"/>
  <c r="G12" i="61"/>
  <c r="I12" i="61" s="1"/>
  <c r="G13" i="61"/>
  <c r="I13" i="61" s="1"/>
  <c r="G16" i="61"/>
  <c r="I16" i="61" s="1"/>
  <c r="G17" i="61"/>
  <c r="I17" i="61" s="1"/>
  <c r="G46" i="61"/>
  <c r="I46" i="61" s="1"/>
  <c r="G61" i="61"/>
  <c r="I61" i="61" s="1"/>
  <c r="G70" i="61"/>
  <c r="I70" i="61" s="1"/>
  <c r="G72" i="61"/>
  <c r="I72" i="61" s="1"/>
  <c r="G73" i="61"/>
  <c r="I73" i="61" s="1"/>
  <c r="G74" i="61"/>
  <c r="I74" i="61" s="1"/>
  <c r="G76" i="61"/>
  <c r="I76" i="61" s="1"/>
  <c r="N78" i="61"/>
  <c r="G84" i="61"/>
  <c r="I84" i="61" s="1"/>
  <c r="G85" i="61"/>
  <c r="I85" i="61" s="1"/>
  <c r="N86" i="61"/>
  <c r="G88" i="61"/>
  <c r="I88" i="61" s="1"/>
  <c r="G94" i="61"/>
  <c r="I94" i="61" s="1"/>
  <c r="N95" i="61"/>
  <c r="N99" i="61"/>
  <c r="N111" i="61"/>
  <c r="N112" i="61"/>
  <c r="J116" i="61"/>
  <c r="M116" i="61" s="1"/>
  <c r="J118" i="61"/>
  <c r="M118" i="61" s="1"/>
  <c r="J120" i="61"/>
  <c r="M120" i="61" s="1"/>
  <c r="G110" i="61"/>
  <c r="I110" i="61" s="1"/>
  <c r="G112" i="61"/>
  <c r="I112" i="61" s="1"/>
  <c r="J115" i="61"/>
  <c r="M115" i="61" s="1"/>
  <c r="J119" i="61"/>
  <c r="M119" i="61" s="1"/>
  <c r="J123" i="61"/>
  <c r="M123" i="61" s="1"/>
  <c r="J138" i="61"/>
  <c r="M138" i="61" s="1"/>
  <c r="G139" i="61"/>
  <c r="I139" i="61" s="1"/>
  <c r="J139" i="61"/>
  <c r="M139" i="61" s="1"/>
  <c r="J141" i="61"/>
  <c r="M141" i="61" s="1"/>
  <c r="J142" i="61"/>
  <c r="M142" i="61" s="1"/>
  <c r="G143" i="61"/>
  <c r="I143" i="61" s="1"/>
  <c r="J143" i="61"/>
  <c r="M143" i="61" s="1"/>
  <c r="J167" i="61"/>
  <c r="M167" i="61" s="1"/>
  <c r="J169" i="61"/>
  <c r="M169" i="61" s="1"/>
  <c r="N131" i="61"/>
  <c r="G171" i="61"/>
  <c r="I171" i="61" s="1"/>
  <c r="G176" i="61"/>
  <c r="I176" i="61" s="1"/>
  <c r="G180" i="61"/>
  <c r="I180" i="61" s="1"/>
  <c r="D99" i="46"/>
  <c r="D101" i="46"/>
  <c r="H101" i="46" s="1"/>
  <c r="D102" i="46"/>
  <c r="H102" i="46" s="1"/>
  <c r="D103" i="46"/>
  <c r="H103" i="46" s="1"/>
  <c r="D104" i="46"/>
  <c r="H104" i="46" s="1"/>
  <c r="D105" i="46"/>
  <c r="H105" i="46" s="1"/>
  <c r="D106" i="46"/>
  <c r="H106" i="46" s="1"/>
  <c r="D107" i="46"/>
  <c r="H107" i="46" s="1"/>
  <c r="D108" i="46"/>
  <c r="H108" i="46" s="1"/>
  <c r="D109" i="46"/>
  <c r="H109" i="46" s="1"/>
  <c r="J23" i="46"/>
  <c r="C109" i="46" s="1"/>
  <c r="D111" i="46"/>
  <c r="D113" i="46"/>
  <c r="H113" i="46" s="1"/>
  <c r="D114" i="46"/>
  <c r="D117" i="46"/>
  <c r="C62" i="46"/>
  <c r="E158" i="46"/>
  <c r="E159" i="46"/>
  <c r="E160" i="46"/>
  <c r="E161" i="46"/>
  <c r="I161" i="46" s="1"/>
  <c r="E162" i="46"/>
  <c r="I162" i="46" s="1"/>
  <c r="E163" i="46"/>
  <c r="L11" i="46"/>
  <c r="E97" i="46" s="1"/>
  <c r="D123" i="46"/>
  <c r="D131" i="46"/>
  <c r="J45" i="46"/>
  <c r="C131" i="46" s="1"/>
  <c r="D139" i="46"/>
  <c r="H139" i="46" s="1"/>
  <c r="K11" i="46"/>
  <c r="K34" i="46"/>
  <c r="D120" i="46" s="1"/>
  <c r="K36" i="46"/>
  <c r="D122" i="46" s="1"/>
  <c r="K38" i="46"/>
  <c r="K40" i="46"/>
  <c r="K42" i="46"/>
  <c r="D128" i="46" s="1"/>
  <c r="K44" i="46"/>
  <c r="K46" i="46"/>
  <c r="K48" i="46"/>
  <c r="D134" i="46" s="1"/>
  <c r="H134" i="46" s="1"/>
  <c r="K50" i="46"/>
  <c r="D136" i="46" s="1"/>
  <c r="H136" i="46" s="1"/>
  <c r="K52" i="46"/>
  <c r="D138" i="46" s="1"/>
  <c r="H138" i="46" s="1"/>
  <c r="K54" i="46"/>
  <c r="D140" i="46" s="1"/>
  <c r="K57" i="46"/>
  <c r="K59" i="46"/>
  <c r="D145" i="46" s="1"/>
  <c r="D157" i="46"/>
  <c r="L71" i="46"/>
  <c r="D164" i="46"/>
  <c r="H64" i="44"/>
  <c r="A10" i="1"/>
  <c r="A11" i="1" s="1"/>
  <c r="A12" i="1" s="1"/>
  <c r="A15" i="1" s="1"/>
  <c r="A16" i="1" s="1"/>
  <c r="A17" i="1" s="1"/>
  <c r="H14" i="8" s="1"/>
  <c r="J75" i="61"/>
  <c r="M75" i="61" s="1"/>
  <c r="N176" i="61"/>
  <c r="J74" i="61"/>
  <c r="M74" i="61" s="1"/>
  <c r="J76" i="61"/>
  <c r="M76" i="61" s="1"/>
  <c r="J93" i="61"/>
  <c r="M93" i="61" s="1"/>
  <c r="G6" i="61"/>
  <c r="I6" i="61" s="1"/>
  <c r="J15" i="61"/>
  <c r="M15" i="61" s="1"/>
  <c r="N16" i="61"/>
  <c r="N17" i="61"/>
  <c r="J17" i="61"/>
  <c r="M17" i="61" s="1"/>
  <c r="J32" i="61"/>
  <c r="G32" i="61"/>
  <c r="N92" i="61"/>
  <c r="J92" i="61"/>
  <c r="M92" i="61" s="1"/>
  <c r="G92" i="61"/>
  <c r="I92" i="61" s="1"/>
  <c r="J77" i="61"/>
  <c r="M77" i="61" s="1"/>
  <c r="N77" i="61"/>
  <c r="E10" i="2"/>
  <c r="F17" i="56" l="1"/>
  <c r="I83" i="46"/>
  <c r="H24" i="8"/>
  <c r="I28" i="1"/>
  <c r="E62" i="11"/>
  <c r="E56" i="12" s="1"/>
  <c r="F40" i="12"/>
  <c r="K56" i="65"/>
  <c r="K68" i="65" s="1"/>
  <c r="E74" i="65" s="1"/>
  <c r="E75" i="65" s="1"/>
  <c r="K148" i="1" s="1"/>
  <c r="C8" i="9" s="1"/>
  <c r="G68" i="65"/>
  <c r="E47" i="11"/>
  <c r="E40" i="12" s="1"/>
  <c r="E29" i="32"/>
  <c r="C16" i="57"/>
  <c r="G20" i="57"/>
  <c r="C26" i="57" s="1"/>
  <c r="C15" i="57"/>
  <c r="D144" i="46"/>
  <c r="J39" i="46"/>
  <c r="C125" i="46" s="1"/>
  <c r="D119" i="46"/>
  <c r="J49" i="46"/>
  <c r="C135" i="46" s="1"/>
  <c r="J37" i="46"/>
  <c r="C123" i="46" s="1"/>
  <c r="N50" i="61"/>
  <c r="N79" i="61"/>
  <c r="N36" i="61"/>
  <c r="N18" i="61"/>
  <c r="N44" i="61"/>
  <c r="N15" i="61"/>
  <c r="J94" i="61"/>
  <c r="M94" i="61" s="1"/>
  <c r="G189" i="61"/>
  <c r="I189" i="61" s="1"/>
  <c r="G141" i="61"/>
  <c r="I141" i="61" s="1"/>
  <c r="G114" i="61"/>
  <c r="I114" i="61" s="1"/>
  <c r="G86" i="61"/>
  <c r="I86" i="61" s="1"/>
  <c r="N110" i="61"/>
  <c r="G93" i="61"/>
  <c r="I93" i="61" s="1"/>
  <c r="G75" i="61"/>
  <c r="I75" i="61" s="1"/>
  <c r="G71" i="61"/>
  <c r="I71" i="61" s="1"/>
  <c r="N19" i="61"/>
  <c r="G5" i="61"/>
  <c r="I5" i="61" s="1"/>
  <c r="N4" i="61"/>
  <c r="N9" i="61" s="1"/>
  <c r="N174" i="61"/>
  <c r="N189" i="61"/>
  <c r="N177" i="61"/>
  <c r="N166" i="61"/>
  <c r="J144" i="61"/>
  <c r="M144" i="61" s="1"/>
  <c r="J106" i="61"/>
  <c r="M106" i="61" s="1"/>
  <c r="J173" i="61"/>
  <c r="M173" i="61" s="1"/>
  <c r="G149" i="61"/>
  <c r="I149" i="61" s="1"/>
  <c r="J102" i="61"/>
  <c r="M102" i="61" s="1"/>
  <c r="G56" i="61"/>
  <c r="I56" i="61" s="1"/>
  <c r="J41" i="61"/>
  <c r="M41" i="61" s="1"/>
  <c r="G101" i="61"/>
  <c r="I101" i="61" s="1"/>
  <c r="J90" i="61"/>
  <c r="M90" i="61" s="1"/>
  <c r="J51" i="61"/>
  <c r="M51" i="61" s="1"/>
  <c r="G97" i="61"/>
  <c r="I97" i="61" s="1"/>
  <c r="N14" i="61"/>
  <c r="J132" i="61"/>
  <c r="M132" i="61" s="1"/>
  <c r="J177" i="61"/>
  <c r="M177" i="61" s="1"/>
  <c r="J166" i="61"/>
  <c r="M166" i="61" s="1"/>
  <c r="N109" i="61"/>
  <c r="J33" i="61"/>
  <c r="M33" i="61" s="1"/>
  <c r="N118" i="61"/>
  <c r="J72" i="61"/>
  <c r="M72" i="61" s="1"/>
  <c r="N53" i="61"/>
  <c r="J178" i="61"/>
  <c r="M178" i="61" s="1"/>
  <c r="J140" i="61"/>
  <c r="M140" i="61" s="1"/>
  <c r="J122" i="61"/>
  <c r="M122" i="61" s="1"/>
  <c r="N113" i="61"/>
  <c r="G83" i="61"/>
  <c r="I83" i="61" s="1"/>
  <c r="G18" i="61"/>
  <c r="I18" i="61" s="1"/>
  <c r="G14" i="61"/>
  <c r="I14" i="61" s="1"/>
  <c r="J61" i="61"/>
  <c r="M61" i="61" s="1"/>
  <c r="N83" i="61"/>
  <c r="N71" i="61"/>
  <c r="G122" i="61"/>
  <c r="I122" i="61" s="1"/>
  <c r="N191" i="61"/>
  <c r="N170" i="61"/>
  <c r="J148" i="61"/>
  <c r="M148" i="61" s="1"/>
  <c r="J136" i="61"/>
  <c r="M136" i="61" s="1"/>
  <c r="J133" i="61"/>
  <c r="M133" i="61" s="1"/>
  <c r="G106" i="61"/>
  <c r="I106" i="61" s="1"/>
  <c r="N137" i="61"/>
  <c r="J89" i="61"/>
  <c r="M89" i="61" s="1"/>
  <c r="E208" i="61" s="1"/>
  <c r="E209" i="61" s="1"/>
  <c r="G41" i="61"/>
  <c r="I41" i="61" s="1"/>
  <c r="G105" i="61"/>
  <c r="I105" i="61" s="1"/>
  <c r="N101" i="61"/>
  <c r="H67" i="61"/>
  <c r="I166" i="61"/>
  <c r="G31" i="61"/>
  <c r="I31" i="61" s="1"/>
  <c r="G44" i="61"/>
  <c r="I44" i="61" s="1"/>
  <c r="N60" i="61"/>
  <c r="J73" i="61"/>
  <c r="M73" i="61" s="1"/>
  <c r="G174" i="61"/>
  <c r="I174" i="61" s="1"/>
  <c r="G178" i="61"/>
  <c r="I178" i="61" s="1"/>
  <c r="G167" i="61"/>
  <c r="I167" i="61" s="1"/>
  <c r="G142" i="61"/>
  <c r="I142" i="61" s="1"/>
  <c r="G140" i="61"/>
  <c r="I140" i="61" s="1"/>
  <c r="G138" i="61"/>
  <c r="I138" i="61" s="1"/>
  <c r="J117" i="61"/>
  <c r="M117" i="61" s="1"/>
  <c r="G113" i="61"/>
  <c r="I113" i="61" s="1"/>
  <c r="G99" i="61"/>
  <c r="I99" i="61" s="1"/>
  <c r="G123" i="61"/>
  <c r="I123" i="61" s="1"/>
  <c r="G119" i="61"/>
  <c r="I119" i="61" s="1"/>
  <c r="N114" i="61"/>
  <c r="J60" i="61"/>
  <c r="M60" i="61" s="1"/>
  <c r="N52" i="61"/>
  <c r="N12" i="61"/>
  <c r="G116" i="61"/>
  <c r="I116" i="61" s="1"/>
  <c r="N171" i="61"/>
  <c r="N183" i="61" s="1"/>
  <c r="N46" i="61"/>
  <c r="J188" i="61"/>
  <c r="M188" i="61" s="1"/>
  <c r="M196" i="61" s="1"/>
  <c r="G175" i="61"/>
  <c r="I175" i="61" s="1"/>
  <c r="N148" i="61"/>
  <c r="G144" i="61"/>
  <c r="I144" i="61" s="1"/>
  <c r="G136" i="61"/>
  <c r="I136" i="61" s="1"/>
  <c r="G134" i="61"/>
  <c r="I134" i="61" s="1"/>
  <c r="G132" i="61"/>
  <c r="G173" i="61"/>
  <c r="I173" i="61" s="1"/>
  <c r="G89" i="61"/>
  <c r="I89" i="61" s="1"/>
  <c r="J58" i="61"/>
  <c r="M58" i="61" s="1"/>
  <c r="J56" i="61"/>
  <c r="M56" i="61" s="1"/>
  <c r="J54" i="61"/>
  <c r="M54" i="61" s="1"/>
  <c r="G45" i="61"/>
  <c r="I45" i="61" s="1"/>
  <c r="G42" i="61"/>
  <c r="I42" i="61" s="1"/>
  <c r="G40" i="61"/>
  <c r="I40" i="61" s="1"/>
  <c r="N103" i="61"/>
  <c r="G87" i="61"/>
  <c r="I87" i="61" s="1"/>
  <c r="N51" i="61"/>
  <c r="G33" i="61"/>
  <c r="I33" i="61" s="1"/>
  <c r="N179" i="61"/>
  <c r="J36" i="61"/>
  <c r="G169" i="61"/>
  <c r="I169" i="61" s="1"/>
  <c r="J121" i="61"/>
  <c r="M121" i="61" s="1"/>
  <c r="G115" i="61"/>
  <c r="I115" i="61" s="1"/>
  <c r="G111" i="61"/>
  <c r="I111" i="61" s="1"/>
  <c r="G95" i="61"/>
  <c r="I95" i="61" s="1"/>
  <c r="G121" i="61"/>
  <c r="I121" i="61" s="1"/>
  <c r="G117" i="61"/>
  <c r="I117" i="61" s="1"/>
  <c r="N97" i="61"/>
  <c r="G48" i="61"/>
  <c r="I48" i="61" s="1"/>
  <c r="J4" i="61"/>
  <c r="G109" i="61"/>
  <c r="I109" i="61" s="1"/>
  <c r="G107" i="61"/>
  <c r="I107" i="61" s="1"/>
  <c r="J80" i="61"/>
  <c r="M80" i="61" s="1"/>
  <c r="J53" i="61"/>
  <c r="M53" i="61" s="1"/>
  <c r="N82" i="61"/>
  <c r="G28" i="61"/>
  <c r="E200" i="61"/>
  <c r="A25" i="65"/>
  <c r="A26" i="65" s="1"/>
  <c r="A27" i="65" s="1"/>
  <c r="A28" i="65" s="1"/>
  <c r="A29" i="65" s="1"/>
  <c r="A30" i="65" s="1"/>
  <c r="A31" i="65" s="1"/>
  <c r="A32" i="65" s="1"/>
  <c r="A33" i="65" s="1"/>
  <c r="A34" i="65" s="1"/>
  <c r="A35" i="65" s="1"/>
  <c r="A36" i="65" s="1"/>
  <c r="A37" i="65" s="1"/>
  <c r="A38" i="65" s="1"/>
  <c r="A39" i="65" s="1"/>
  <c r="A40" i="65" s="1"/>
  <c r="A41" i="65" s="1"/>
  <c r="A42" i="65" s="1"/>
  <c r="A43" i="65" s="1"/>
  <c r="A44" i="65" s="1"/>
  <c r="B8" i="65" s="1"/>
  <c r="I120" i="65"/>
  <c r="F12" i="56"/>
  <c r="E28" i="56"/>
  <c r="E15" i="32"/>
  <c r="H20" i="57"/>
  <c r="D26" i="57" s="1"/>
  <c r="E26" i="57" s="1"/>
  <c r="C17" i="57"/>
  <c r="D20" i="57"/>
  <c r="I131" i="61"/>
  <c r="H152" i="61"/>
  <c r="N152" i="61"/>
  <c r="L200" i="61"/>
  <c r="E203" i="61" s="1"/>
  <c r="M32" i="61"/>
  <c r="M36" i="61" s="1"/>
  <c r="L81" i="46"/>
  <c r="J76" i="46"/>
  <c r="C162" i="46" s="1"/>
  <c r="J74" i="46"/>
  <c r="C160" i="46" s="1"/>
  <c r="J72" i="46"/>
  <c r="C158" i="46" s="1"/>
  <c r="J78" i="46"/>
  <c r="C164" i="46" s="1"/>
  <c r="J77" i="46"/>
  <c r="C163" i="46" s="1"/>
  <c r="J75" i="46"/>
  <c r="C161" i="46" s="1"/>
  <c r="J73" i="46"/>
  <c r="C159" i="46" s="1"/>
  <c r="J41" i="46"/>
  <c r="C127" i="46" s="1"/>
  <c r="G113" i="46"/>
  <c r="J56" i="46"/>
  <c r="C142" i="46" s="1"/>
  <c r="J36" i="46"/>
  <c r="C122" i="46" s="1"/>
  <c r="J54" i="46"/>
  <c r="C140" i="46" s="1"/>
  <c r="J46" i="46"/>
  <c r="C132" i="46" s="1"/>
  <c r="J38" i="46"/>
  <c r="C124" i="46" s="1"/>
  <c r="J53" i="46"/>
  <c r="C139" i="46" s="1"/>
  <c r="J47" i="46"/>
  <c r="C133" i="46" s="1"/>
  <c r="J35" i="46"/>
  <c r="C121" i="46" s="1"/>
  <c r="J57" i="46"/>
  <c r="C143" i="46" s="1"/>
  <c r="J40" i="46"/>
  <c r="C126" i="46" s="1"/>
  <c r="J51" i="46"/>
  <c r="C137" i="46" s="1"/>
  <c r="L62" i="46"/>
  <c r="J44" i="46"/>
  <c r="C130" i="46" s="1"/>
  <c r="J43" i="46"/>
  <c r="C129" i="46" s="1"/>
  <c r="E48" i="11"/>
  <c r="E20" i="71"/>
  <c r="E24" i="71" s="1"/>
  <c r="A12" i="2"/>
  <c r="A13" i="2" s="1"/>
  <c r="I32" i="61"/>
  <c r="I53" i="61"/>
  <c r="I78" i="61"/>
  <c r="A41" i="8"/>
  <c r="A42" i="8" s="1"/>
  <c r="A43" i="8" s="1"/>
  <c r="A44" i="8" s="1"/>
  <c r="A45" i="8" s="1"/>
  <c r="A48" i="8" s="1"/>
  <c r="H56" i="8"/>
  <c r="J20" i="57"/>
  <c r="D27" i="57" s="1"/>
  <c r="I20" i="57"/>
  <c r="C27" i="57" s="1"/>
  <c r="C28" i="57" s="1"/>
  <c r="C18" i="57"/>
  <c r="D126" i="46"/>
  <c r="H126" i="46" s="1"/>
  <c r="G126" i="46" s="1"/>
  <c r="G24" i="26"/>
  <c r="A11" i="26"/>
  <c r="A12" i="26" s="1"/>
  <c r="A13" i="26" s="1"/>
  <c r="A14" i="26" s="1"/>
  <c r="A15" i="26" s="1"/>
  <c r="A16" i="26" s="1"/>
  <c r="A17" i="26" s="1"/>
  <c r="A18" i="26" s="1"/>
  <c r="A19" i="26" s="1"/>
  <c r="A20" i="26" s="1"/>
  <c r="M189" i="61"/>
  <c r="J27" i="8"/>
  <c r="G40" i="57"/>
  <c r="G13" i="2"/>
  <c r="G14" i="2" s="1"/>
  <c r="D124" i="46"/>
  <c r="H124" i="46" s="1"/>
  <c r="G124" i="46" s="1"/>
  <c r="C113" i="46"/>
  <c r="I188" i="61"/>
  <c r="I196" i="61" s="1"/>
  <c r="C12" i="57"/>
  <c r="E18" i="57"/>
  <c r="E20" i="57" s="1"/>
  <c r="C76" i="26"/>
  <c r="M14" i="61"/>
  <c r="M28" i="61" s="1"/>
  <c r="J28" i="61"/>
  <c r="I51" i="61"/>
  <c r="M44" i="61"/>
  <c r="I4" i="61"/>
  <c r="G9" i="61"/>
  <c r="M83" i="61"/>
  <c r="I77" i="61"/>
  <c r="N196" i="61"/>
  <c r="D111" i="21"/>
  <c r="D123" i="21" s="1"/>
  <c r="D103" i="21"/>
  <c r="D133" i="21" s="1"/>
  <c r="D136" i="21" s="1"/>
  <c r="E37" i="11"/>
  <c r="K28" i="1" s="1"/>
  <c r="F55" i="17"/>
  <c r="F57" i="17" s="1"/>
  <c r="D51" i="17"/>
  <c r="D14" i="17" s="1"/>
  <c r="K101" i="1" s="1"/>
  <c r="K102" i="1" s="1"/>
  <c r="A35" i="63"/>
  <c r="A36" i="63" s="1"/>
  <c r="A37" i="63" s="1"/>
  <c r="A38" i="63" s="1"/>
  <c r="A39" i="63" s="1"/>
  <c r="A40" i="63" s="1"/>
  <c r="A41" i="63" s="1"/>
  <c r="A42" i="63" s="1"/>
  <c r="A43" i="63" s="1"/>
  <c r="A44" i="63" s="1"/>
  <c r="A45" i="63" s="1"/>
  <c r="A46" i="63" s="1"/>
  <c r="A47" i="63" s="1"/>
  <c r="A48" i="63" s="1"/>
  <c r="A49" i="63" s="1"/>
  <c r="A50" i="63" s="1"/>
  <c r="A51" i="63" s="1"/>
  <c r="A56" i="63" s="1"/>
  <c r="A57" i="63" s="1"/>
  <c r="A58" i="63" s="1"/>
  <c r="A59" i="63" s="1"/>
  <c r="A60" i="63" s="1"/>
  <c r="A61" i="63" s="1"/>
  <c r="A62" i="63" s="1"/>
  <c r="E60" i="11"/>
  <c r="E54" i="12" s="1"/>
  <c r="E68" i="12"/>
  <c r="E112" i="21"/>
  <c r="J111" i="21"/>
  <c r="J133" i="21"/>
  <c r="J136" i="21" s="1"/>
  <c r="E116" i="21"/>
  <c r="E120" i="21"/>
  <c r="H111" i="21"/>
  <c r="H133" i="21"/>
  <c r="H136" i="21" s="1"/>
  <c r="L111" i="21"/>
  <c r="L133" i="21"/>
  <c r="L136" i="21" s="1"/>
  <c r="F111" i="21"/>
  <c r="F133" i="21"/>
  <c r="F136" i="21" s="1"/>
  <c r="E114" i="21"/>
  <c r="N114" i="21" s="1"/>
  <c r="E118" i="21"/>
  <c r="E122" i="21"/>
  <c r="G133" i="21"/>
  <c r="G136" i="21" s="1"/>
  <c r="G111" i="21"/>
  <c r="I133" i="21"/>
  <c r="I136" i="21" s="1"/>
  <c r="I111" i="21"/>
  <c r="K133" i="21"/>
  <c r="K136" i="21" s="1"/>
  <c r="K111" i="21"/>
  <c r="M133" i="21"/>
  <c r="M136" i="21" s="1"/>
  <c r="M111" i="21"/>
  <c r="D20" i="71"/>
  <c r="D24" i="71" s="1"/>
  <c r="D40" i="7"/>
  <c r="D130" i="46"/>
  <c r="J52" i="46"/>
  <c r="C138" i="46" s="1"/>
  <c r="J13" i="46"/>
  <c r="C99" i="46" s="1"/>
  <c r="J25" i="46"/>
  <c r="C111" i="46" s="1"/>
  <c r="E85" i="11"/>
  <c r="H20" i="26"/>
  <c r="F23" i="26" s="1"/>
  <c r="F25" i="26" s="1"/>
  <c r="H43" i="44"/>
  <c r="A15" i="17"/>
  <c r="A16" i="17" s="1"/>
  <c r="A17" i="17" s="1"/>
  <c r="A18" i="17" s="1"/>
  <c r="A19" i="17" s="1"/>
  <c r="A20" i="17" s="1"/>
  <c r="A21" i="17" s="1"/>
  <c r="A22" i="17" s="1"/>
  <c r="A23" i="17" s="1"/>
  <c r="A24" i="17" s="1"/>
  <c r="J34" i="46"/>
  <c r="C120" i="46" s="1"/>
  <c r="J42" i="46"/>
  <c r="C128" i="46" s="1"/>
  <c r="D143" i="46"/>
  <c r="H143" i="46" s="1"/>
  <c r="G143" i="46" s="1"/>
  <c r="J11" i="46"/>
  <c r="C97" i="46" s="1"/>
  <c r="J28" i="46"/>
  <c r="C114" i="46" s="1"/>
  <c r="H122" i="46"/>
  <c r="G122" i="46" s="1"/>
  <c r="H140" i="46"/>
  <c r="G140" i="46" s="1"/>
  <c r="H145" i="46"/>
  <c r="G145" i="46" s="1"/>
  <c r="H123" i="46"/>
  <c r="G123" i="46" s="1"/>
  <c r="J71" i="46"/>
  <c r="C157" i="46" s="1"/>
  <c r="D97" i="46"/>
  <c r="J48" i="46"/>
  <c r="C134" i="46" s="1"/>
  <c r="H120" i="46"/>
  <c r="G120" i="46" s="1"/>
  <c r="H144" i="46"/>
  <c r="G144" i="46" s="1"/>
  <c r="H142" i="46"/>
  <c r="G142" i="46" s="1"/>
  <c r="H131" i="46"/>
  <c r="G131" i="46" s="1"/>
  <c r="I163" i="46"/>
  <c r="G163" i="46" s="1"/>
  <c r="H111" i="46"/>
  <c r="G111" i="46" s="1"/>
  <c r="H99" i="46"/>
  <c r="D83" i="46"/>
  <c r="C194" i="46" s="1"/>
  <c r="H80" i="46" s="1"/>
  <c r="J31" i="46"/>
  <c r="C117" i="46" s="1"/>
  <c r="G139" i="46"/>
  <c r="J27" i="46"/>
  <c r="J59" i="46"/>
  <c r="C145" i="46" s="1"/>
  <c r="G136" i="46"/>
  <c r="C83" i="46"/>
  <c r="G109" i="46"/>
  <c r="A17" i="7"/>
  <c r="A18" i="7" s="1"/>
  <c r="A19" i="7" s="1"/>
  <c r="A20" i="7" s="1"/>
  <c r="A21" i="7" s="1"/>
  <c r="G20" i="71"/>
  <c r="A20" i="71"/>
  <c r="B191" i="71" s="1"/>
  <c r="E55" i="12"/>
  <c r="D98" i="46"/>
  <c r="J12" i="46"/>
  <c r="C98" i="46" s="1"/>
  <c r="E101" i="46"/>
  <c r="J15" i="46"/>
  <c r="C101" i="46" s="1"/>
  <c r="E102" i="46"/>
  <c r="I102" i="46" s="1"/>
  <c r="G102" i="46" s="1"/>
  <c r="J16" i="46"/>
  <c r="C102" i="46" s="1"/>
  <c r="E103" i="46"/>
  <c r="J17" i="46"/>
  <c r="C103" i="46" s="1"/>
  <c r="E104" i="46"/>
  <c r="I104" i="46" s="1"/>
  <c r="G104" i="46" s="1"/>
  <c r="J18" i="46"/>
  <c r="C104" i="46" s="1"/>
  <c r="E105" i="46"/>
  <c r="J19" i="46"/>
  <c r="C105" i="46" s="1"/>
  <c r="E106" i="46"/>
  <c r="I106" i="46" s="1"/>
  <c r="G106" i="46" s="1"/>
  <c r="J20" i="46"/>
  <c r="C106" i="46" s="1"/>
  <c r="E107" i="46"/>
  <c r="J21" i="46"/>
  <c r="C107" i="46" s="1"/>
  <c r="D112" i="46"/>
  <c r="J26" i="46"/>
  <c r="C112" i="46" s="1"/>
  <c r="D116" i="46"/>
  <c r="J30" i="46"/>
  <c r="C116" i="46" s="1"/>
  <c r="G133" i="46"/>
  <c r="G134" i="46"/>
  <c r="G161" i="46"/>
  <c r="D100" i="46"/>
  <c r="J14" i="46"/>
  <c r="C100" i="46" s="1"/>
  <c r="E108" i="46"/>
  <c r="J22" i="46"/>
  <c r="C108" i="46" s="1"/>
  <c r="D110" i="46"/>
  <c r="J24" i="46"/>
  <c r="C110" i="46" s="1"/>
  <c r="D118" i="46"/>
  <c r="J32" i="46"/>
  <c r="C118" i="46" s="1"/>
  <c r="G137" i="46"/>
  <c r="G138" i="46"/>
  <c r="G121" i="46"/>
  <c r="G162" i="46"/>
  <c r="I18" i="1"/>
  <c r="A18" i="1"/>
  <c r="G77" i="44"/>
  <c r="A31" i="44"/>
  <c r="A71" i="46"/>
  <c r="A72" i="46" s="1"/>
  <c r="A73" i="46" s="1"/>
  <c r="A74" i="46" s="1"/>
  <c r="A75" i="46" s="1"/>
  <c r="A76" i="46" s="1"/>
  <c r="A77" i="46" s="1"/>
  <c r="A78" i="46" s="1"/>
  <c r="A79" i="46" s="1"/>
  <c r="A80" i="46" s="1"/>
  <c r="A81" i="46" s="1"/>
  <c r="E85" i="46"/>
  <c r="A46" i="11"/>
  <c r="H39" i="12" s="1"/>
  <c r="A49" i="8"/>
  <c r="A50" i="8" s="1"/>
  <c r="A51" i="8" s="1"/>
  <c r="A52" i="8" s="1"/>
  <c r="A53" i="8" s="1"/>
  <c r="A54" i="8" s="1"/>
  <c r="A12" i="8"/>
  <c r="A11" i="56"/>
  <c r="A12" i="56" s="1"/>
  <c r="D132" i="46"/>
  <c r="J50" i="46"/>
  <c r="C136" i="46" s="1"/>
  <c r="E157" i="46"/>
  <c r="E141" i="71"/>
  <c r="A22" i="7"/>
  <c r="A23" i="7" s="1"/>
  <c r="A24" i="7" s="1"/>
  <c r="A25" i="7" s="1"/>
  <c r="E140" i="71"/>
  <c r="E68" i="8"/>
  <c r="A23" i="22"/>
  <c r="A16" i="32"/>
  <c r="A20" i="32" s="1"/>
  <c r="A27" i="12"/>
  <c r="D47" i="71"/>
  <c r="E47" i="71"/>
  <c r="E54" i="71"/>
  <c r="D54" i="71"/>
  <c r="A6" i="31"/>
  <c r="A7" i="31" s="1"/>
  <c r="A8" i="31" s="1"/>
  <c r="B39" i="31" s="1"/>
  <c r="G20" i="2" l="1"/>
  <c r="E30" i="56"/>
  <c r="E51" i="11"/>
  <c r="I28" i="61"/>
  <c r="M183" i="61"/>
  <c r="L83" i="46"/>
  <c r="E206" i="61"/>
  <c r="E207" i="61" s="1"/>
  <c r="E210" i="61" s="1"/>
  <c r="E212" i="61" s="1"/>
  <c r="G196" i="61"/>
  <c r="M152" i="61"/>
  <c r="N128" i="61"/>
  <c r="I128" i="61"/>
  <c r="N28" i="61"/>
  <c r="G67" i="61"/>
  <c r="I36" i="61"/>
  <c r="G36" i="61"/>
  <c r="H200" i="61"/>
  <c r="I9" i="61"/>
  <c r="J196" i="61"/>
  <c r="J183" i="61"/>
  <c r="J152" i="61"/>
  <c r="I183" i="61"/>
  <c r="N67" i="61"/>
  <c r="I67" i="61"/>
  <c r="M4" i="61"/>
  <c r="M9" i="61" s="1"/>
  <c r="J9" i="61"/>
  <c r="I132" i="61"/>
  <c r="I152" i="61" s="1"/>
  <c r="G152" i="61"/>
  <c r="M128" i="61"/>
  <c r="M67" i="61"/>
  <c r="J128" i="61"/>
  <c r="J67" i="61"/>
  <c r="G128" i="61"/>
  <c r="G183" i="61"/>
  <c r="B150" i="65"/>
  <c r="B5" i="65"/>
  <c r="E41" i="12"/>
  <c r="E31" i="71"/>
  <c r="F28" i="56"/>
  <c r="F117" i="46" s="1"/>
  <c r="C20" i="57"/>
  <c r="E27" i="57"/>
  <c r="D28" i="57"/>
  <c r="E28" i="57" s="1"/>
  <c r="E33" i="57" s="1"/>
  <c r="E40" i="57" s="1"/>
  <c r="I42" i="79"/>
  <c r="I43" i="79" s="1"/>
  <c r="G42" i="79"/>
  <c r="G43" i="79" s="1"/>
  <c r="G26" i="79"/>
  <c r="G27" i="79" s="1"/>
  <c r="G33" i="79"/>
  <c r="G34" i="79" s="1"/>
  <c r="I26" i="79"/>
  <c r="I27" i="79" s="1"/>
  <c r="I33" i="79"/>
  <c r="I34" i="79" s="1"/>
  <c r="E65" i="11"/>
  <c r="A23" i="26"/>
  <c r="A24" i="26" s="1"/>
  <c r="A25" i="26" s="1"/>
  <c r="G23" i="26"/>
  <c r="D31" i="71"/>
  <c r="G99" i="46"/>
  <c r="F112" i="71"/>
  <c r="G41" i="44"/>
  <c r="E25" i="7"/>
  <c r="E13" i="2"/>
  <c r="E14" i="2"/>
  <c r="A14" i="2"/>
  <c r="E148" i="46"/>
  <c r="D33" i="71"/>
  <c r="E33" i="71"/>
  <c r="D23" i="7"/>
  <c r="E42" i="57"/>
  <c r="E113" i="21"/>
  <c r="F123" i="21"/>
  <c r="F147" i="21" s="1"/>
  <c r="H123" i="21"/>
  <c r="H144" i="21" s="1"/>
  <c r="H13" i="21" s="1"/>
  <c r="J123" i="21"/>
  <c r="J150" i="21" s="1"/>
  <c r="M123" i="21"/>
  <c r="M155" i="21" s="1"/>
  <c r="K123" i="21"/>
  <c r="K149" i="21" s="1"/>
  <c r="I123" i="21"/>
  <c r="I155" i="21" s="1"/>
  <c r="G123" i="21"/>
  <c r="G152" i="21" s="1"/>
  <c r="N111" i="21"/>
  <c r="N122" i="21"/>
  <c r="N118" i="21"/>
  <c r="L123" i="21"/>
  <c r="L146" i="21" s="1"/>
  <c r="N120" i="21"/>
  <c r="N116" i="21"/>
  <c r="N112" i="21"/>
  <c r="H56" i="44"/>
  <c r="H57" i="44" s="1"/>
  <c r="G16" i="12"/>
  <c r="J57" i="8"/>
  <c r="J43" i="8"/>
  <c r="C193" i="46"/>
  <c r="K61" i="46" s="1"/>
  <c r="K80" i="46"/>
  <c r="H81" i="46"/>
  <c r="G80" i="46"/>
  <c r="G81" i="46" s="1"/>
  <c r="H112" i="46"/>
  <c r="G112" i="46" s="1"/>
  <c r="I107" i="46"/>
  <c r="G107" i="46" s="1"/>
  <c r="I105" i="46"/>
  <c r="G105" i="46" s="1"/>
  <c r="I103" i="46"/>
  <c r="G103" i="46" s="1"/>
  <c r="I101" i="46"/>
  <c r="G101" i="46" s="1"/>
  <c r="H98" i="46"/>
  <c r="G98" i="46" s="1"/>
  <c r="H132" i="46"/>
  <c r="H110" i="46"/>
  <c r="G110" i="46" s="1"/>
  <c r="I108" i="46"/>
  <c r="G108" i="46" s="1"/>
  <c r="H100" i="46"/>
  <c r="G100" i="46" s="1"/>
  <c r="G37" i="11"/>
  <c r="F20" i="71"/>
  <c r="E111" i="71" s="1"/>
  <c r="A24" i="71"/>
  <c r="F111" i="71"/>
  <c r="F31" i="71"/>
  <c r="F24" i="71"/>
  <c r="A9" i="31"/>
  <c r="H22" i="31"/>
  <c r="A28" i="12"/>
  <c r="A29" i="12" s="1"/>
  <c r="A39" i="12" s="1"/>
  <c r="A40" i="12" s="1"/>
  <c r="A41" i="12" s="1"/>
  <c r="A42" i="12" s="1"/>
  <c r="A43" i="12" s="1"/>
  <c r="A44" i="12" s="1"/>
  <c r="E83" i="7"/>
  <c r="E47" i="7"/>
  <c r="A26" i="7"/>
  <c r="A27" i="7" s="1"/>
  <c r="A28" i="7" s="1"/>
  <c r="A29" i="7" s="1"/>
  <c r="A30" i="7" s="1"/>
  <c r="A31" i="7" s="1"/>
  <c r="A32" i="7" s="1"/>
  <c r="A33" i="7" s="1"/>
  <c r="A34" i="7" s="1"/>
  <c r="A35" i="7" s="1"/>
  <c r="A36" i="7" s="1"/>
  <c r="A25" i="17"/>
  <c r="E167" i="46"/>
  <c r="D12" i="56"/>
  <c r="A55" i="8"/>
  <c r="A56" i="8" s="1"/>
  <c r="A57" i="8" s="1"/>
  <c r="A58" i="8" s="1"/>
  <c r="A82" i="46"/>
  <c r="A83" i="46" s="1"/>
  <c r="D193" i="46" s="1"/>
  <c r="E86" i="46"/>
  <c r="F37" i="11"/>
  <c r="J24" i="8" s="1"/>
  <c r="F91" i="12" s="1"/>
  <c r="A21" i="32"/>
  <c r="A22" i="32" s="1"/>
  <c r="A28" i="32" s="1"/>
  <c r="A24" i="22"/>
  <c r="G27" i="22" s="1"/>
  <c r="A13" i="56"/>
  <c r="A14" i="56" s="1"/>
  <c r="A15" i="56" s="1"/>
  <c r="A16" i="56" s="1"/>
  <c r="A17" i="56" s="1"/>
  <c r="A13" i="8"/>
  <c r="A14" i="8" s="1"/>
  <c r="A15" i="8" s="1"/>
  <c r="A47" i="11"/>
  <c r="H40" i="12" s="1"/>
  <c r="A32" i="44"/>
  <c r="G55" i="44"/>
  <c r="A21" i="1"/>
  <c r="F116" i="46" l="1"/>
  <c r="I116" i="46" s="1"/>
  <c r="F118" i="46"/>
  <c r="I118" i="46" s="1"/>
  <c r="F119" i="46"/>
  <c r="H119" i="46" s="1"/>
  <c r="E170" i="46"/>
  <c r="M200" i="61"/>
  <c r="G200" i="61"/>
  <c r="N200" i="61"/>
  <c r="I200" i="61"/>
  <c r="J200" i="61"/>
  <c r="B9" i="65"/>
  <c r="F75" i="65"/>
  <c r="E43" i="57"/>
  <c r="E213" i="61"/>
  <c r="E216" i="61" s="1"/>
  <c r="K130" i="1" s="1"/>
  <c r="J54" i="8" s="1"/>
  <c r="I117" i="46"/>
  <c r="H117" i="46"/>
  <c r="M147" i="21"/>
  <c r="I151" i="21"/>
  <c r="F150" i="21"/>
  <c r="F145" i="21"/>
  <c r="K154" i="21"/>
  <c r="F151" i="21"/>
  <c r="G146" i="21"/>
  <c r="J152" i="21"/>
  <c r="J154" i="21"/>
  <c r="G149" i="21"/>
  <c r="H154" i="21"/>
  <c r="B132" i="65"/>
  <c r="J209" i="46"/>
  <c r="F125" i="46" s="1"/>
  <c r="L29" i="28"/>
  <c r="K65" i="1" s="1"/>
  <c r="K83" i="1" s="1"/>
  <c r="E15" i="2"/>
  <c r="A15" i="2"/>
  <c r="G73" i="44" s="1"/>
  <c r="G132" i="46"/>
  <c r="E133" i="21"/>
  <c r="E136" i="21" s="1"/>
  <c r="C29" i="57"/>
  <c r="C31" i="57" s="1"/>
  <c r="C33" i="57" s="1"/>
  <c r="C40" i="57" s="1"/>
  <c r="C43" i="57" s="1"/>
  <c r="D29" i="57"/>
  <c r="D31" i="57" s="1"/>
  <c r="D33" i="57" s="1"/>
  <c r="D40" i="57" s="1"/>
  <c r="D43" i="57" s="1"/>
  <c r="M152" i="21"/>
  <c r="A59" i="8"/>
  <c r="H59" i="8"/>
  <c r="H15" i="8"/>
  <c r="H62" i="46"/>
  <c r="H83" i="46" s="1"/>
  <c r="L154" i="21"/>
  <c r="K155" i="21"/>
  <c r="K146" i="21"/>
  <c r="H146" i="21"/>
  <c r="A26" i="26"/>
  <c r="A27" i="26" s="1"/>
  <c r="G25" i="26"/>
  <c r="L150" i="21"/>
  <c r="I152" i="21"/>
  <c r="M151" i="21"/>
  <c r="J146" i="21"/>
  <c r="F152" i="21"/>
  <c r="H152" i="21"/>
  <c r="F154" i="21"/>
  <c r="K151" i="21"/>
  <c r="G153" i="21"/>
  <c r="F155" i="21"/>
  <c r="K150" i="21"/>
  <c r="G150" i="21"/>
  <c r="H150" i="21"/>
  <c r="F148" i="21"/>
  <c r="F149" i="21"/>
  <c r="L144" i="21"/>
  <c r="L13" i="21" s="1"/>
  <c r="F153" i="21"/>
  <c r="I147" i="21"/>
  <c r="K144" i="21"/>
  <c r="K13" i="21" s="1"/>
  <c r="M144" i="21"/>
  <c r="M13" i="21" s="1"/>
  <c r="F144" i="21"/>
  <c r="F13" i="21" s="1"/>
  <c r="L152" i="21"/>
  <c r="J144" i="21"/>
  <c r="J13" i="21" s="1"/>
  <c r="M146" i="21"/>
  <c r="M154" i="21"/>
  <c r="K153" i="21"/>
  <c r="I150" i="21"/>
  <c r="G147" i="21"/>
  <c r="G155" i="21"/>
  <c r="H155" i="21"/>
  <c r="H145" i="21"/>
  <c r="H14" i="21" s="1"/>
  <c r="H149" i="21"/>
  <c r="H153" i="21"/>
  <c r="H147" i="21"/>
  <c r="H151" i="21"/>
  <c r="M149" i="21"/>
  <c r="K148" i="21"/>
  <c r="I145" i="21"/>
  <c r="I153" i="21"/>
  <c r="G154" i="21"/>
  <c r="E117" i="21"/>
  <c r="E121" i="21"/>
  <c r="G145" i="21"/>
  <c r="K145" i="21"/>
  <c r="K14" i="21" s="1"/>
  <c r="L145" i="21"/>
  <c r="L149" i="21"/>
  <c r="L153" i="21"/>
  <c r="L147" i="21"/>
  <c r="L151" i="21"/>
  <c r="L155" i="21"/>
  <c r="G144" i="21"/>
  <c r="G13" i="21" s="1"/>
  <c r="I144" i="21"/>
  <c r="I13" i="21" s="1"/>
  <c r="E115" i="21"/>
  <c r="E119" i="21"/>
  <c r="L148" i="21"/>
  <c r="J148" i="21"/>
  <c r="J147" i="21"/>
  <c r="J151" i="21"/>
  <c r="J155" i="21"/>
  <c r="J145" i="21"/>
  <c r="J14" i="21" s="1"/>
  <c r="J15" i="21" s="1"/>
  <c r="J149" i="21"/>
  <c r="J153" i="21"/>
  <c r="M150" i="21"/>
  <c r="K147" i="21"/>
  <c r="I146" i="21"/>
  <c r="I154" i="21"/>
  <c r="G151" i="21"/>
  <c r="M145" i="21"/>
  <c r="M153" i="21"/>
  <c r="K152" i="21"/>
  <c r="I149" i="21"/>
  <c r="G148" i="21"/>
  <c r="N113" i="21"/>
  <c r="I148" i="21"/>
  <c r="M148" i="21"/>
  <c r="H148" i="21"/>
  <c r="F146" i="21"/>
  <c r="H59" i="44"/>
  <c r="H78" i="44" s="1"/>
  <c r="H65" i="44"/>
  <c r="H66" i="44" s="1"/>
  <c r="H79" i="44" s="1"/>
  <c r="J61" i="46"/>
  <c r="C147" i="46" s="1"/>
  <c r="C148" i="46" s="1"/>
  <c r="D147" i="46"/>
  <c r="D148" i="46" s="1"/>
  <c r="K62" i="46"/>
  <c r="G61" i="46"/>
  <c r="G62" i="46" s="1"/>
  <c r="G83" i="46" s="1"/>
  <c r="D166" i="46"/>
  <c r="J80" i="46"/>
  <c r="J81" i="46" s="1"/>
  <c r="K81" i="46"/>
  <c r="D194" i="46"/>
  <c r="A25" i="71"/>
  <c r="A26" i="71" s="1"/>
  <c r="A28" i="26"/>
  <c r="A33" i="44"/>
  <c r="B48" i="44" s="1"/>
  <c r="G64" i="44"/>
  <c r="A18" i="8"/>
  <c r="G22" i="32"/>
  <c r="A84" i="46"/>
  <c r="A85" i="46" s="1"/>
  <c r="A86" i="46" s="1"/>
  <c r="A87" i="46" s="1"/>
  <c r="C190" i="46" s="1"/>
  <c r="A37" i="7"/>
  <c r="A38" i="7" s="1"/>
  <c r="A39" i="7" s="1"/>
  <c r="A40" i="7" s="1"/>
  <c r="A41" i="7" s="1"/>
  <c r="A42" i="7" s="1"/>
  <c r="A43" i="7" s="1"/>
  <c r="A44" i="7" s="1"/>
  <c r="A45" i="7" s="1"/>
  <c r="A46" i="7" s="1"/>
  <c r="A54" i="12"/>
  <c r="B40" i="31"/>
  <c r="B35" i="31"/>
  <c r="A10" i="31"/>
  <c r="A22" i="1"/>
  <c r="A23" i="1" s="1"/>
  <c r="A24" i="1" s="1"/>
  <c r="A48" i="11"/>
  <c r="H41" i="12" s="1"/>
  <c r="A18" i="56"/>
  <c r="A19" i="56" s="1"/>
  <c r="A20" i="56" s="1"/>
  <c r="A26" i="22"/>
  <c r="I15" i="1" s="1"/>
  <c r="G26" i="22"/>
  <c r="A29" i="32"/>
  <c r="A30" i="32" s="1"/>
  <c r="A34" i="32" s="1"/>
  <c r="A61" i="8"/>
  <c r="A63" i="8" s="1"/>
  <c r="A26" i="17"/>
  <c r="A27" i="17" s="1"/>
  <c r="A28" i="17" s="1"/>
  <c r="A29" i="17" s="1"/>
  <c r="K15" i="21" l="1"/>
  <c r="J16" i="21"/>
  <c r="J17" i="21" s="1"/>
  <c r="J18" i="21" s="1"/>
  <c r="J19" i="21" s="1"/>
  <c r="J20" i="21" s="1"/>
  <c r="J21" i="21" s="1"/>
  <c r="J22" i="21" s="1"/>
  <c r="J23" i="21" s="1"/>
  <c r="H15" i="21"/>
  <c r="H16" i="21" s="1"/>
  <c r="H17" i="21" s="1"/>
  <c r="H18" i="21" s="1"/>
  <c r="H19" i="21" s="1"/>
  <c r="H20" i="21" s="1"/>
  <c r="H21" i="21" s="1"/>
  <c r="H22" i="21" s="1"/>
  <c r="H23" i="21" s="1"/>
  <c r="H25" i="21"/>
  <c r="K16" i="21"/>
  <c r="K17" i="21" s="1"/>
  <c r="K18" i="21" s="1"/>
  <c r="K19" i="21" s="1"/>
  <c r="K20" i="21" s="1"/>
  <c r="K21" i="21" s="1"/>
  <c r="K22" i="21" s="1"/>
  <c r="K23" i="21" s="1"/>
  <c r="M14" i="21"/>
  <c r="M15" i="21" s="1"/>
  <c r="M16" i="21" s="1"/>
  <c r="M17" i="21" s="1"/>
  <c r="M18" i="21" s="1"/>
  <c r="M19" i="21" s="1"/>
  <c r="M20" i="21" s="1"/>
  <c r="M21" i="21" s="1"/>
  <c r="M22" i="21" s="1"/>
  <c r="M23" i="21" s="1"/>
  <c r="J25" i="21"/>
  <c r="I14" i="21"/>
  <c r="I15" i="21" s="1"/>
  <c r="I16" i="21" s="1"/>
  <c r="I17" i="21" s="1"/>
  <c r="I18" i="21" s="1"/>
  <c r="I19" i="21" s="1"/>
  <c r="I20" i="21" s="1"/>
  <c r="I21" i="21" s="1"/>
  <c r="I22" i="21" s="1"/>
  <c r="I23" i="21" s="1"/>
  <c r="L14" i="21"/>
  <c r="L15" i="21" s="1"/>
  <c r="L16" i="21" s="1"/>
  <c r="L17" i="21" s="1"/>
  <c r="L18" i="21" s="1"/>
  <c r="L19" i="21" s="1"/>
  <c r="L20" i="21" s="1"/>
  <c r="L21" i="21" s="1"/>
  <c r="L22" i="21" s="1"/>
  <c r="L23" i="21" s="1"/>
  <c r="G14" i="21"/>
  <c r="G15" i="21" s="1"/>
  <c r="G16" i="21" s="1"/>
  <c r="G17" i="21" s="1"/>
  <c r="G18" i="21" s="1"/>
  <c r="G19" i="21" s="1"/>
  <c r="G20" i="21" s="1"/>
  <c r="G21" i="21" s="1"/>
  <c r="G22" i="21" s="1"/>
  <c r="G23" i="21" s="1"/>
  <c r="F14" i="21"/>
  <c r="F15" i="21" s="1"/>
  <c r="F16" i="21" s="1"/>
  <c r="F17" i="21" s="1"/>
  <c r="F18" i="21" s="1"/>
  <c r="F19" i="21" s="1"/>
  <c r="F20" i="21" s="1"/>
  <c r="F21" i="21" s="1"/>
  <c r="F22" i="21" s="1"/>
  <c r="F23" i="21" s="1"/>
  <c r="H116" i="46"/>
  <c r="G116" i="46" s="1"/>
  <c r="H118" i="46"/>
  <c r="G118" i="46" s="1"/>
  <c r="I119" i="46"/>
  <c r="G119" i="46" s="1"/>
  <c r="I148" i="1"/>
  <c r="C45" i="57"/>
  <c r="B9" i="31" s="1"/>
  <c r="D45" i="57"/>
  <c r="B10" i="31" s="1"/>
  <c r="G117" i="46"/>
  <c r="N133" i="21"/>
  <c r="H156" i="21"/>
  <c r="K63" i="1"/>
  <c r="K75" i="1" s="1"/>
  <c r="F156" i="21"/>
  <c r="F135" i="46"/>
  <c r="H135" i="46" s="1"/>
  <c r="A47" i="7"/>
  <c r="A48" i="7" s="1"/>
  <c r="G26" i="26"/>
  <c r="G50" i="22"/>
  <c r="F28" i="54"/>
  <c r="G59" i="21"/>
  <c r="G62" i="4"/>
  <c r="G54" i="22"/>
  <c r="G24" i="22"/>
  <c r="G52" i="21"/>
  <c r="G57" i="4"/>
  <c r="I55" i="1"/>
  <c r="A16" i="2"/>
  <c r="A17" i="2" s="1"/>
  <c r="A18" i="2" s="1"/>
  <c r="A19" i="2" s="1"/>
  <c r="A20" i="2" s="1"/>
  <c r="A21" i="2" s="1"/>
  <c r="A22" i="2" s="1"/>
  <c r="K83" i="46"/>
  <c r="G30" i="32"/>
  <c r="G45" i="57"/>
  <c r="G43" i="57"/>
  <c r="G27" i="26"/>
  <c r="A55" i="12"/>
  <c r="A56" i="12" s="1"/>
  <c r="A57" i="12" s="1"/>
  <c r="A58" i="12" s="1"/>
  <c r="A59" i="12" s="1"/>
  <c r="K156" i="21"/>
  <c r="N119" i="21"/>
  <c r="N115" i="21"/>
  <c r="E123" i="21"/>
  <c r="E147" i="21" s="1"/>
  <c r="G156" i="21"/>
  <c r="N136" i="21"/>
  <c r="M156" i="21"/>
  <c r="I156" i="21"/>
  <c r="N121" i="21"/>
  <c r="N117" i="21"/>
  <c r="J156" i="21"/>
  <c r="L156" i="21"/>
  <c r="B185" i="71"/>
  <c r="B188" i="71"/>
  <c r="J62" i="46"/>
  <c r="J83" i="46" s="1"/>
  <c r="F26" i="71"/>
  <c r="D167" i="46"/>
  <c r="D170" i="46" s="1"/>
  <c r="H166" i="46"/>
  <c r="G166" i="46" s="1"/>
  <c r="C166" i="46"/>
  <c r="C167" i="46" s="1"/>
  <c r="C170" i="46" s="1"/>
  <c r="A49" i="7"/>
  <c r="A50" i="7" s="1"/>
  <c r="A51" i="7" s="1"/>
  <c r="A52" i="7" s="1"/>
  <c r="A53" i="7" s="1"/>
  <c r="A54" i="7" s="1"/>
  <c r="A55" i="7" s="1"/>
  <c r="F64" i="71"/>
  <c r="A31" i="71"/>
  <c r="A32" i="71" s="1"/>
  <c r="A33" i="71" s="1"/>
  <c r="A34" i="71" s="1"/>
  <c r="F65" i="71" s="1"/>
  <c r="A27" i="22"/>
  <c r="H12" i="8" s="1"/>
  <c r="A26" i="1"/>
  <c r="A28" i="1" s="1"/>
  <c r="A30" i="1" s="1"/>
  <c r="A32" i="1" s="1"/>
  <c r="A34" i="1" s="1"/>
  <c r="I115" i="1" s="1"/>
  <c r="A30" i="17"/>
  <c r="A67" i="8"/>
  <c r="G67" i="8"/>
  <c r="H63" i="8"/>
  <c r="A35" i="32"/>
  <c r="A36" i="32" s="1"/>
  <c r="A40" i="32" s="1"/>
  <c r="A21" i="56"/>
  <c r="A22" i="56" s="1"/>
  <c r="A23" i="56" s="1"/>
  <c r="A24" i="56" s="1"/>
  <c r="A25" i="56" s="1"/>
  <c r="A26" i="56" s="1"/>
  <c r="A49" i="11"/>
  <c r="A50" i="11" s="1"/>
  <c r="A51" i="11" s="1"/>
  <c r="A60" i="11" s="1"/>
  <c r="I24" i="1"/>
  <c r="B41" i="31"/>
  <c r="B36" i="31"/>
  <c r="A18" i="31"/>
  <c r="E40" i="7"/>
  <c r="A97" i="46"/>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119" i="46" s="1"/>
  <c r="A120" i="46" s="1"/>
  <c r="A121" i="46" s="1"/>
  <c r="A122" i="46" s="1"/>
  <c r="A123" i="46" s="1"/>
  <c r="A124" i="46" s="1"/>
  <c r="A125" i="46" s="1"/>
  <c r="A126" i="46" s="1"/>
  <c r="A127" i="46" s="1"/>
  <c r="A128" i="46" s="1"/>
  <c r="A129" i="46" s="1"/>
  <c r="A130" i="46" s="1"/>
  <c r="A131" i="46" s="1"/>
  <c r="A132" i="46" s="1"/>
  <c r="A133" i="46" s="1"/>
  <c r="A134" i="46" s="1"/>
  <c r="A135" i="46" s="1"/>
  <c r="A136" i="46" s="1"/>
  <c r="A137" i="46" s="1"/>
  <c r="A138" i="46" s="1"/>
  <c r="A139" i="46" s="1"/>
  <c r="A140" i="46" s="1"/>
  <c r="A141" i="46" s="1"/>
  <c r="A142" i="46" s="1"/>
  <c r="A143" i="46" s="1"/>
  <c r="A144" i="46" s="1"/>
  <c r="A145" i="46" s="1"/>
  <c r="A146" i="46" s="1"/>
  <c r="A147" i="46" s="1"/>
  <c r="A148" i="46" s="1"/>
  <c r="A149" i="46" s="1"/>
  <c r="A19" i="8"/>
  <c r="A20" i="8" s="1"/>
  <c r="A21" i="8" s="1"/>
  <c r="A34" i="44"/>
  <c r="G80" i="44"/>
  <c r="A29" i="26"/>
  <c r="G29" i="26"/>
  <c r="I25" i="21" l="1"/>
  <c r="F25" i="21"/>
  <c r="L25" i="21"/>
  <c r="G25" i="21"/>
  <c r="K25" i="21"/>
  <c r="M25" i="21"/>
  <c r="J204" i="46"/>
  <c r="H54" i="12"/>
  <c r="F68" i="12"/>
  <c r="I135" i="46"/>
  <c r="G135" i="46" s="1"/>
  <c r="E154" i="21"/>
  <c r="E153" i="21"/>
  <c r="E48" i="7"/>
  <c r="E23" i="2"/>
  <c r="A23" i="2"/>
  <c r="J207" i="46"/>
  <c r="F127" i="46" s="1"/>
  <c r="E155" i="21"/>
  <c r="N155" i="21" s="1"/>
  <c r="E149" i="21"/>
  <c r="E151" i="21"/>
  <c r="E144" i="21"/>
  <c r="E13" i="21" s="1"/>
  <c r="B109" i="12"/>
  <c r="A68" i="12"/>
  <c r="E146" i="21"/>
  <c r="E145" i="21"/>
  <c r="E150" i="21"/>
  <c r="K80" i="1"/>
  <c r="K79" i="1"/>
  <c r="K89" i="1" s="1"/>
  <c r="E95" i="8" s="1"/>
  <c r="K78" i="1"/>
  <c r="K88" i="1" s="1"/>
  <c r="E94" i="8" s="1"/>
  <c r="N123" i="21"/>
  <c r="N147" i="21"/>
  <c r="E148" i="21"/>
  <c r="E152" i="21"/>
  <c r="A19" i="31"/>
  <c r="A20" i="31" s="1"/>
  <c r="A22" i="31" s="1"/>
  <c r="A56" i="7"/>
  <c r="A57" i="7" s="1"/>
  <c r="A58" i="7" s="1"/>
  <c r="A59" i="7" s="1"/>
  <c r="A60" i="7" s="1"/>
  <c r="A61" i="7" s="1"/>
  <c r="E55" i="7" s="1"/>
  <c r="B189" i="71"/>
  <c r="B186" i="71"/>
  <c r="A35" i="71"/>
  <c r="A36" i="71" s="1"/>
  <c r="A37" i="71" s="1"/>
  <c r="A23" i="8"/>
  <c r="H29" i="8"/>
  <c r="A30" i="26"/>
  <c r="I125" i="1" s="1"/>
  <c r="G30" i="26"/>
  <c r="H21" i="8"/>
  <c r="D26" i="56"/>
  <c r="G36" i="32"/>
  <c r="A68" i="8"/>
  <c r="A31" i="17"/>
  <c r="A39" i="1"/>
  <c r="A34" i="22"/>
  <c r="A41" i="44"/>
  <c r="A42" i="44" s="1"/>
  <c r="A157" i="46"/>
  <c r="A158" i="46" s="1"/>
  <c r="A159" i="46" s="1"/>
  <c r="A160" i="46" s="1"/>
  <c r="A161" i="46" s="1"/>
  <c r="A162" i="46" s="1"/>
  <c r="A163" i="46" s="1"/>
  <c r="A164" i="46" s="1"/>
  <c r="A165" i="46" s="1"/>
  <c r="A166" i="46" s="1"/>
  <c r="A167" i="46" s="1"/>
  <c r="A168" i="46" s="1"/>
  <c r="A169" i="46" s="1"/>
  <c r="A170" i="46" s="1"/>
  <c r="A24" i="31"/>
  <c r="A27" i="31" s="1"/>
  <c r="A61" i="11"/>
  <c r="A27" i="56"/>
  <c r="A28" i="56" s="1"/>
  <c r="D28" i="56"/>
  <c r="A41" i="32"/>
  <c r="A42" i="32" s="1"/>
  <c r="N145" i="21" l="1"/>
  <c r="E14" i="21"/>
  <c r="N14" i="21" s="1"/>
  <c r="N153" i="21"/>
  <c r="N151" i="21"/>
  <c r="N154" i="21"/>
  <c r="N149" i="21"/>
  <c r="N13" i="21"/>
  <c r="E15" i="21"/>
  <c r="N150" i="21"/>
  <c r="H55" i="12"/>
  <c r="F69" i="12"/>
  <c r="F93" i="12"/>
  <c r="E96" i="8"/>
  <c r="E102" i="8" s="1"/>
  <c r="J42" i="8" s="1"/>
  <c r="N144" i="21"/>
  <c r="A35" i="22"/>
  <c r="A36" i="22" s="1"/>
  <c r="A37" i="22" s="1"/>
  <c r="A38" i="22" s="1"/>
  <c r="A39" i="22" s="1"/>
  <c r="A40" i="22" s="1"/>
  <c r="A41" i="22" s="1"/>
  <c r="A42" i="22" s="1"/>
  <c r="A43" i="22" s="1"/>
  <c r="A44" i="22" s="1"/>
  <c r="A45" i="22" s="1"/>
  <c r="A46" i="22" s="1"/>
  <c r="G49" i="22" s="1"/>
  <c r="A24" i="2"/>
  <c r="E7" i="2"/>
  <c r="K90" i="1"/>
  <c r="K91" i="1" s="1"/>
  <c r="H127" i="46"/>
  <c r="I127" i="46"/>
  <c r="I125" i="46"/>
  <c r="H125" i="46"/>
  <c r="A69" i="8"/>
  <c r="G42" i="32"/>
  <c r="A34" i="56"/>
  <c r="A35" i="56" s="1"/>
  <c r="A36" i="56" s="1"/>
  <c r="B149" i="65"/>
  <c r="E63" i="7"/>
  <c r="A69" i="12"/>
  <c r="A70" i="12" s="1"/>
  <c r="A71" i="12" s="1"/>
  <c r="A81" i="12" s="1"/>
  <c r="A82" i="12" s="1"/>
  <c r="A83" i="12" s="1"/>
  <c r="A84" i="12" s="1"/>
  <c r="A85" i="12" s="1"/>
  <c r="A86" i="12" s="1"/>
  <c r="N152" i="21"/>
  <c r="N148" i="21"/>
  <c r="N146" i="21"/>
  <c r="E156" i="21"/>
  <c r="B38" i="31"/>
  <c r="H27" i="31"/>
  <c r="D21" i="7"/>
  <c r="G15" i="12"/>
  <c r="G17" i="12" s="1"/>
  <c r="K81" i="1"/>
  <c r="A62" i="7"/>
  <c r="A63" i="7" s="1"/>
  <c r="E59" i="7"/>
  <c r="A38" i="71"/>
  <c r="A41" i="71" s="1"/>
  <c r="A46" i="71" s="1"/>
  <c r="A47" i="71" s="1"/>
  <c r="A48" i="71" s="1"/>
  <c r="A37" i="56"/>
  <c r="A38" i="56" s="1"/>
  <c r="A171" i="46"/>
  <c r="B97" i="44"/>
  <c r="A43" i="44"/>
  <c r="A37" i="26"/>
  <c r="G77" i="26" s="1"/>
  <c r="A62" i="11"/>
  <c r="B171" i="46"/>
  <c r="B98" i="44"/>
  <c r="A40" i="1"/>
  <c r="A41" i="1" s="1"/>
  <c r="A32" i="17"/>
  <c r="G69" i="8"/>
  <c r="A24" i="8"/>
  <c r="G91" i="12" s="1"/>
  <c r="N15" i="21" l="1"/>
  <c r="E16" i="21"/>
  <c r="H56" i="12"/>
  <c r="F70" i="12"/>
  <c r="E97" i="8"/>
  <c r="J33" i="8" s="1"/>
  <c r="E64" i="7"/>
  <c r="E69" i="7"/>
  <c r="E25" i="2"/>
  <c r="A25" i="2"/>
  <c r="G127" i="46"/>
  <c r="G125" i="46"/>
  <c r="A70" i="8"/>
  <c r="A71" i="8" s="1"/>
  <c r="A72" i="8" s="1"/>
  <c r="H14" i="65" s="1"/>
  <c r="A25" i="8"/>
  <c r="G53" i="22"/>
  <c r="A64" i="7"/>
  <c r="A65" i="7" s="1"/>
  <c r="B153" i="65"/>
  <c r="B110" i="12"/>
  <c r="A90" i="12"/>
  <c r="N156" i="21"/>
  <c r="E83" i="12"/>
  <c r="F83" i="12" s="1"/>
  <c r="E82" i="12"/>
  <c r="F82" i="12" s="1"/>
  <c r="E81" i="12"/>
  <c r="F81" i="12" s="1"/>
  <c r="K93" i="1"/>
  <c r="D32" i="71" s="1"/>
  <c r="D34" i="71" s="1"/>
  <c r="D25" i="71"/>
  <c r="D26" i="71" s="1"/>
  <c r="E25" i="71"/>
  <c r="E26" i="71" s="1"/>
  <c r="I41" i="1"/>
  <c r="D51" i="7"/>
  <c r="G39" i="12"/>
  <c r="G40" i="12"/>
  <c r="G41" i="12"/>
  <c r="D41" i="71"/>
  <c r="G55" i="12"/>
  <c r="G56" i="12"/>
  <c r="G54" i="12"/>
  <c r="A53" i="71"/>
  <c r="A54" i="71" s="1"/>
  <c r="A55" i="71" s="1"/>
  <c r="F66" i="71"/>
  <c r="A33" i="17"/>
  <c r="A34" i="17" s="1"/>
  <c r="A35" i="17" s="1"/>
  <c r="A36" i="17" s="1"/>
  <c r="A37" i="17" s="1"/>
  <c r="A38" i="17" s="1"/>
  <c r="A39" i="17" s="1"/>
  <c r="A40" i="17" s="1"/>
  <c r="A41" i="17" s="1"/>
  <c r="A42" i="17" s="1"/>
  <c r="A43" i="17" s="1"/>
  <c r="A44" i="17" s="1"/>
  <c r="A45" i="17" s="1"/>
  <c r="A46" i="17" s="1"/>
  <c r="A47" i="17" s="1"/>
  <c r="A48" i="17" s="1"/>
  <c r="A49" i="17" s="1"/>
  <c r="A50" i="17" s="1"/>
  <c r="A51" i="17" s="1"/>
  <c r="G44" i="44"/>
  <c r="A44" i="44"/>
  <c r="A43" i="1"/>
  <c r="A44" i="1" s="1"/>
  <c r="A49" i="22"/>
  <c r="A63" i="11"/>
  <c r="A64" i="11" s="1"/>
  <c r="A65" i="11" s="1"/>
  <c r="A72" i="11" s="1"/>
  <c r="A73" i="11" s="1"/>
  <c r="A74" i="11" s="1"/>
  <c r="A75" i="11" s="1"/>
  <c r="A76" i="11" s="1"/>
  <c r="A77" i="11" s="1"/>
  <c r="A78" i="11" s="1"/>
  <c r="A79" i="11" s="1"/>
  <c r="A80" i="11" s="1"/>
  <c r="A81" i="11" s="1"/>
  <c r="A82" i="11" s="1"/>
  <c r="A83" i="11" s="1"/>
  <c r="A84" i="11" s="1"/>
  <c r="A38" i="26"/>
  <c r="A39" i="26" s="1"/>
  <c r="A40" i="26" s="1"/>
  <c r="A41" i="26" s="1"/>
  <c r="A42" i="26" s="1"/>
  <c r="A43" i="26" s="1"/>
  <c r="C78" i="26" s="1"/>
  <c r="A39" i="56"/>
  <c r="A40" i="56" s="1"/>
  <c r="N16" i="21" l="1"/>
  <c r="E17" i="21"/>
  <c r="A26" i="2"/>
  <c r="A27" i="2" s="1"/>
  <c r="A28" i="2" s="1"/>
  <c r="G72" i="8"/>
  <c r="G71" i="8"/>
  <c r="E65" i="7"/>
  <c r="D40" i="56"/>
  <c r="A66" i="7"/>
  <c r="A67" i="7" s="1"/>
  <c r="A68" i="7" s="1"/>
  <c r="A69" i="7" s="1"/>
  <c r="A70" i="7" s="1"/>
  <c r="A50" i="22"/>
  <c r="A51" i="22" s="1"/>
  <c r="H13" i="8" s="1"/>
  <c r="F86" i="12"/>
  <c r="A91" i="12"/>
  <c r="A92" i="12" s="1"/>
  <c r="H46" i="11"/>
  <c r="H47" i="11"/>
  <c r="H48" i="11"/>
  <c r="A52" i="17"/>
  <c r="A53" i="17" s="1"/>
  <c r="A54" i="17" s="1"/>
  <c r="A55" i="17" s="1"/>
  <c r="E14" i="17"/>
  <c r="D22" i="7"/>
  <c r="D25" i="7" s="1"/>
  <c r="E112" i="71" s="1"/>
  <c r="E113" i="71" s="1"/>
  <c r="E32" i="71"/>
  <c r="E34" i="71" s="1"/>
  <c r="E95" i="71" s="1"/>
  <c r="D48" i="71"/>
  <c r="E55" i="71"/>
  <c r="E48" i="71"/>
  <c r="D55" i="71"/>
  <c r="D55" i="7"/>
  <c r="D59" i="7"/>
  <c r="E83" i="71"/>
  <c r="E77" i="71"/>
  <c r="E82" i="71"/>
  <c r="D65" i="71"/>
  <c r="E84" i="71"/>
  <c r="E85" i="71"/>
  <c r="E81" i="71"/>
  <c r="E79" i="71"/>
  <c r="E80" i="71"/>
  <c r="E78" i="71"/>
  <c r="D101" i="71"/>
  <c r="D96" i="71"/>
  <c r="E64" i="71"/>
  <c r="D94" i="71"/>
  <c r="D95" i="71"/>
  <c r="D98" i="71"/>
  <c r="D97" i="71"/>
  <c r="D99" i="71"/>
  <c r="D100" i="71"/>
  <c r="D102" i="71"/>
  <c r="G59" i="12"/>
  <c r="J61" i="8" s="1"/>
  <c r="G44" i="12"/>
  <c r="K135" i="1" s="1"/>
  <c r="D81" i="71"/>
  <c r="D82" i="71"/>
  <c r="D83" i="71"/>
  <c r="D80" i="71"/>
  <c r="D64" i="71"/>
  <c r="D85" i="71"/>
  <c r="D77" i="71"/>
  <c r="D78" i="71"/>
  <c r="D79" i="71"/>
  <c r="D84" i="71"/>
  <c r="A56" i="71"/>
  <c r="A57" i="71" s="1"/>
  <c r="A64" i="71" s="1"/>
  <c r="F67" i="71"/>
  <c r="A41" i="56"/>
  <c r="A42" i="56" s="1"/>
  <c r="D42" i="56"/>
  <c r="A85" i="11"/>
  <c r="G86" i="44"/>
  <c r="A55" i="44"/>
  <c r="A44" i="26"/>
  <c r="A53" i="22"/>
  <c r="A45" i="1"/>
  <c r="E46" i="17"/>
  <c r="N17" i="21" l="1"/>
  <c r="E18" i="21"/>
  <c r="E101" i="71"/>
  <c r="G101" i="71" s="1"/>
  <c r="H101" i="71" s="1"/>
  <c r="E97" i="71"/>
  <c r="G97" i="71" s="1"/>
  <c r="H97" i="71" s="1"/>
  <c r="E99" i="71"/>
  <c r="G99" i="71" s="1"/>
  <c r="H99" i="71" s="1"/>
  <c r="E94" i="71"/>
  <c r="E96" i="71"/>
  <c r="G96" i="71" s="1"/>
  <c r="H96" i="71" s="1"/>
  <c r="E100" i="71"/>
  <c r="G100" i="71" s="1"/>
  <c r="H100" i="71" s="1"/>
  <c r="E102" i="71"/>
  <c r="G102" i="71" s="1"/>
  <c r="H102" i="71" s="1"/>
  <c r="E65" i="71"/>
  <c r="E98" i="71"/>
  <c r="G98" i="71" s="1"/>
  <c r="H98" i="71" s="1"/>
  <c r="E28" i="2"/>
  <c r="A29" i="2"/>
  <c r="A30" i="2" s="1"/>
  <c r="A31" i="2" s="1"/>
  <c r="A32" i="2" s="1"/>
  <c r="A33" i="2" s="1"/>
  <c r="I40" i="1"/>
  <c r="G28" i="26"/>
  <c r="C57" i="17"/>
  <c r="A56" i="17"/>
  <c r="A57" i="17" s="1"/>
  <c r="A58" i="17" s="1"/>
  <c r="D47" i="7"/>
  <c r="D48" i="7" s="1"/>
  <c r="D83" i="7"/>
  <c r="D84" i="7" s="1"/>
  <c r="G92" i="12"/>
  <c r="A71" i="7"/>
  <c r="A72" i="7" s="1"/>
  <c r="A73" i="7" s="1"/>
  <c r="A74" i="7" s="1"/>
  <c r="A75" i="7" s="1"/>
  <c r="A76" i="7" s="1"/>
  <c r="A77" i="7" s="1"/>
  <c r="A78" i="7" s="1"/>
  <c r="A79" i="7" s="1"/>
  <c r="A80" i="7" s="1"/>
  <c r="A81" i="7" s="1"/>
  <c r="A82" i="7" s="1"/>
  <c r="A83" i="7" s="1"/>
  <c r="A84" i="7" s="1"/>
  <c r="A85" i="7" s="1"/>
  <c r="A86" i="7" s="1"/>
  <c r="E71" i="7"/>
  <c r="H41" i="44"/>
  <c r="H44" i="44" s="1"/>
  <c r="H86" i="44" s="1"/>
  <c r="A45" i="26"/>
  <c r="A46" i="26" s="1"/>
  <c r="A47" i="26" s="1"/>
  <c r="A48" i="26" s="1"/>
  <c r="A49" i="26" s="1"/>
  <c r="A50" i="26" s="1"/>
  <c r="C72" i="26"/>
  <c r="A54" i="22"/>
  <c r="A55" i="22" s="1"/>
  <c r="I16" i="1" s="1"/>
  <c r="G51" i="22"/>
  <c r="A93" i="12"/>
  <c r="A94" i="12" s="1"/>
  <c r="A94" i="11"/>
  <c r="H61" i="11"/>
  <c r="H60" i="11"/>
  <c r="H62" i="11"/>
  <c r="A95" i="11"/>
  <c r="A96" i="11" s="1"/>
  <c r="A97" i="11" s="1"/>
  <c r="A98" i="11" s="1"/>
  <c r="A99" i="11" s="1"/>
  <c r="A100" i="11" s="1"/>
  <c r="A101" i="11" s="1"/>
  <c r="A102" i="11" s="1"/>
  <c r="A103" i="11" s="1"/>
  <c r="A104" i="11" s="1"/>
  <c r="A105" i="11" s="1"/>
  <c r="A106" i="11" s="1"/>
  <c r="A107" i="11" s="1"/>
  <c r="A117" i="11" s="1"/>
  <c r="D176" i="71"/>
  <c r="D158" i="71"/>
  <c r="D159" i="71"/>
  <c r="D177" i="71"/>
  <c r="D172" i="71"/>
  <c r="D154" i="71"/>
  <c r="D174" i="71"/>
  <c r="D156" i="71"/>
  <c r="D153" i="71"/>
  <c r="D171" i="71"/>
  <c r="D157" i="71"/>
  <c r="D175" i="71"/>
  <c r="D155" i="71"/>
  <c r="D173" i="71"/>
  <c r="D120" i="71"/>
  <c r="E169" i="71" s="1"/>
  <c r="E138" i="71"/>
  <c r="G84" i="71"/>
  <c r="H84" i="71" s="1"/>
  <c r="G85" i="71"/>
  <c r="H85" i="71" s="1"/>
  <c r="G80" i="71"/>
  <c r="H80" i="71" s="1"/>
  <c r="G82" i="71"/>
  <c r="H82" i="71" s="1"/>
  <c r="G79" i="71"/>
  <c r="H79" i="71" s="1"/>
  <c r="G83" i="71"/>
  <c r="H83" i="71" s="1"/>
  <c r="G81" i="71"/>
  <c r="H81" i="71" s="1"/>
  <c r="E114" i="71"/>
  <c r="E115" i="71" s="1"/>
  <c r="A65" i="71"/>
  <c r="D105" i="71"/>
  <c r="E88" i="71"/>
  <c r="F78" i="71"/>
  <c r="D170" i="71" s="1"/>
  <c r="D67" i="71"/>
  <c r="F95" i="71"/>
  <c r="E67" i="71"/>
  <c r="D88" i="71"/>
  <c r="F94" i="71"/>
  <c r="E66" i="71"/>
  <c r="F77" i="71"/>
  <c r="G77" i="71" s="1"/>
  <c r="D66" i="71"/>
  <c r="D127" i="71"/>
  <c r="D124" i="71"/>
  <c r="D123" i="71"/>
  <c r="D126" i="71"/>
  <c r="D128" i="71"/>
  <c r="D121" i="71"/>
  <c r="D125" i="71"/>
  <c r="D122" i="71"/>
  <c r="E47" i="17"/>
  <c r="A56" i="44"/>
  <c r="A57" i="44" s="1"/>
  <c r="G59" i="44" s="1"/>
  <c r="A46" i="1"/>
  <c r="A47" i="1" s="1"/>
  <c r="A48" i="1" s="1"/>
  <c r="N18" i="21" l="1"/>
  <c r="E19" i="21"/>
  <c r="A118" i="11"/>
  <c r="A119" i="11" s="1"/>
  <c r="A120" i="11" s="1"/>
  <c r="A121" i="11" s="1"/>
  <c r="A122" i="11" s="1"/>
  <c r="A123" i="11" s="1"/>
  <c r="A124" i="11" s="1"/>
  <c r="A125" i="11" s="1"/>
  <c r="A126" i="11" s="1"/>
  <c r="A127" i="11" s="1"/>
  <c r="A128" i="11" s="1"/>
  <c r="A129" i="11" s="1"/>
  <c r="F69" i="11" s="1"/>
  <c r="B174" i="4"/>
  <c r="D63" i="7"/>
  <c r="D64" i="7" s="1"/>
  <c r="E105" i="71"/>
  <c r="G94" i="71"/>
  <c r="H94" i="71" s="1"/>
  <c r="A87" i="7"/>
  <c r="A88" i="7" s="1"/>
  <c r="A89" i="7" s="1"/>
  <c r="E88" i="7"/>
  <c r="E89" i="7"/>
  <c r="A34" i="2"/>
  <c r="A35" i="2" s="1"/>
  <c r="A36" i="2" s="1"/>
  <c r="C58" i="17"/>
  <c r="I53" i="1"/>
  <c r="G55" i="22"/>
  <c r="A98" i="12"/>
  <c r="G94" i="12"/>
  <c r="A137" i="11"/>
  <c r="E137" i="71"/>
  <c r="E153" i="71"/>
  <c r="F153" i="71" s="1"/>
  <c r="G153" i="71" s="1"/>
  <c r="E171" i="71"/>
  <c r="F171" i="71" s="1"/>
  <c r="G171" i="71" s="1"/>
  <c r="E152" i="71"/>
  <c r="E170" i="71"/>
  <c r="F170" i="71" s="1"/>
  <c r="E157" i="71"/>
  <c r="F157" i="71" s="1"/>
  <c r="G157" i="71" s="1"/>
  <c r="E175" i="71"/>
  <c r="F175" i="71" s="1"/>
  <c r="G175" i="71" s="1"/>
  <c r="E155" i="71"/>
  <c r="F155" i="71" s="1"/>
  <c r="G155" i="71" s="1"/>
  <c r="E173" i="71"/>
  <c r="F173" i="71" s="1"/>
  <c r="G173" i="71" s="1"/>
  <c r="A66" i="71"/>
  <c r="D151" i="71"/>
  <c r="D152" i="71"/>
  <c r="E156" i="71"/>
  <c r="F156" i="71" s="1"/>
  <c r="E174" i="71"/>
  <c r="F174" i="71" s="1"/>
  <c r="G174" i="71" s="1"/>
  <c r="E159" i="71"/>
  <c r="F159" i="71" s="1"/>
  <c r="G159" i="71" s="1"/>
  <c r="E177" i="71"/>
  <c r="F177" i="71" s="1"/>
  <c r="G177" i="71" s="1"/>
  <c r="E154" i="71"/>
  <c r="F154" i="71" s="1"/>
  <c r="E172" i="71"/>
  <c r="F172" i="71" s="1"/>
  <c r="G172" i="71" s="1"/>
  <c r="E158" i="71"/>
  <c r="E176" i="71"/>
  <c r="F176" i="71" s="1"/>
  <c r="G176" i="71" s="1"/>
  <c r="E128" i="71"/>
  <c r="E126" i="71"/>
  <c r="E124" i="71"/>
  <c r="E122" i="71"/>
  <c r="E120" i="71"/>
  <c r="E127" i="71"/>
  <c r="E125" i="71"/>
  <c r="E123" i="71"/>
  <c r="E121" i="71"/>
  <c r="D169" i="71"/>
  <c r="G95" i="71"/>
  <c r="H77" i="71"/>
  <c r="G78" i="71"/>
  <c r="G88" i="71" s="1"/>
  <c r="E79" i="7"/>
  <c r="E68" i="71"/>
  <c r="E69" i="71" s="1"/>
  <c r="D68" i="71"/>
  <c r="D69" i="71" s="1"/>
  <c r="F88" i="71"/>
  <c r="F105" i="71"/>
  <c r="E151" i="71"/>
  <c r="D131" i="71"/>
  <c r="I44" i="1"/>
  <c r="A58" i="44"/>
  <c r="A59" i="44" s="1"/>
  <c r="G65" i="44"/>
  <c r="A49" i="1"/>
  <c r="A50" i="1" s="1"/>
  <c r="A51" i="1" s="1"/>
  <c r="A52" i="1" s="1"/>
  <c r="C55" i="17" s="1"/>
  <c r="E48" i="17"/>
  <c r="N19" i="21" l="1"/>
  <c r="E20" i="21"/>
  <c r="A138" i="11"/>
  <c r="A139" i="11" s="1"/>
  <c r="A140" i="11" s="1"/>
  <c r="A141" i="11" s="1"/>
  <c r="A142" i="11" s="1"/>
  <c r="A143" i="11" s="1"/>
  <c r="A144" i="11" s="1"/>
  <c r="A145" i="11" s="1"/>
  <c r="A146" i="11" s="1"/>
  <c r="A147" i="11" s="1"/>
  <c r="A148" i="11" s="1"/>
  <c r="A149" i="11" s="1"/>
  <c r="A157" i="11" s="1"/>
  <c r="H69" i="11"/>
  <c r="D69" i="7"/>
  <c r="G105" i="71"/>
  <c r="D65" i="7"/>
  <c r="A90" i="7"/>
  <c r="A91" i="7" s="1"/>
  <c r="I147" i="1" s="1"/>
  <c r="G89" i="44"/>
  <c r="E35" i="2"/>
  <c r="E36" i="2"/>
  <c r="A37" i="2"/>
  <c r="A38" i="2" s="1"/>
  <c r="A39" i="2" s="1"/>
  <c r="J100" i="46"/>
  <c r="J101" i="46"/>
  <c r="J99" i="46"/>
  <c r="A99" i="12"/>
  <c r="A100" i="12" s="1"/>
  <c r="A101" i="12" s="1"/>
  <c r="A53" i="1"/>
  <c r="A54" i="1" s="1"/>
  <c r="I52" i="1"/>
  <c r="E139" i="71"/>
  <c r="E143" i="71" s="1"/>
  <c r="E131" i="71"/>
  <c r="F158" i="71"/>
  <c r="G158" i="71" s="1"/>
  <c r="G154" i="71"/>
  <c r="G156" i="71"/>
  <c r="F151" i="71"/>
  <c r="G170" i="71"/>
  <c r="F169" i="71"/>
  <c r="F180" i="71" s="1"/>
  <c r="D180" i="71"/>
  <c r="F152" i="71"/>
  <c r="G152" i="71" s="1"/>
  <c r="E180" i="71"/>
  <c r="A67" i="71"/>
  <c r="H78" i="71"/>
  <c r="H88" i="71" s="1"/>
  <c r="H95" i="71"/>
  <c r="H105" i="71" s="1"/>
  <c r="E162" i="71"/>
  <c r="E91" i="7"/>
  <c r="E80" i="7"/>
  <c r="E86" i="7"/>
  <c r="E49" i="17"/>
  <c r="E84" i="7"/>
  <c r="G78" i="44"/>
  <c r="A64" i="44"/>
  <c r="N20" i="21" l="1"/>
  <c r="E21" i="21"/>
  <c r="A158" i="11"/>
  <c r="A159" i="11" s="1"/>
  <c r="A160" i="11" s="1"/>
  <c r="A161" i="11" s="1"/>
  <c r="A162" i="11" s="1"/>
  <c r="A163" i="11" s="1"/>
  <c r="A164" i="11" s="1"/>
  <c r="A165" i="11" s="1"/>
  <c r="A166" i="11" s="1"/>
  <c r="A167" i="11" s="1"/>
  <c r="A168" i="11" s="1"/>
  <c r="A169" i="11" s="1"/>
  <c r="A176" i="11" s="1"/>
  <c r="A177" i="11" s="1"/>
  <c r="A178" i="11" s="1"/>
  <c r="A179" i="11" s="1"/>
  <c r="A180" i="11" s="1"/>
  <c r="A181" i="11" s="1"/>
  <c r="A182" i="11" s="1"/>
  <c r="A183" i="11" s="1"/>
  <c r="A184" i="11" s="1"/>
  <c r="A185" i="11" s="1"/>
  <c r="A186" i="11" s="1"/>
  <c r="A187" i="11" s="1"/>
  <c r="A188" i="11" s="1"/>
  <c r="A195" i="11" s="1"/>
  <c r="A196" i="11" s="1"/>
  <c r="A197" i="11" s="1"/>
  <c r="A198" i="11" s="1"/>
  <c r="A199" i="11" s="1"/>
  <c r="A200" i="11" s="1"/>
  <c r="A201" i="11" s="1"/>
  <c r="A202" i="11" s="1"/>
  <c r="A203" i="11" s="1"/>
  <c r="A204" i="11" s="1"/>
  <c r="A205" i="11" s="1"/>
  <c r="A206" i="11" s="1"/>
  <c r="A207" i="11" s="1"/>
  <c r="A214" i="11" s="1"/>
  <c r="A215" i="11" s="1"/>
  <c r="A216" i="11" s="1"/>
  <c r="A217" i="11" s="1"/>
  <c r="A218" i="11" s="1"/>
  <c r="A219" i="11" s="1"/>
  <c r="A220" i="11" s="1"/>
  <c r="A221" i="11" s="1"/>
  <c r="A222" i="11" s="1"/>
  <c r="A223" i="11" s="1"/>
  <c r="A224" i="11" s="1"/>
  <c r="A225" i="11" s="1"/>
  <c r="A226" i="11" s="1"/>
  <c r="A233" i="11" s="1"/>
  <c r="A234" i="11" s="1"/>
  <c r="A235" i="11" s="1"/>
  <c r="A236" i="11" s="1"/>
  <c r="A237" i="11" s="1"/>
  <c r="A238" i="11" s="1"/>
  <c r="A239" i="11" s="1"/>
  <c r="A240" i="11" s="1"/>
  <c r="A241" i="11" s="1"/>
  <c r="A242" i="11" s="1"/>
  <c r="A243" i="11" s="1"/>
  <c r="A244" i="11" s="1"/>
  <c r="A245" i="11" s="1"/>
  <c r="A252" i="11" s="1"/>
  <c r="A253" i="11" s="1"/>
  <c r="A254" i="11" s="1"/>
  <c r="A255" i="11" s="1"/>
  <c r="A256" i="11" s="1"/>
  <c r="A257" i="11" s="1"/>
  <c r="A258" i="11" s="1"/>
  <c r="A259" i="11" s="1"/>
  <c r="A260" i="11" s="1"/>
  <c r="A261" i="11" s="1"/>
  <c r="A262" i="11" s="1"/>
  <c r="A263" i="11" s="1"/>
  <c r="A264" i="11" s="1"/>
  <c r="A271" i="11" s="1"/>
  <c r="A272" i="11" s="1"/>
  <c r="A273" i="11" s="1"/>
  <c r="A274" i="11" s="1"/>
  <c r="A275" i="11" s="1"/>
  <c r="A276" i="11" s="1"/>
  <c r="A277" i="11" s="1"/>
  <c r="A278" i="11" s="1"/>
  <c r="A279" i="11" s="1"/>
  <c r="A280" i="11" s="1"/>
  <c r="A281" i="11" s="1"/>
  <c r="A282" i="11" s="1"/>
  <c r="A283" i="11" s="1"/>
  <c r="A290" i="11" s="1"/>
  <c r="A291" i="11" s="1"/>
  <c r="A292" i="11" s="1"/>
  <c r="A293" i="11" s="1"/>
  <c r="A294" i="11" s="1"/>
  <c r="A295" i="11" s="1"/>
  <c r="A296" i="11" s="1"/>
  <c r="A297" i="11" s="1"/>
  <c r="A298" i="11" s="1"/>
  <c r="A299" i="11" s="1"/>
  <c r="A300" i="11" s="1"/>
  <c r="A301" i="11" s="1"/>
  <c r="A302" i="11" s="1"/>
  <c r="A307" i="11" s="1"/>
  <c r="A308" i="11" s="1"/>
  <c r="G69" i="11"/>
  <c r="G169" i="71"/>
  <c r="G180" i="71" s="1"/>
  <c r="A40" i="2"/>
  <c r="A41" i="2" s="1"/>
  <c r="A42" i="2" s="1"/>
  <c r="I54" i="1"/>
  <c r="G101" i="12"/>
  <c r="A55" i="1"/>
  <c r="A56" i="1" s="1"/>
  <c r="A58" i="1" s="1"/>
  <c r="E142" i="71"/>
  <c r="E144" i="71" s="1"/>
  <c r="F137" i="71"/>
  <c r="A68" i="71"/>
  <c r="G151" i="71"/>
  <c r="F162" i="71"/>
  <c r="D162" i="71"/>
  <c r="A65" i="44"/>
  <c r="A66" i="44" s="1"/>
  <c r="N21" i="21" l="1"/>
  <c r="E22" i="21"/>
  <c r="G25" i="12"/>
  <c r="A309" i="11"/>
  <c r="A312" i="11" s="1"/>
  <c r="A313" i="11" s="1"/>
  <c r="G66" i="44"/>
  <c r="I58" i="1"/>
  <c r="E41" i="2"/>
  <c r="E42" i="2"/>
  <c r="A43" i="2"/>
  <c r="A44" i="2" s="1"/>
  <c r="A45" i="2" s="1"/>
  <c r="J105" i="46"/>
  <c r="I56" i="1"/>
  <c r="E145" i="71"/>
  <c r="D19" i="31" s="1"/>
  <c r="A69" i="71"/>
  <c r="A77" i="71" s="1"/>
  <c r="F69" i="71"/>
  <c r="G162" i="71"/>
  <c r="E51" i="17"/>
  <c r="A78" i="44"/>
  <c r="A79" i="44" s="1"/>
  <c r="A80" i="44" s="1"/>
  <c r="A81" i="44" s="1"/>
  <c r="A82" i="44" s="1"/>
  <c r="G79" i="44"/>
  <c r="I129" i="1"/>
  <c r="A63" i="1"/>
  <c r="N22" i="21" l="1"/>
  <c r="E23" i="21"/>
  <c r="G26" i="12"/>
  <c r="A314" i="11"/>
  <c r="A317" i="11" s="1"/>
  <c r="A318" i="11" s="1"/>
  <c r="A46" i="2"/>
  <c r="A47" i="2" s="1"/>
  <c r="A48" i="2" s="1"/>
  <c r="E19" i="31"/>
  <c r="A78" i="71"/>
  <c r="A79" i="71" s="1"/>
  <c r="A80" i="71" s="1"/>
  <c r="A81" i="71" s="1"/>
  <c r="A82" i="71" s="1"/>
  <c r="A83" i="71" s="1"/>
  <c r="A84" i="71" s="1"/>
  <c r="A85" i="71" s="1"/>
  <c r="A86" i="71" s="1"/>
  <c r="A87" i="71" s="1"/>
  <c r="I88" i="71" s="1"/>
  <c r="A86" i="44"/>
  <c r="G87" i="44"/>
  <c r="A64" i="1"/>
  <c r="N23" i="21" l="1"/>
  <c r="N25" i="21" s="1"/>
  <c r="E25" i="21"/>
  <c r="G27" i="12"/>
  <c r="A319" i="11"/>
  <c r="A320" i="11" s="1"/>
  <c r="A323" i="11" s="1"/>
  <c r="A324" i="11" s="1"/>
  <c r="A325" i="11" s="1"/>
  <c r="A326" i="11" s="1"/>
  <c r="A327" i="11" s="1"/>
  <c r="A330" i="11" s="1"/>
  <c r="A331" i="11" s="1"/>
  <c r="A332" i="11" s="1"/>
  <c r="A335" i="11" s="1"/>
  <c r="A336" i="11" s="1"/>
  <c r="A337" i="11" s="1"/>
  <c r="A340" i="11" s="1"/>
  <c r="A341" i="11" s="1"/>
  <c r="A342" i="11" s="1"/>
  <c r="A345" i="11" s="1"/>
  <c r="A346" i="11" s="1"/>
  <c r="A347" i="11" s="1"/>
  <c r="A350" i="11" s="1"/>
  <c r="A351" i="11" s="1"/>
  <c r="A352" i="11" s="1"/>
  <c r="A355" i="11" s="1"/>
  <c r="A356" i="11" s="1"/>
  <c r="A357" i="11" s="1"/>
  <c r="A360" i="11" s="1"/>
  <c r="A361" i="11" s="1"/>
  <c r="A362" i="11" s="1"/>
  <c r="A365" i="11" s="1"/>
  <c r="A366" i="11" s="1"/>
  <c r="A367" i="11" s="1"/>
  <c r="E47" i="2"/>
  <c r="E48" i="2"/>
  <c r="A49" i="2"/>
  <c r="A50" i="2" s="1"/>
  <c r="A51" i="2" s="1"/>
  <c r="J106" i="46"/>
  <c r="A87" i="44"/>
  <c r="A88" i="44" s="1"/>
  <c r="A89" i="44" s="1"/>
  <c r="A90" i="44" s="1"/>
  <c r="A91" i="44" s="1"/>
  <c r="A92" i="44" s="1"/>
  <c r="I156" i="1" s="1"/>
  <c r="J18" i="8"/>
  <c r="A88" i="71"/>
  <c r="A94" i="71" s="1"/>
  <c r="B192" i="71"/>
  <c r="A65" i="1"/>
  <c r="G90" i="44" l="1"/>
  <c r="A52" i="2"/>
  <c r="A53" i="2" s="1"/>
  <c r="A54" i="2" s="1"/>
  <c r="B100" i="44"/>
  <c r="A95" i="71"/>
  <c r="A96" i="71" s="1"/>
  <c r="A97" i="71" s="1"/>
  <c r="A98" i="71" s="1"/>
  <c r="A99" i="71" s="1"/>
  <c r="A100" i="71" s="1"/>
  <c r="A101" i="71" s="1"/>
  <c r="A102" i="71" s="1"/>
  <c r="A103" i="71" s="1"/>
  <c r="A104" i="71" s="1"/>
  <c r="A105" i="71" s="1"/>
  <c r="A111" i="71" s="1"/>
  <c r="G92" i="44"/>
  <c r="A68" i="1"/>
  <c r="I83" i="1"/>
  <c r="E54" i="2" l="1"/>
  <c r="E53" i="2"/>
  <c r="A55" i="2"/>
  <c r="A56" i="2" s="1"/>
  <c r="A57" i="2" s="1"/>
  <c r="J139" i="46"/>
  <c r="J108" i="46"/>
  <c r="J140" i="46"/>
  <c r="J138" i="46"/>
  <c r="I105" i="71"/>
  <c r="A112" i="71"/>
  <c r="A113" i="71" s="1"/>
  <c r="A69" i="1"/>
  <c r="A70" i="1" s="1"/>
  <c r="A58" i="2" l="1"/>
  <c r="A59" i="2" s="1"/>
  <c r="A60" i="2" s="1"/>
  <c r="F113" i="71"/>
  <c r="A114" i="71"/>
  <c r="A115" i="71" s="1"/>
  <c r="A120" i="71" s="1"/>
  <c r="F138" i="71"/>
  <c r="A73" i="1"/>
  <c r="I75" i="1" s="1"/>
  <c r="I84" i="1"/>
  <c r="E59" i="2" l="1"/>
  <c r="E60" i="2"/>
  <c r="A61" i="2"/>
  <c r="J143" i="46"/>
  <c r="J109" i="46"/>
  <c r="F115" i="71"/>
  <c r="A121" i="71"/>
  <c r="A122" i="71" s="1"/>
  <c r="A123" i="71" s="1"/>
  <c r="A124" i="71" s="1"/>
  <c r="A125" i="71" s="1"/>
  <c r="A126" i="71" s="1"/>
  <c r="A127" i="71" s="1"/>
  <c r="A128" i="71" s="1"/>
  <c r="A129" i="71" s="1"/>
  <c r="A130" i="71" s="1"/>
  <c r="A131" i="71" s="1"/>
  <c r="A137" i="71" s="1"/>
  <c r="A75" i="1"/>
  <c r="I80" i="1" s="1"/>
  <c r="A138" i="71" l="1"/>
  <c r="A139" i="71" s="1"/>
  <c r="F131" i="71"/>
  <c r="B193" i="71"/>
  <c r="A78" i="1"/>
  <c r="I78" i="1"/>
  <c r="I79" i="1"/>
  <c r="F139" i="71" l="1"/>
  <c r="A140" i="71"/>
  <c r="A141" i="71" s="1"/>
  <c r="A142" i="71" s="1"/>
  <c r="A143" i="71" s="1"/>
  <c r="A144" i="71" s="1"/>
  <c r="A145" i="71" s="1"/>
  <c r="A79" i="1"/>
  <c r="I88" i="1"/>
  <c r="A151" i="71" l="1"/>
  <c r="A152" i="71" s="1"/>
  <c r="A153" i="71" s="1"/>
  <c r="A154" i="71" s="1"/>
  <c r="A155" i="71" s="1"/>
  <c r="A156" i="71" s="1"/>
  <c r="A157" i="71" s="1"/>
  <c r="A158" i="71" s="1"/>
  <c r="A159" i="71" s="1"/>
  <c r="A160" i="71" s="1"/>
  <c r="A161" i="71" s="1"/>
  <c r="A162" i="71" s="1"/>
  <c r="A169" i="71" s="1"/>
  <c r="A170" i="71" s="1"/>
  <c r="A171" i="71" s="1"/>
  <c r="A172" i="71" s="1"/>
  <c r="A173" i="71" s="1"/>
  <c r="A174" i="71" s="1"/>
  <c r="A175" i="71" s="1"/>
  <c r="A176" i="71" s="1"/>
  <c r="A177" i="71" s="1"/>
  <c r="A178" i="71" s="1"/>
  <c r="A179" i="71" s="1"/>
  <c r="A180" i="71" s="1"/>
  <c r="F142" i="71"/>
  <c r="F145" i="71"/>
  <c r="F144" i="71"/>
  <c r="F143" i="71"/>
  <c r="A80" i="1"/>
  <c r="I89" i="1"/>
  <c r="G93" i="12" l="1"/>
  <c r="I15" i="12"/>
  <c r="A83" i="1"/>
  <c r="A84" i="1" s="1"/>
  <c r="A85" i="1" s="1"/>
  <c r="G100" i="12" s="1"/>
  <c r="I81" i="1"/>
  <c r="I90" i="1" l="1"/>
  <c r="E65" i="2"/>
  <c r="E66" i="2"/>
  <c r="A88" i="1"/>
  <c r="E21" i="7" s="1"/>
  <c r="A89" i="1"/>
  <c r="J121" i="46" l="1"/>
  <c r="A90" i="1"/>
  <c r="I93" i="1" s="1"/>
  <c r="E71" i="2" l="1"/>
  <c r="I91" i="1"/>
  <c r="A91" i="1"/>
  <c r="F25" i="71" l="1"/>
  <c r="E72" i="2"/>
  <c r="J122" i="46"/>
  <c r="A93" i="1"/>
  <c r="I95" i="1"/>
  <c r="F32" i="71" l="1"/>
  <c r="E22" i="7"/>
  <c r="I116" i="1"/>
  <c r="E77" i="2"/>
  <c r="A95" i="1"/>
  <c r="E78" i="2" l="1"/>
  <c r="J132" i="46"/>
  <c r="A100" i="1"/>
  <c r="I131" i="1"/>
  <c r="A101" i="1" l="1"/>
  <c r="A102" i="1" s="1"/>
  <c r="F33" i="71" l="1"/>
  <c r="I16" i="12"/>
  <c r="H43" i="8"/>
  <c r="E23" i="7"/>
  <c r="G56" i="44"/>
  <c r="I117" i="1"/>
  <c r="E84" i="2"/>
  <c r="E83" i="2"/>
  <c r="J133" i="46"/>
  <c r="I102" i="1"/>
  <c r="A105" i="1"/>
  <c r="E89" i="2" l="1"/>
  <c r="A106" i="1"/>
  <c r="A107" i="1" s="1"/>
  <c r="H44" i="8" l="1"/>
  <c r="I118" i="1"/>
  <c r="E90" i="2"/>
  <c r="J134" i="46"/>
  <c r="A110" i="1"/>
  <c r="A112" i="1" s="1"/>
  <c r="H45" i="8" s="1"/>
  <c r="I132" i="1" l="1"/>
  <c r="A124" i="1"/>
  <c r="A125" i="1" s="1"/>
  <c r="H49" i="8" s="1"/>
  <c r="I110" i="1"/>
  <c r="H48" i="8" l="1"/>
  <c r="E96" i="2"/>
  <c r="E95" i="2"/>
  <c r="J136" i="46"/>
  <c r="A126" i="1"/>
  <c r="H50" i="8" s="1"/>
  <c r="E101" i="2" l="1"/>
  <c r="A127" i="1"/>
  <c r="H51" i="8" s="1"/>
  <c r="E102" i="2" l="1"/>
  <c r="J141" i="46"/>
  <c r="A128" i="1"/>
  <c r="H52" i="8" s="1"/>
  <c r="A129" i="1" l="1"/>
  <c r="H53" i="8" s="1"/>
  <c r="E108" i="2" l="1"/>
  <c r="E107" i="2"/>
  <c r="J145" i="46"/>
  <c r="A130" i="1"/>
  <c r="H54" i="8" s="1"/>
  <c r="A131" i="1" l="1"/>
  <c r="A132" i="1" s="1"/>
  <c r="A133" i="1" s="1"/>
  <c r="H57" i="8" s="1"/>
  <c r="E113" i="2" l="1"/>
  <c r="E114" i="2"/>
  <c r="J161" i="46"/>
  <c r="A134" i="1"/>
  <c r="A135" i="1" l="1"/>
  <c r="H58" i="8"/>
  <c r="A136" i="1"/>
  <c r="I136" i="1"/>
  <c r="A138" i="1"/>
  <c r="A139" i="1" s="1"/>
  <c r="G88" i="44" s="1"/>
  <c r="I138" i="1" l="1"/>
  <c r="E70" i="7"/>
  <c r="I139" i="1"/>
  <c r="E120" i="2"/>
  <c r="E119" i="2"/>
  <c r="J162" i="46"/>
  <c r="A141" i="1"/>
  <c r="I146" i="1" s="1"/>
  <c r="I141" i="1"/>
  <c r="A146" i="1" l="1"/>
  <c r="A147" i="1" s="1"/>
  <c r="A148" i="1" s="1"/>
  <c r="A149" i="1" s="1"/>
  <c r="A150" i="1" s="1"/>
  <c r="A152" i="1" s="1"/>
  <c r="J163" i="46"/>
  <c r="E125" i="2" l="1"/>
  <c r="E126" i="2"/>
  <c r="A155" i="1"/>
  <c r="I155" i="1"/>
  <c r="I152" i="1"/>
  <c r="A156" i="1" l="1"/>
  <c r="A157" i="1" s="1"/>
  <c r="G4" i="31" s="1"/>
  <c r="I157" i="1" l="1"/>
  <c r="K53" i="1" l="1"/>
  <c r="K54" i="1" s="1"/>
  <c r="F58" i="17"/>
  <c r="F115" i="46"/>
  <c r="I115" i="46" s="1"/>
  <c r="F129" i="46"/>
  <c r="I129" i="46" s="1"/>
  <c r="F130" i="46"/>
  <c r="I130" i="46" s="1"/>
  <c r="F128" i="46"/>
  <c r="I128" i="46" s="1"/>
  <c r="F114" i="46"/>
  <c r="I114" i="46" s="1"/>
  <c r="F97" i="46"/>
  <c r="I97" i="46" s="1"/>
  <c r="H97" i="46" l="1"/>
  <c r="G97" i="46" s="1"/>
  <c r="H114" i="46"/>
  <c r="G114" i="46" s="1"/>
  <c r="H129" i="46"/>
  <c r="G129" i="46" s="1"/>
  <c r="I148" i="46"/>
  <c r="H128" i="46"/>
  <c r="G128" i="46" s="1"/>
  <c r="H130" i="46"/>
  <c r="G130" i="46" s="1"/>
  <c r="H115" i="46"/>
  <c r="G115" i="46" s="1"/>
  <c r="C198" i="46" l="1"/>
  <c r="H147" i="46" s="1"/>
  <c r="G147" i="46" s="1"/>
  <c r="G148" i="46" s="1"/>
  <c r="H148" i="46" l="1"/>
  <c r="F160" i="46" l="1"/>
  <c r="I160" i="46" s="1"/>
  <c r="F159" i="46"/>
  <c r="I159" i="46" s="1"/>
  <c r="F158" i="46"/>
  <c r="I158" i="46" s="1"/>
  <c r="F164" i="46"/>
  <c r="I164" i="46" s="1"/>
  <c r="F157" i="46"/>
  <c r="I157" i="46" s="1"/>
  <c r="I167" i="46" l="1"/>
  <c r="I170" i="46" s="1"/>
  <c r="H160" i="46"/>
  <c r="G160" i="46" s="1"/>
  <c r="H157" i="46"/>
  <c r="G157" i="46" s="1"/>
  <c r="H164" i="46"/>
  <c r="G164" i="46" s="1"/>
  <c r="H158" i="46"/>
  <c r="G158" i="46"/>
  <c r="H159" i="46"/>
  <c r="G159" i="46" s="1"/>
  <c r="G167" i="46" l="1"/>
  <c r="H167" i="46"/>
  <c r="H170" i="46" s="1"/>
  <c r="G170" i="46" l="1"/>
  <c r="G7" i="2"/>
  <c r="G15" i="2" s="1"/>
  <c r="H86" i="64" s="1"/>
  <c r="H87" i="64" s="1"/>
  <c r="F94" i="64" s="1"/>
  <c r="F95" i="64" s="1"/>
  <c r="K127" i="1" s="1"/>
  <c r="K124" i="1" l="1"/>
  <c r="J48" i="8" s="1"/>
  <c r="G172" i="46"/>
  <c r="H73" i="44"/>
  <c r="G35" i="79"/>
  <c r="G36" i="79" s="1"/>
  <c r="I28" i="79"/>
  <c r="I29" i="79" s="1"/>
  <c r="I17" i="79" s="1"/>
  <c r="G44" i="79"/>
  <c r="G45" i="79" s="1"/>
  <c r="I44" i="79"/>
  <c r="I45" i="79" s="1"/>
  <c r="I19" i="79" s="1"/>
  <c r="I35" i="79"/>
  <c r="I36" i="79" s="1"/>
  <c r="I18" i="79" s="1"/>
  <c r="G28" i="79"/>
  <c r="G29" i="79" s="1"/>
  <c r="H148" i="15"/>
  <c r="H149" i="15" s="1"/>
  <c r="H76" i="15"/>
  <c r="H77" i="15" s="1"/>
  <c r="H99" i="15"/>
  <c r="H100" i="15" s="1"/>
  <c r="G25" i="2"/>
  <c r="F50" i="22"/>
  <c r="F51" i="22" s="1"/>
  <c r="J13" i="8" s="1"/>
  <c r="F62" i="4"/>
  <c r="F63" i="4" s="1"/>
  <c r="K10" i="1" s="1"/>
  <c r="D28" i="54"/>
  <c r="D29" i="54" s="1"/>
  <c r="D38" i="54" s="1"/>
  <c r="F26" i="26"/>
  <c r="F27" i="26" s="1"/>
  <c r="F54" i="22"/>
  <c r="F55" i="22" s="1"/>
  <c r="K16" i="1" s="1"/>
  <c r="F59" i="21"/>
  <c r="F60" i="21" s="1"/>
  <c r="K23" i="1" s="1"/>
  <c r="K24" i="1" s="1"/>
  <c r="K55" i="1"/>
  <c r="K56" i="1" s="1"/>
  <c r="F24" i="22"/>
  <c r="F52" i="21"/>
  <c r="F53" i="21" s="1"/>
  <c r="J20" i="8" s="1"/>
  <c r="J21" i="8" s="1"/>
  <c r="E28" i="54"/>
  <c r="E29" i="54" s="1"/>
  <c r="E38" i="54" s="1"/>
  <c r="K11" i="1" s="1"/>
  <c r="F57" i="4"/>
  <c r="F58" i="4" s="1"/>
  <c r="J7" i="8" s="1"/>
  <c r="G23" i="2"/>
  <c r="J51" i="8"/>
  <c r="I20" i="79" l="1"/>
  <c r="K9" i="79" s="1"/>
  <c r="K31" i="1" s="1"/>
  <c r="G19" i="79"/>
  <c r="K19" i="79" s="1"/>
  <c r="K45" i="79"/>
  <c r="K29" i="79"/>
  <c r="G17" i="79"/>
  <c r="K36" i="79"/>
  <c r="G18" i="79"/>
  <c r="K18" i="79" s="1"/>
  <c r="H74" i="44"/>
  <c r="H81" i="44" s="1"/>
  <c r="H82" i="44" s="1"/>
  <c r="H87" i="44" s="1"/>
  <c r="H91" i="44" s="1"/>
  <c r="G28" i="2"/>
  <c r="F27" i="22"/>
  <c r="J12" i="8" s="1"/>
  <c r="F26" i="22"/>
  <c r="K15" i="1" s="1"/>
  <c r="D41" i="54"/>
  <c r="J8" i="8" s="1"/>
  <c r="K17" i="79" l="1"/>
  <c r="K20" i="79" s="1"/>
  <c r="K10" i="79" s="1"/>
  <c r="J26" i="8" s="1"/>
  <c r="G20" i="79"/>
  <c r="G163" i="15"/>
  <c r="G164" i="15" s="1"/>
  <c r="G99" i="15"/>
  <c r="G100" i="15" s="1"/>
  <c r="D100" i="15" s="1"/>
  <c r="D11" i="15" s="1"/>
  <c r="G148" i="15"/>
  <c r="G149" i="15" s="1"/>
  <c r="D149" i="15" s="1"/>
  <c r="D12" i="15" s="1"/>
  <c r="G76" i="15"/>
  <c r="G77" i="15" s="1"/>
  <c r="D77" i="15" s="1"/>
  <c r="D10" i="15" s="1"/>
  <c r="K40" i="1"/>
  <c r="K41" i="1" s="1"/>
  <c r="K58" i="1" s="1"/>
  <c r="K129" i="1" s="1"/>
  <c r="J53" i="8" s="1"/>
  <c r="F28" i="26"/>
  <c r="F29" i="26" s="1"/>
  <c r="F30" i="26" s="1"/>
  <c r="K125" i="1" s="1"/>
  <c r="D13" i="15" l="1"/>
  <c r="D14" i="15" s="1"/>
  <c r="D24" i="15" s="1"/>
  <c r="J23" i="8" s="1"/>
  <c r="E164" i="15"/>
  <c r="D164" i="15" s="1"/>
  <c r="D72" i="7"/>
  <c r="K17" i="1"/>
  <c r="J14" i="8" s="1"/>
  <c r="J15" i="8" s="1"/>
  <c r="J49" i="8"/>
  <c r="K18" i="1" l="1"/>
  <c r="J29" i="8"/>
  <c r="J41" i="8" s="1"/>
  <c r="K26" i="1"/>
  <c r="K34" i="1" l="1"/>
  <c r="K110" i="1" s="1"/>
  <c r="K132" i="1" s="1"/>
  <c r="J38" i="8"/>
  <c r="J56" i="8" s="1"/>
  <c r="J34" i="8"/>
  <c r="J55" i="8" s="1"/>
  <c r="F90" i="12"/>
  <c r="F92" i="12" s="1"/>
  <c r="F94" i="12" s="1"/>
  <c r="F98" i="12" s="1"/>
  <c r="F101" i="12" s="1"/>
  <c r="K95" i="1" l="1"/>
  <c r="K131" i="1" s="1"/>
  <c r="K136" i="1" s="1"/>
  <c r="D70" i="7" s="1"/>
  <c r="D71" i="7" s="1"/>
  <c r="J59" i="8"/>
  <c r="J63" i="8" s="1"/>
  <c r="E67" i="8" s="1"/>
  <c r="E69" i="8" s="1"/>
  <c r="K139" i="1" l="1"/>
  <c r="H88" i="44" s="1"/>
  <c r="K138" i="1"/>
  <c r="E71" i="8"/>
  <c r="E72" i="8" s="1"/>
  <c r="D73" i="7"/>
  <c r="E14" i="65" l="1"/>
  <c r="E32" i="65" s="1"/>
  <c r="H32" i="65" s="1"/>
  <c r="J69" i="8"/>
  <c r="J71" i="8" s="1"/>
  <c r="E28" i="65"/>
  <c r="H28" i="65" s="1"/>
  <c r="E31" i="65"/>
  <c r="H31" i="65" s="1"/>
  <c r="K141" i="1"/>
  <c r="C6" i="9" s="1"/>
  <c r="D79" i="7"/>
  <c r="E34" i="65" l="1"/>
  <c r="H34" i="65" s="1"/>
  <c r="E25" i="65"/>
  <c r="H25" i="65" s="1"/>
  <c r="E33" i="65"/>
  <c r="H33" i="65" s="1"/>
  <c r="E30" i="65"/>
  <c r="H30" i="65" s="1"/>
  <c r="E27" i="65"/>
  <c r="H27" i="65" s="1"/>
  <c r="E35" i="65"/>
  <c r="H35" i="65" s="1"/>
  <c r="E29" i="65"/>
  <c r="H29" i="65" s="1"/>
  <c r="E24" i="65"/>
  <c r="H24" i="65" s="1"/>
  <c r="J24" i="65" s="1"/>
  <c r="K24" i="65" s="1"/>
  <c r="L24" i="65" s="1"/>
  <c r="J25" i="65" s="1"/>
  <c r="E26" i="65"/>
  <c r="H26" i="65" s="1"/>
  <c r="K146" i="1"/>
  <c r="D80" i="7"/>
  <c r="K25" i="65" l="1"/>
  <c r="L25" i="65" s="1"/>
  <c r="D86" i="7"/>
  <c r="J26" i="65" l="1"/>
  <c r="K26" i="65" s="1"/>
  <c r="L26" i="65" s="1"/>
  <c r="D88" i="7"/>
  <c r="D89" i="7"/>
  <c r="J27" i="65" l="1"/>
  <c r="K27" i="65" s="1"/>
  <c r="L27" i="65" s="1"/>
  <c r="J28" i="65" s="1"/>
  <c r="D91" i="7"/>
  <c r="K147" i="1" s="1"/>
  <c r="H89" i="44"/>
  <c r="H90" i="44" s="1"/>
  <c r="H92" i="44" s="1"/>
  <c r="K156" i="1" s="1"/>
  <c r="K28" i="65" l="1"/>
  <c r="L28" i="65" s="1"/>
  <c r="C7" i="9"/>
  <c r="C10" i="9" s="1"/>
  <c r="K152" i="1"/>
  <c r="D4" i="53" s="1"/>
  <c r="D20" i="53" l="1"/>
  <c r="D26" i="53"/>
  <c r="D23" i="53"/>
  <c r="D18" i="53"/>
  <c r="D17" i="53"/>
  <c r="D13" i="53"/>
  <c r="D24" i="53"/>
  <c r="D21" i="53"/>
  <c r="D25" i="53"/>
  <c r="D15" i="53"/>
  <c r="D22" i="53"/>
  <c r="D19" i="53"/>
  <c r="D16" i="53"/>
  <c r="D12" i="53"/>
  <c r="J29" i="65"/>
  <c r="K29" i="65" s="1"/>
  <c r="L29" i="65" s="1"/>
  <c r="J30" i="65" s="1"/>
  <c r="K155" i="1"/>
  <c r="K157" i="1" s="1"/>
  <c r="B4" i="31" s="1"/>
  <c r="D18" i="31" s="1"/>
  <c r="I19" i="53" l="1"/>
  <c r="C52" i="53"/>
  <c r="D52" i="53" s="1"/>
  <c r="H52" i="53" s="1"/>
  <c r="C54" i="53"/>
  <c r="I21" i="53"/>
  <c r="C36" i="53"/>
  <c r="G36" i="53" s="1"/>
  <c r="I36" i="53" s="1"/>
  <c r="I54" i="53" s="1"/>
  <c r="I22" i="53"/>
  <c r="C37" i="53"/>
  <c r="G37" i="53" s="1"/>
  <c r="I37" i="53" s="1"/>
  <c r="I55" i="53" s="1"/>
  <c r="E55" i="53" s="1"/>
  <c r="C55" i="53"/>
  <c r="I23" i="53"/>
  <c r="C56" i="53"/>
  <c r="C38" i="53"/>
  <c r="G38" i="53" s="1"/>
  <c r="I38" i="53" s="1"/>
  <c r="I56" i="53" s="1"/>
  <c r="E56" i="53" s="1"/>
  <c r="H15" i="53"/>
  <c r="C48" i="53"/>
  <c r="D48" i="53" s="1"/>
  <c r="G48" i="53" s="1"/>
  <c r="C59" i="53"/>
  <c r="D59" i="53" s="1"/>
  <c r="G59" i="53" s="1"/>
  <c r="H26" i="53"/>
  <c r="I18" i="53"/>
  <c r="C51" i="53"/>
  <c r="D51" i="53" s="1"/>
  <c r="H51" i="53" s="1"/>
  <c r="C57" i="53"/>
  <c r="I24" i="53"/>
  <c r="C46" i="53"/>
  <c r="H12" i="53"/>
  <c r="D28" i="53"/>
  <c r="C47" i="53"/>
  <c r="H13" i="53"/>
  <c r="J14" i="53" s="1"/>
  <c r="C49" i="53"/>
  <c r="I16" i="53"/>
  <c r="I25" i="53"/>
  <c r="C58" i="53"/>
  <c r="I17" i="53"/>
  <c r="C50" i="53"/>
  <c r="I20" i="53"/>
  <c r="C53" i="53"/>
  <c r="D53" i="53" s="1"/>
  <c r="H53" i="53" s="1"/>
  <c r="K30" i="65"/>
  <c r="L30" i="65" s="1"/>
  <c r="J31" i="65" s="1"/>
  <c r="F18" i="31"/>
  <c r="F20" i="31" s="1"/>
  <c r="D20" i="31"/>
  <c r="E18" i="31"/>
  <c r="E20" i="31" s="1"/>
  <c r="D55" i="53" l="1"/>
  <c r="H55" i="53" s="1"/>
  <c r="D56" i="53"/>
  <c r="H56" i="53" s="1"/>
  <c r="K14" i="53"/>
  <c r="I14" i="53" s="1"/>
  <c r="I47" i="53" s="1"/>
  <c r="E47" i="53" s="1"/>
  <c r="H47" i="53" s="1"/>
  <c r="C61" i="53"/>
  <c r="D46" i="53"/>
  <c r="I57" i="53"/>
  <c r="E54" i="53"/>
  <c r="D54" i="53" s="1"/>
  <c r="H54" i="53" s="1"/>
  <c r="I50" i="53"/>
  <c r="E50" i="53" s="1"/>
  <c r="D50" i="53" s="1"/>
  <c r="H50" i="53" s="1"/>
  <c r="I58" i="53"/>
  <c r="E58" i="53" s="1"/>
  <c r="D58" i="53" s="1"/>
  <c r="H58" i="53" s="1"/>
  <c r="I49" i="53"/>
  <c r="E49" i="53" s="1"/>
  <c r="D49" i="53" s="1"/>
  <c r="H49" i="53" s="1"/>
  <c r="K31" i="65"/>
  <c r="L31" i="65" s="1"/>
  <c r="J32" i="65" s="1"/>
  <c r="E57" i="53" l="1"/>
  <c r="D57" i="53" s="1"/>
  <c r="H57" i="53" s="1"/>
  <c r="J57" i="53" s="1"/>
  <c r="K57" i="53"/>
  <c r="G46" i="53"/>
  <c r="D47" i="53"/>
  <c r="G47" i="53" s="1"/>
  <c r="K32" i="65"/>
  <c r="L32" i="65" s="1"/>
  <c r="E61" i="53" l="1"/>
  <c r="B8" i="31" s="1"/>
  <c r="D61" i="53"/>
  <c r="J33" i="65"/>
  <c r="K33" i="65" s="1"/>
  <c r="L33" i="65" s="1"/>
  <c r="J34" i="65" s="1"/>
  <c r="K34" i="65" l="1"/>
  <c r="L34" i="65" s="1"/>
  <c r="J35" i="65" l="1"/>
  <c r="K35" i="65" s="1"/>
  <c r="L35" i="65" s="1"/>
  <c r="J36" i="65" s="1"/>
  <c r="K36" i="65" l="1"/>
  <c r="L36" i="65" s="1"/>
  <c r="E24" i="31"/>
  <c r="E27" i="31" s="1"/>
  <c r="D24" i="31"/>
  <c r="D27" i="31" s="1"/>
  <c r="F24" i="31"/>
  <c r="F27" i="31" s="1"/>
  <c r="J37" i="65" l="1"/>
  <c r="K37" i="65" s="1"/>
  <c r="L37" i="65" s="1"/>
  <c r="J38" i="65" s="1"/>
  <c r="E20" i="32"/>
  <c r="E22" i="32" s="1"/>
  <c r="E40" i="32"/>
  <c r="E42" i="32" s="1"/>
  <c r="E14" i="32"/>
  <c r="E16" i="32" s="1"/>
  <c r="E34" i="32"/>
  <c r="E36" i="32" s="1"/>
  <c r="E28" i="32"/>
  <c r="E30" i="32" s="1"/>
  <c r="K38" i="65" l="1"/>
  <c r="L38" i="65" s="1"/>
  <c r="J39" i="65" s="1"/>
  <c r="K39" i="65" l="1"/>
  <c r="L39" i="65" s="1"/>
  <c r="J40" i="65" s="1"/>
  <c r="K40" i="65" l="1"/>
  <c r="L40" i="65" s="1"/>
  <c r="J41" i="65" l="1"/>
  <c r="K41" i="65" s="1"/>
  <c r="L41" i="65" s="1"/>
  <c r="J42" i="65" s="1"/>
  <c r="K42" i="65" l="1"/>
  <c r="L42" i="65" s="1"/>
  <c r="J43" i="65" l="1"/>
  <c r="K43" i="65" s="1"/>
  <c r="L43" i="65" s="1"/>
  <c r="J44" i="65" s="1"/>
  <c r="K44" i="65" l="1"/>
  <c r="L44" i="65" s="1"/>
  <c r="J45" i="65" l="1"/>
  <c r="K45" i="65" l="1"/>
  <c r="L45" i="65" s="1"/>
  <c r="J46" i="65" l="1"/>
  <c r="K46" i="65" l="1"/>
  <c r="L46" i="65" s="1"/>
  <c r="J47" i="65" l="1"/>
  <c r="K47" i="65" l="1"/>
  <c r="L47" i="65" s="1"/>
  <c r="F56" i="65" s="1"/>
  <c r="H56" i="65" l="1"/>
  <c r="I56" i="65" s="1"/>
  <c r="J56" i="65" l="1"/>
  <c r="F57" i="65" s="1"/>
  <c r="H57" i="65" s="1"/>
  <c r="I57" i="65" l="1"/>
  <c r="J57" i="65" l="1"/>
  <c r="F58" i="65" s="1"/>
  <c r="H58" i="65" s="1"/>
  <c r="I58" i="65" s="1"/>
  <c r="J58" i="65" s="1"/>
  <c r="F59" i="65" s="1"/>
  <c r="H59" i="65" s="1"/>
  <c r="I59" i="65" s="1"/>
  <c r="J59" i="65" s="1"/>
  <c r="F60" i="65" s="1"/>
  <c r="H60" i="65" s="1"/>
  <c r="I60" i="65" s="1"/>
  <c r="J60" i="65" s="1"/>
  <c r="F61" i="65" s="1"/>
  <c r="H61" i="65" s="1"/>
  <c r="I61" i="65" s="1"/>
  <c r="J61" i="65" s="1"/>
  <c r="F62" i="65" s="1"/>
  <c r="H62" i="65" s="1"/>
  <c r="I62" i="65" s="1"/>
  <c r="J62" i="65" s="1"/>
  <c r="F63" i="65" s="1"/>
  <c r="H63" i="65" s="1"/>
  <c r="I63" i="65" s="1"/>
  <c r="J63" i="65" s="1"/>
  <c r="F64" i="65" s="1"/>
  <c r="H64" i="65" s="1"/>
  <c r="I64" i="65" s="1"/>
  <c r="J64" i="65" s="1"/>
  <c r="F65" i="65" s="1"/>
  <c r="H65" i="65" l="1"/>
  <c r="I65" i="65" s="1"/>
  <c r="J65" i="65" s="1"/>
  <c r="F66" i="65" s="1"/>
  <c r="H66" i="65" s="1"/>
  <c r="I66" i="65" s="1"/>
  <c r="J66" i="65" s="1"/>
  <c r="F67" i="65" s="1"/>
  <c r="H67" i="65" s="1"/>
  <c r="I67" i="65" l="1"/>
  <c r="J67" i="65" s="1"/>
</calcChain>
</file>

<file path=xl/sharedStrings.xml><?xml version="1.0" encoding="utf-8"?>
<sst xmlns="http://schemas.openxmlformats.org/spreadsheetml/2006/main" count="6482" uniqueCount="2969">
  <si>
    <t>-------</t>
  </si>
  <si>
    <t>True-Up</t>
  </si>
  <si>
    <t>CWIP</t>
  </si>
  <si>
    <t>Balances</t>
  </si>
  <si>
    <t>In Service</t>
  </si>
  <si>
    <t>Total:</t>
  </si>
  <si>
    <t>Income Taxes</t>
  </si>
  <si>
    <t>Calculation of Components of Working Capital</t>
  </si>
  <si>
    <t xml:space="preserve">Prepayments is an allocated portion of Total Prepayments based </t>
  </si>
  <si>
    <t>Incentive</t>
  </si>
  <si>
    <t>ROE Adder</t>
  </si>
  <si>
    <t>13-Month Avg.</t>
  </si>
  <si>
    <t>Revenue Credits</t>
  </si>
  <si>
    <t>FERC</t>
  </si>
  <si>
    <t>Rate</t>
  </si>
  <si>
    <t>HV</t>
  </si>
  <si>
    <t>LV</t>
  </si>
  <si>
    <t>FICA</t>
  </si>
  <si>
    <t>Inputs are shaded yellow</t>
  </si>
  <si>
    <t>Forecast Period</t>
  </si>
  <si>
    <t>Monthly</t>
  </si>
  <si>
    <t>Retail</t>
  </si>
  <si>
    <t>Revenues</t>
  </si>
  <si>
    <t>in Revenue</t>
  </si>
  <si>
    <t>Interest</t>
  </si>
  <si>
    <t>Calculation of Components of Cost of Capital Rate</t>
  </si>
  <si>
    <t>Cost of Preferred Stock</t>
  </si>
  <si>
    <t>Debt</t>
  </si>
  <si>
    <t>Preferred Stock</t>
  </si>
  <si>
    <t>Equity</t>
  </si>
  <si>
    <t>NA</t>
  </si>
  <si>
    <t>True Up Adjustment</t>
  </si>
  <si>
    <t>Excess (-) or</t>
  </si>
  <si>
    <t>Shortfall (+)</t>
  </si>
  <si>
    <t>True Up Adjustment:</t>
  </si>
  <si>
    <t>SCE Records</t>
  </si>
  <si>
    <t>FF1 207.104g</t>
  </si>
  <si>
    <t>Apportionment</t>
  </si>
  <si>
    <t>Factor</t>
  </si>
  <si>
    <t>California</t>
  </si>
  <si>
    <t>New Mexico</t>
  </si>
  <si>
    <t>Arizona</t>
  </si>
  <si>
    <t>D.C.</t>
  </si>
  <si>
    <t>State</t>
  </si>
  <si>
    <t>Statutory</t>
  </si>
  <si>
    <t>1) Federal Income Tax rate</t>
  </si>
  <si>
    <t>Federal</t>
  </si>
  <si>
    <t>2) Composite State Income Tax Rate</t>
  </si>
  <si>
    <t>Fed Ins Cont Amt -- Current</t>
  </si>
  <si>
    <t>FICA/OASDI Emp Incntv.</t>
  </si>
  <si>
    <t>FICA/HIT Emp Incntv.</t>
  </si>
  <si>
    <t>Long-Term Debt Cost Percentage</t>
  </si>
  <si>
    <t>Preferred Stock Amount -- Account 204</t>
  </si>
  <si>
    <t>Cost of Preferred Stock -- Account 437</t>
  </si>
  <si>
    <t>Preferred Stock Cost Percentage</t>
  </si>
  <si>
    <t>Common Stock Equity Amount</t>
  </si>
  <si>
    <t>Less Preferred Stock Amount -- Account 204</t>
  </si>
  <si>
    <t>Total Capital</t>
  </si>
  <si>
    <t>Preferred Stock Amount</t>
  </si>
  <si>
    <t>Capital Percentages</t>
  </si>
  <si>
    <t>Common Stock Capital Percentage</t>
  </si>
  <si>
    <t>Weighted Cost of Long Term Debt</t>
  </si>
  <si>
    <t>Weighted Cost of Preferred Stock</t>
  </si>
  <si>
    <t>Weighted Cost of Common Stock</t>
  </si>
  <si>
    <t>Cost of Capital Rate</t>
  </si>
  <si>
    <t>Return on Capital: Rate Base times Cost of Capital Rate</t>
  </si>
  <si>
    <t>Network Upgrade Credits</t>
  </si>
  <si>
    <t>Network Upgrade Interest Expense</t>
  </si>
  <si>
    <t>Transmission Plant Allocation Factor</t>
  </si>
  <si>
    <t>Total General Plant</t>
  </si>
  <si>
    <t>Total Electric Miscellaneous Intangible Plant</t>
  </si>
  <si>
    <t>Electric Miscellaneous Intangible Plant</t>
  </si>
  <si>
    <t>Property Taxes</t>
  </si>
  <si>
    <t>Total Electric Payroll Tax Expense</t>
  </si>
  <si>
    <t>PRIOR YEAR TRANSMISSION REVENUE REQUIREMENT</t>
  </si>
  <si>
    <t>Prior Year</t>
  </si>
  <si>
    <t>Jan</t>
  </si>
  <si>
    <t>Feb</t>
  </si>
  <si>
    <t>Mar</t>
  </si>
  <si>
    <t>Apr</t>
  </si>
  <si>
    <t>Jun</t>
  </si>
  <si>
    <t>Jul</t>
  </si>
  <si>
    <t>Aug</t>
  </si>
  <si>
    <t>Sep</t>
  </si>
  <si>
    <t>Oct</t>
  </si>
  <si>
    <t>Nov</t>
  </si>
  <si>
    <t>Dec</t>
  </si>
  <si>
    <t>HV/LV</t>
  </si>
  <si>
    <t>---</t>
  </si>
  <si>
    <t>Revenue</t>
  </si>
  <si>
    <t>Prior Year Incentive Adder =</t>
  </si>
  <si>
    <t>Other Taxes</t>
  </si>
  <si>
    <t xml:space="preserve"> = LV Allocation Factor</t>
  </si>
  <si>
    <t xml:space="preserve"> = HV Allocation Factor</t>
  </si>
  <si>
    <t>SCE Retail Standby Rate Revenue</t>
  </si>
  <si>
    <t>TRR Values</t>
  </si>
  <si>
    <t>Average BOY/EOY Value:</t>
  </si>
  <si>
    <t>Beginning of year ("BOY") amount</t>
  </si>
  <si>
    <t>c) Income Taxes</t>
  </si>
  <si>
    <t>Return on Capital</t>
  </si>
  <si>
    <t xml:space="preserve">Enter positive </t>
  </si>
  <si>
    <t>Miscellaneous General Expense</t>
  </si>
  <si>
    <t>End of Year ("EOY") amount</t>
  </si>
  <si>
    <t>Working Capital</t>
  </si>
  <si>
    <t>Materials and Supplies</t>
  </si>
  <si>
    <t>Prepayments</t>
  </si>
  <si>
    <t>Transmission Wages and Salaries Allocation Factor</t>
  </si>
  <si>
    <t>Transmission Plant Allocation Factor:</t>
  </si>
  <si>
    <t>Prior Year TRR</t>
  </si>
  <si>
    <t>True-Up Adjustment</t>
  </si>
  <si>
    <t>Subtotal:</t>
  </si>
  <si>
    <t>Calculation of Accumulated Deferred Income Taxes</t>
  </si>
  <si>
    <t>Account</t>
  </si>
  <si>
    <t>Description</t>
  </si>
  <si>
    <t>O&amp;M Expense</t>
  </si>
  <si>
    <t>A&amp;G Salaries</t>
  </si>
  <si>
    <t>Office Supplies and Expenses</t>
  </si>
  <si>
    <t>A&amp;G Expenses Transferred</t>
  </si>
  <si>
    <t>Outside Services Employed</t>
  </si>
  <si>
    <t>Property Insurance</t>
  </si>
  <si>
    <t>Injuries and Damages</t>
  </si>
  <si>
    <t>Employee Pensions and Benefits</t>
  </si>
  <si>
    <t>Franchise Requirements</t>
  </si>
  <si>
    <t>Regulatory Commission Expenses</t>
  </si>
  <si>
    <t>Duplicate Charges</t>
  </si>
  <si>
    <t>General Advertising Expense</t>
  </si>
  <si>
    <t>Rents</t>
  </si>
  <si>
    <t>Maintenance of General Plant</t>
  </si>
  <si>
    <t>Acct.</t>
  </si>
  <si>
    <t>Excluded</t>
  </si>
  <si>
    <t>FF1 323.181b</t>
  </si>
  <si>
    <t>FF1 323.182b</t>
  </si>
  <si>
    <t>FF1 323.183b</t>
  </si>
  <si>
    <t>FF1 323.184b</t>
  </si>
  <si>
    <t>FF1 323.185b</t>
  </si>
  <si>
    <t>FF1 323.186b</t>
  </si>
  <si>
    <t>FF1 323.187b</t>
  </si>
  <si>
    <t>FF1 323.188b</t>
  </si>
  <si>
    <t>FF1 323.189b</t>
  </si>
  <si>
    <t>FF1 323.190b</t>
  </si>
  <si>
    <t>FF1 323.191b</t>
  </si>
  <si>
    <t>FF1 323.192b</t>
  </si>
  <si>
    <t>FF1 323.193b</t>
  </si>
  <si>
    <t>FF1 323.196b</t>
  </si>
  <si>
    <t>Total A&amp;G Expenses:</t>
  </si>
  <si>
    <t>Transmission Wages and Salaries Allocation Factor:</t>
  </si>
  <si>
    <t xml:space="preserve"> = Wholesale Base TRR</t>
  </si>
  <si>
    <t xml:space="preserve"> = Total Wholesale TRBAA</t>
  </si>
  <si>
    <t xml:space="preserve"> = HV Wholesale TRBAA</t>
  </si>
  <si>
    <t xml:space="preserve"> = LV Wholesale TRBAA</t>
  </si>
  <si>
    <t xml:space="preserve"> = Total Standby Transmission Revenues</t>
  </si>
  <si>
    <t>TOTAL</t>
  </si>
  <si>
    <t>Wholesale TRBAA:</t>
  </si>
  <si>
    <t>SCE's wholesale rates are as follows:</t>
  </si>
  <si>
    <t>1) Low Voltage Access Charge</t>
  </si>
  <si>
    <t>2) Low Voltage Wheeling Access Charge</t>
  </si>
  <si>
    <t>3) High Voltage Utility-Specific Rate</t>
  </si>
  <si>
    <t>4) HV Existing Contracts Access Charge</t>
  </si>
  <si>
    <t>5) LV Existing Contracts Access Charge</t>
  </si>
  <si>
    <t>Calculation of Low Voltage Access Charge:</t>
  </si>
  <si>
    <t>per kWh</t>
  </si>
  <si>
    <t>Calculation of Low Voltage Wheeling Access Charge:</t>
  </si>
  <si>
    <t>Calculation of High Voltage Utility Specific Rate:</t>
  </si>
  <si>
    <t>(used by ISO in billing of ISO TAC)</t>
  </si>
  <si>
    <t>SCE HV TRR =</t>
  </si>
  <si>
    <t>Calculation of High Voltage Existing Contracts Access Charge:</t>
  </si>
  <si>
    <t>MW</t>
  </si>
  <si>
    <t>Calculation of Low Voltage Existing Contracts Access Charge:</t>
  </si>
  <si>
    <t>Wholesale Base TRR:</t>
  </si>
  <si>
    <t>Determination of Incentive Adders Components of the TRR</t>
  </si>
  <si>
    <t>Negative amount</t>
  </si>
  <si>
    <t>Rate Base Item</t>
  </si>
  <si>
    <t>Method</t>
  </si>
  <si>
    <t>Calculation</t>
  </si>
  <si>
    <t>BOY/EOY Avg.</t>
  </si>
  <si>
    <t>EOY Value:</t>
  </si>
  <si>
    <t>Transmission Plant Held for Future Use</t>
  </si>
  <si>
    <t>2) Calculation of Prepayments</t>
  </si>
  <si>
    <t>Adjustment</t>
  </si>
  <si>
    <t>1) Calculation of Materials and Supplies</t>
  </si>
  <si>
    <t>FF1 111.57d</t>
  </si>
  <si>
    <t>FF1 111.57c</t>
  </si>
  <si>
    <t>Prepayments:</t>
  </si>
  <si>
    <t>Accumulated Depreciation Reserve</t>
  </si>
  <si>
    <t>Accumulated Deferred Income Taxes</t>
  </si>
  <si>
    <t>General Plant</t>
  </si>
  <si>
    <t>Accumulated Depreciation Reserve Balances</t>
  </si>
  <si>
    <t>Southern California Edison Company</t>
  </si>
  <si>
    <t>Formula Transmission Rate</t>
  </si>
  <si>
    <t>Notes</t>
  </si>
  <si>
    <t xml:space="preserve">FERC Form 1 Reference </t>
  </si>
  <si>
    <t>or Instruction</t>
  </si>
  <si>
    <t>Value</t>
  </si>
  <si>
    <t>Cash Working Capital</t>
  </si>
  <si>
    <t>Rate Base</t>
  </si>
  <si>
    <t>TRR Component</t>
  </si>
  <si>
    <t>Amount</t>
  </si>
  <si>
    <t>RATE BASE</t>
  </si>
  <si>
    <t>RETURN AND CAPITALIZATION CALCULATIONS</t>
  </si>
  <si>
    <t>INCOME TAXES</t>
  </si>
  <si>
    <t>Source</t>
  </si>
  <si>
    <t>December</t>
  </si>
  <si>
    <t>January</t>
  </si>
  <si>
    <t>February</t>
  </si>
  <si>
    <t>April</t>
  </si>
  <si>
    <t>May</t>
  </si>
  <si>
    <t xml:space="preserve">June </t>
  </si>
  <si>
    <t>July</t>
  </si>
  <si>
    <t>August</t>
  </si>
  <si>
    <t>September</t>
  </si>
  <si>
    <t xml:space="preserve">October </t>
  </si>
  <si>
    <t>November</t>
  </si>
  <si>
    <t>October</t>
  </si>
  <si>
    <t>Month</t>
  </si>
  <si>
    <t>Year</t>
  </si>
  <si>
    <t>Data</t>
  </si>
  <si>
    <t>March</t>
  </si>
  <si>
    <t>Total</t>
  </si>
  <si>
    <t>Totals:</t>
  </si>
  <si>
    <t>Forecast</t>
  </si>
  <si>
    <t>Period</t>
  </si>
  <si>
    <t>Transmission Wages and Salary Allocation Factor</t>
  </si>
  <si>
    <t>ADIT</t>
  </si>
  <si>
    <t>Calculation of Allocation Factors</t>
  </si>
  <si>
    <t xml:space="preserve">1) The Prior Year TRR component is the TRR associated with the Prior Year (most recent calendar year).  </t>
  </si>
  <si>
    <t>Cumulative</t>
  </si>
  <si>
    <t>Reference</t>
  </si>
  <si>
    <t>Bonds -- Account 221</t>
  </si>
  <si>
    <t>Less Reacquired Bonds -- Account 222</t>
  </si>
  <si>
    <t>Other Long Term Debt -- Account 224</t>
  </si>
  <si>
    <t>Long Term Debt Amount</t>
  </si>
  <si>
    <t>Amortization of Debt Discount and Expense -- Account 428</t>
  </si>
  <si>
    <t>Interest on Long-Term Debt -- Account 427</t>
  </si>
  <si>
    <t>Amortization of Loss on Reacquired Debt -- Account 428.1</t>
  </si>
  <si>
    <t>Enter negative</t>
  </si>
  <si>
    <t>Less Amort. of Gain on Reacquired Debt -- Account 429.1</t>
  </si>
  <si>
    <t>Total Proprietary Capital</t>
  </si>
  <si>
    <t>See Note 2</t>
  </si>
  <si>
    <t>See Note 1</t>
  </si>
  <si>
    <t>SCE Return on Equity</t>
  </si>
  <si>
    <t>Federal Income Tax Rate</t>
  </si>
  <si>
    <t>Used for Tax calculation</t>
  </si>
  <si>
    <t>Where:</t>
  </si>
  <si>
    <t>RB = Rate Base</t>
  </si>
  <si>
    <t>CTR = Composite Tax Rate</t>
  </si>
  <si>
    <t>CO = Credits and Other</t>
  </si>
  <si>
    <t>Annual Cost of Capital Components</t>
  </si>
  <si>
    <t>CWIP:</t>
  </si>
  <si>
    <t>Yes</t>
  </si>
  <si>
    <t>ROE adder:</t>
  </si>
  <si>
    <t>No</t>
  </si>
  <si>
    <t>Tehachapi</t>
  </si>
  <si>
    <t>Project</t>
  </si>
  <si>
    <t>1) Rancho Vista</t>
  </si>
  <si>
    <t>2) Tehachapi</t>
  </si>
  <si>
    <t>End-of-Year</t>
  </si>
  <si>
    <t>13-Month</t>
  </si>
  <si>
    <t>Average</t>
  </si>
  <si>
    <t>Notes:</t>
  </si>
  <si>
    <t>Franchise Fee Expense:</t>
  </si>
  <si>
    <t>From</t>
  </si>
  <si>
    <t>To</t>
  </si>
  <si>
    <t>FF Factor</t>
  </si>
  <si>
    <t>U Factor</t>
  </si>
  <si>
    <t>Note:</t>
  </si>
  <si>
    <t>Total Wages and Salaries</t>
  </si>
  <si>
    <t>Less Total A&amp;G Wages and Salaries</t>
  </si>
  <si>
    <t>Transmission W&amp;S Allocation Factor:</t>
  </si>
  <si>
    <t>CWIP Plant</t>
  </si>
  <si>
    <t>b) EOY calculation</t>
  </si>
  <si>
    <t>Total Prepayments</t>
  </si>
  <si>
    <t>Working Capital amounts</t>
  </si>
  <si>
    <t>Plant Balances For Incentive Projects Receiving either ROE Incentives ("Transmission Incentive Plant")</t>
  </si>
  <si>
    <t>or CWIP ("CWIP Plant")</t>
  </si>
  <si>
    <t>Input data is shaded yellow</t>
  </si>
  <si>
    <t>A) Summary of Incentive Project plant balances receiving ROE incentives</t>
  </si>
  <si>
    <t>("Transmission Incentive Plant") and/or CWIP ("CWIP Plant") and calculation</t>
  </si>
  <si>
    <t>Portion</t>
  </si>
  <si>
    <t>Depreciation Expense</t>
  </si>
  <si>
    <t>OTHER TAXES</t>
  </si>
  <si>
    <t>Payroll Taxes Expense</t>
  </si>
  <si>
    <t>Cost of Long Term Debt</t>
  </si>
  <si>
    <t>Long Term Debt Cost Percentage</t>
  </si>
  <si>
    <t>Long Term Debt Capital Percentage</t>
  </si>
  <si>
    <t>Preferred Stock Capital Percentage</t>
  </si>
  <si>
    <t>Composite Tax Rate</t>
  </si>
  <si>
    <t>State Income Tax Rate</t>
  </si>
  <si>
    <t>Calculation of Cost of Capital Rate</t>
  </si>
  <si>
    <t>Calculation of Credits and Other:</t>
  </si>
  <si>
    <t>Credits and Other</t>
  </si>
  <si>
    <t>Income Taxes:</t>
  </si>
  <si>
    <t>Component of Prior Year TRR:</t>
  </si>
  <si>
    <t>A&amp;G Expense</t>
  </si>
  <si>
    <t>Prior Year Incentive Adder</t>
  </si>
  <si>
    <t>TOTAL BASE TRANSMISSION REVENUE REQUIREMENT</t>
  </si>
  <si>
    <t>For Retail Purposes</t>
  </si>
  <si>
    <t>Calculation of Long Term Debt Amount</t>
  </si>
  <si>
    <t>Calculation of Cost of Long-Term Debt</t>
  </si>
  <si>
    <t>Calculation of Common Stock Equity Amount</t>
  </si>
  <si>
    <t>Less Amortization of Premium on Debt -- Account 429</t>
  </si>
  <si>
    <t>Forecast Plant Additions:</t>
  </si>
  <si>
    <t>AFCR:</t>
  </si>
  <si>
    <t>1) Calculation of Incremental Return on Equity Factor</t>
  </si>
  <si>
    <t>2) Determination of multiplicative factors for use in calculating Incentive Adders:</t>
  </si>
  <si>
    <t>3) Calculation of Prior Year Incentive Adder (EOY)</t>
  </si>
  <si>
    <t>Multiplicative</t>
  </si>
  <si>
    <t>Adder</t>
  </si>
  <si>
    <t>Working Capital Amounts</t>
  </si>
  <si>
    <t>Accumulated Depreciation Reserve Amounts</t>
  </si>
  <si>
    <t>True Up</t>
  </si>
  <si>
    <t>Calculation of Administrative and General Expense</t>
  </si>
  <si>
    <t>Income Tax Rate =</t>
  </si>
  <si>
    <t>Composite State</t>
  </si>
  <si>
    <t>See Note 3</t>
  </si>
  <si>
    <t>MWh</t>
  </si>
  <si>
    <t>FF1 354.28b</t>
  </si>
  <si>
    <t>FF1 354.27b</t>
  </si>
  <si>
    <t>Uncollectibles Expense</t>
  </si>
  <si>
    <t>Franchise Fees Expense</t>
  </si>
  <si>
    <t>Difference</t>
  </si>
  <si>
    <t>(1/(1-CTR))</t>
  </si>
  <si>
    <t>Composite Tax Rate ("CTR")</t>
  </si>
  <si>
    <t>for apportionment factors and state tax rates.</t>
  </si>
  <si>
    <t xml:space="preserve">Determination of amount of Abandoned Plant and Abandoned Plant Amortization Expense </t>
  </si>
  <si>
    <t>Abandoned Plant Amortization Expense</t>
  </si>
  <si>
    <t>Less Account  924:</t>
  </si>
  <si>
    <t>Property Insurance portion of A&amp;G:</t>
  </si>
  <si>
    <t>Administrative and General Expenses:</t>
  </si>
  <si>
    <t>The Incremental Return on Equity Factor is the incremental Prior Year TRR expressed per 100 basis points of</t>
  </si>
  <si>
    <t>Incremental</t>
  </si>
  <si>
    <t>of balances needed to determine the following:</t>
  </si>
  <si>
    <t>TIP Net Plant</t>
  </si>
  <si>
    <t>EOY</t>
  </si>
  <si>
    <t xml:space="preserve">Multiplicative factors are used to calculate the Incentive Adders on an Transmission Incentive Project specific basis.  </t>
  </si>
  <si>
    <t>Cells shaded yellow are input cells</t>
  </si>
  <si>
    <t>Wages and Salaries AF:</t>
  </si>
  <si>
    <t>General and Intangible Plant is an allocated portion of Total G&amp;I Plant based on the Trans. W&amp;S Allocation Factor</t>
  </si>
  <si>
    <t>General + Intangible Plant:</t>
  </si>
  <si>
    <t>Distribution</t>
  </si>
  <si>
    <t>Transmission</t>
  </si>
  <si>
    <t>G + I Depreciation Reserve</t>
  </si>
  <si>
    <t>General + Intangible Plant Depreciation Reserve</t>
  </si>
  <si>
    <t>Transmission Wages and Salaries AF:</t>
  </si>
  <si>
    <t>Upon Commission approval of recovery of abandoned plant costs for a specific project or projects, SCE will</t>
  </si>
  <si>
    <t>Abandoned Plant Amortization Expense:</t>
  </si>
  <si>
    <t>Abandoned Plant</t>
  </si>
  <si>
    <t>Abandoned Plant (EOY):</t>
  </si>
  <si>
    <t>Abandoned Plant (BOY/EOY Average):</t>
  </si>
  <si>
    <t>Initially Abandoned Plant Amortization Expense and Abandoned Plant are both zero.</t>
  </si>
  <si>
    <t>complete this worksheet in accordance with that Order.</t>
  </si>
  <si>
    <t>General Plant + Electric Miscellaneous Intangible Plant</t>
  </si>
  <si>
    <t>Incremental Forecast Period TRR</t>
  </si>
  <si>
    <t xml:space="preserve">Line </t>
  </si>
  <si>
    <t>1) Transmission Plant - ISO</t>
  </si>
  <si>
    <t>2) Distribution Plant - ISO</t>
  </si>
  <si>
    <t>Average value:</t>
  </si>
  <si>
    <t>Expense</t>
  </si>
  <si>
    <t>Forecast Gross Load:</t>
  </si>
  <si>
    <t>Sum of above</t>
  </si>
  <si>
    <t>per kW</t>
  </si>
  <si>
    <t>1) Transmission Depreciation Reserve - ISO</t>
  </si>
  <si>
    <t xml:space="preserve"> </t>
  </si>
  <si>
    <t>Line</t>
  </si>
  <si>
    <t>Income Tax Adjustment to the TRR:</t>
  </si>
  <si>
    <t>Wholesale South Georgia</t>
  </si>
  <si>
    <t>ISO Transmission Wages and Salaries</t>
  </si>
  <si>
    <t>Transmission Plant - ISO</t>
  </si>
  <si>
    <t>Distribution Plant - ISO</t>
  </si>
  <si>
    <t>SCE Retail Sales at ISO Grid level:</t>
  </si>
  <si>
    <t>Pump Load forecast:</t>
  </si>
  <si>
    <t>Line 1 + Line 2</t>
  </si>
  <si>
    <t>1) Tehachapi</t>
  </si>
  <si>
    <t>2) Devers-Colorado River</t>
  </si>
  <si>
    <t>3) Eldorado-Ivanpah</t>
  </si>
  <si>
    <t>1) Forecast Plant Additions * AFCR</t>
  </si>
  <si>
    <t>2) Forecast Period Incremental CWIP * AFCR for CWIP</t>
  </si>
  <si>
    <t>Devers to</t>
  </si>
  <si>
    <t>Colorado River</t>
  </si>
  <si>
    <t>Ivanpah</t>
  </si>
  <si>
    <t>Eldorado</t>
  </si>
  <si>
    <t>Col 2</t>
  </si>
  <si>
    <t>Col 3</t>
  </si>
  <si>
    <t>Col 4</t>
  </si>
  <si>
    <t>Col 5</t>
  </si>
  <si>
    <t>Col 6</t>
  </si>
  <si>
    <t>Col 7</t>
  </si>
  <si>
    <t>Yellow shaded cells are Input Data</t>
  </si>
  <si>
    <t>2) Calculation of IFP TRR</t>
  </si>
  <si>
    <t>AFCR * Forecast Plant Additions:</t>
  </si>
  <si>
    <t>AFCRCWIP:</t>
  </si>
  <si>
    <t>AFCRCWIP * FP Incremental CWIP:</t>
  </si>
  <si>
    <t>Forecast Period Incremental CWIP:</t>
  </si>
  <si>
    <t>Incremental Forecast Period TRR:</t>
  </si>
  <si>
    <t xml:space="preserve">Transmission Incentive Project plant balances and CWIP Plant may affect the following: </t>
  </si>
  <si>
    <t>Other</t>
  </si>
  <si>
    <t>Gains and Losses on Transmission Plant Held for Future Use -- Land</t>
  </si>
  <si>
    <t>Col 1</t>
  </si>
  <si>
    <t>Note 1</t>
  </si>
  <si>
    <t>Note 2</t>
  </si>
  <si>
    <t>Depreciation Expense for Distribution Plant - ISO</t>
  </si>
  <si>
    <t>Other Regulatory Assets/Liabilities</t>
  </si>
  <si>
    <t>where:</t>
  </si>
  <si>
    <t>CSCP = Common Stock Capital Percentage</t>
  </si>
  <si>
    <t>Above formula</t>
  </si>
  <si>
    <t>FF1 117.62c</t>
  </si>
  <si>
    <t>FF1 117.63c</t>
  </si>
  <si>
    <t>FF1 117.64c</t>
  </si>
  <si>
    <t>FF1 117.65c</t>
  </si>
  <si>
    <t>FF1 117.66c</t>
  </si>
  <si>
    <t>FF1 118.29c</t>
  </si>
  <si>
    <t>Calculation of Composite State Income Tax Rate for the Prior Year:</t>
  </si>
  <si>
    <t xml:space="preserve">The Final True Up Adjustment begins on the month after the last True Up Adjustment and extends through the termination date of </t>
  </si>
  <si>
    <t>this formula transmission rate.</t>
  </si>
  <si>
    <t>The Final True Up Adjustment shall be calculated as above, with interest to the termination date of the Formula Transmission Rate.</t>
  </si>
  <si>
    <t>Calculation of SCE Retail Transmission Rates</t>
  </si>
  <si>
    <t>Abandoned</t>
  </si>
  <si>
    <t>Plant</t>
  </si>
  <si>
    <t>Amort.</t>
  </si>
  <si>
    <t xml:space="preserve">Abandoned Plant Amortization Expense for each project represents the annual amortization of abandoned costs </t>
  </si>
  <si>
    <t>that the Order approves as an annual expense.</t>
  </si>
  <si>
    <t>Abandoned Plant for each project represents the amount of costs that the Order approves for inclusion in Rate Base.</t>
  </si>
  <si>
    <t xml:space="preserve">Amount for </t>
  </si>
  <si>
    <t>Instructions:</t>
  </si>
  <si>
    <t>1) Upon Commission approval of recovery of abandoned plant costs for a project:</t>
  </si>
  <si>
    <t>Abandoned Plant (BOY):</t>
  </si>
  <si>
    <t>BOY</t>
  </si>
  <si>
    <t>c) Sum project-specific amounts for each project and enter in lines 1, 2, and 3 for the Prior Year at issue.</t>
  </si>
  <si>
    <t>2) Add additional projects if necessary in same format.</t>
  </si>
  <si>
    <t>Abandoned Plant Amortization Expense amounts in Accordance with the Order.</t>
  </si>
  <si>
    <t>If table can not be filled out completely, fill out at least through the Prior Year at issue.</t>
  </si>
  <si>
    <t>Sum of projects below for PY.</t>
  </si>
  <si>
    <t>intended to be placed under the Operational Control of the ISO, plus an allocated amount of any General</t>
  </si>
  <si>
    <t>FF1 page 214</t>
  </si>
  <si>
    <t>End of Year Balance</t>
  </si>
  <si>
    <t>Beginning of Year Balance</t>
  </si>
  <si>
    <t>General Plant Held for Future Use</t>
  </si>
  <si>
    <t>Electric Plant Held for Future Use, with the allocation factor being the Transmission Wages and Salaries AF.</t>
  </si>
  <si>
    <t>1) For any Electric Plant Held for Future Use intended to be placed under the Operational Control of the ISO,</t>
  </si>
  <si>
    <t>Operational Control of the ISO.</t>
  </si>
  <si>
    <t>Plant intended to be placed under the Operational Control of the ISO:</t>
  </si>
  <si>
    <t>All other Electric Plant Held for Future Use not intended to be placed under the Operational Control of the ISO:</t>
  </si>
  <si>
    <t>of Plant</t>
  </si>
  <si>
    <t>Type</t>
  </si>
  <si>
    <t>Portion for Transmission PHFU:</t>
  </si>
  <si>
    <t>Transmission PHFU:</t>
  </si>
  <si>
    <t>Total Electric PHFU</t>
  </si>
  <si>
    <t>Average of BOY and EOY</t>
  </si>
  <si>
    <t>1) Input most recent available Apportionment Factors.</t>
  </si>
  <si>
    <t>Prior</t>
  </si>
  <si>
    <t>Tax Rate ("STR")</t>
  </si>
  <si>
    <t>Income Tax</t>
  </si>
  <si>
    <t>Rate ("CSITR")</t>
  </si>
  <si>
    <t>for the applicable Prior Year</t>
  </si>
  <si>
    <t>Calculation of Income Tax Rates</t>
  </si>
  <si>
    <t>Rate ("FITR")</t>
  </si>
  <si>
    <t>Factors ("AFs")</t>
  </si>
  <si>
    <t>The IFP TRR is equal to the sum of:</t>
  </si>
  <si>
    <t>approval received subsequent to an SCE Section 205 filing requesting such treatment.</t>
  </si>
  <si>
    <t xml:space="preserve">SCE shall include a non-zero amount of Other Regulatory Assets/Liabilities only with Commission </t>
  </si>
  <si>
    <t>Other Regulatory Assets/Liabilities (EOY):</t>
  </si>
  <si>
    <t>Description of Issue</t>
  </si>
  <si>
    <t>Resulting in Other Regulatory</t>
  </si>
  <si>
    <t>Asset/Liability</t>
  </si>
  <si>
    <t>Issue #1</t>
  </si>
  <si>
    <t>Issue #2</t>
  </si>
  <si>
    <t>Issue #3</t>
  </si>
  <si>
    <t>Other Reg</t>
  </si>
  <si>
    <t>Regulatory</t>
  </si>
  <si>
    <t>costs through this formula transmission rate:</t>
  </si>
  <si>
    <t>2) Add additional lines as necessary for additional issues.</t>
  </si>
  <si>
    <t>Total Substation</t>
  </si>
  <si>
    <t>Land</t>
  </si>
  <si>
    <t>Total Substation and Land</t>
  </si>
  <si>
    <t>Lines</t>
  </si>
  <si>
    <t>Total Lines</t>
  </si>
  <si>
    <t>Substation</t>
  </si>
  <si>
    <t>Land:</t>
  </si>
  <si>
    <t>Structures:</t>
  </si>
  <si>
    <t>Total Structures</t>
  </si>
  <si>
    <t>Transmission Plant Study</t>
  </si>
  <si>
    <t>ISO</t>
  </si>
  <si>
    <t>ISO %</t>
  </si>
  <si>
    <t>of Total</t>
  </si>
  <si>
    <t>B) Plant Classified as Distribution in  FERC Form 1:</t>
  </si>
  <si>
    <t>Total Transmission</t>
  </si>
  <si>
    <t>Data Source</t>
  </si>
  <si>
    <t>FF1 207.49g</t>
  </si>
  <si>
    <t>FF1 207.50g</t>
  </si>
  <si>
    <t>FF1 207.48g</t>
  </si>
  <si>
    <t>FF1 207.51g</t>
  </si>
  <si>
    <t>FF1 207.52g</t>
  </si>
  <si>
    <t>FF1 207.53g</t>
  </si>
  <si>
    <t>FF1 207.54g</t>
  </si>
  <si>
    <t>FF1 207.55g</t>
  </si>
  <si>
    <t>FF1 207.56g</t>
  </si>
  <si>
    <t>FF1 207.60g</t>
  </si>
  <si>
    <t>FF1 207.61g</t>
  </si>
  <si>
    <t>FF1 207.62g</t>
  </si>
  <si>
    <t>1) Total transmission does not include account 359.1 "Asset Retirement Costs for Transmission Plant"</t>
  </si>
  <si>
    <t>Input cells are shaded yellow</t>
  </si>
  <si>
    <t>less FF1 207.57g (Asset Retirement Costs for Transmission Plant).</t>
  </si>
  <si>
    <t>1) Perform annual Transmission Study pursuant to instructions in tariff.</t>
  </si>
  <si>
    <t>2) Only accounts 360-362 included as there is no ISO plant in any other Distribution accounts.</t>
  </si>
  <si>
    <t>Total on this line is also equal to FF1 207.58g (Total Transmission Plant)</t>
  </si>
  <si>
    <t>Structures</t>
  </si>
  <si>
    <t>Substations:</t>
  </si>
  <si>
    <t>Total Lines and Substations</t>
  </si>
  <si>
    <t>Derivation of High Voltage and Low Voltage Gross Plant Percentages</t>
  </si>
  <si>
    <t>LV Transmission Lines</t>
  </si>
  <si>
    <t>Total ISO</t>
  </si>
  <si>
    <t>Gross Plant</t>
  </si>
  <si>
    <t>HV Land</t>
  </si>
  <si>
    <t>LV Land</t>
  </si>
  <si>
    <t>Transformers</t>
  </si>
  <si>
    <t>Classification of Facility:</t>
  </si>
  <si>
    <t>LV Substations (Less Than 220kV)</t>
  </si>
  <si>
    <t>HV Substations (&gt;= 200 kV)</t>
  </si>
  <si>
    <t>Lines:</t>
  </si>
  <si>
    <t>Determination of HV and LV Gross Plant Percentages for ISO Transmission Plant in accordance with ISO Tariff Appendix F, Schedule 3, Section 12.</t>
  </si>
  <si>
    <t>Voltage</t>
  </si>
  <si>
    <t>High</t>
  </si>
  <si>
    <t>Low</t>
  </si>
  <si>
    <t>Gross Plant Percentages (Prior Year):</t>
  </si>
  <si>
    <t>Total Determined HV/LV:</t>
  </si>
  <si>
    <t>Straddling Transformers</t>
  </si>
  <si>
    <t>From above Line 12</t>
  </si>
  <si>
    <t>Sum of lines 18 and 19</t>
  </si>
  <si>
    <t>Percent of Total</t>
  </si>
  <si>
    <t>Total HV and LV Gross Plant for Prior Year</t>
  </si>
  <si>
    <t>Total HV and LV Gross Plant for REP</t>
  </si>
  <si>
    <t>A) Total ISO Plant from Prior Year</t>
  </si>
  <si>
    <t>B) Gross Plant Percentage for the Rate Effective Period:</t>
  </si>
  <si>
    <t>FERC Form 1</t>
  </si>
  <si>
    <t>Total Amount Excluded</t>
  </si>
  <si>
    <t>Shareholder</t>
  </si>
  <si>
    <t>Franchise</t>
  </si>
  <si>
    <t>Requirements</t>
  </si>
  <si>
    <t>PBOPs</t>
  </si>
  <si>
    <t>Authorized PBOPs expense amount:</t>
  </si>
  <si>
    <t>Prior Year FF1 PBOPs expense:</t>
  </si>
  <si>
    <t>Note 1: Itemization of exclusions</t>
  </si>
  <si>
    <t>PBOPs Expense Exclusion:</t>
  </si>
  <si>
    <t>Note 3: PBOPs Exclusion Calculation</t>
  </si>
  <si>
    <t>through the Franchise Fees Expense item.</t>
  </si>
  <si>
    <t>See instruction #4</t>
  </si>
  <si>
    <t>1) Summary of True Up Adjustment calculation:</t>
  </si>
  <si>
    <t>4) True Up Adjustment</t>
  </si>
  <si>
    <t>a) Enter CWIP mechanism final balance in first True Up Adjustment calculation in accordance with tariff protocols.</t>
  </si>
  <si>
    <t>IREF =</t>
  </si>
  <si>
    <t>Multiplicative factor for each project is the ratio of its ROE adder to 1%.</t>
  </si>
  <si>
    <t>IREF, the Multiplicative Factor, and the million $ of Prior Year Incentive Rate Base.</t>
  </si>
  <si>
    <t>2) Sum project-specific Incentive Adders to yield the total Prior Year Incentive Adder.</t>
  </si>
  <si>
    <t>Transmission Plant Held for Future Use shall be amounts of Electric Plant Held for Future Use (account 105)</t>
  </si>
  <si>
    <t>Gain or Loss on Transmission Plant Held for Future Use --- Land</t>
  </si>
  <si>
    <t>Calculation of Gain or Loss on Transmission Plant Held for Future Use -- Land</t>
  </si>
  <si>
    <t>2) Input STR for the Prior Year</t>
  </si>
  <si>
    <t>3) FF and U Factors</t>
  </si>
  <si>
    <t>1) Approved Franchise Fee Factor(s)</t>
  </si>
  <si>
    <t>FF1 263.2 (see note to left)</t>
  </si>
  <si>
    <t>FF1 263 (see note to left)</t>
  </si>
  <si>
    <t>Sum of Column 2 below</t>
  </si>
  <si>
    <t>a) Fill in Description for issue in above table.</t>
  </si>
  <si>
    <t>b) Enter costs in columns 1-3 in above table for the applicable Prior Year.</t>
  </si>
  <si>
    <t>Actual</t>
  </si>
  <si>
    <t>Including previous year True Up Adjustment.</t>
  </si>
  <si>
    <t>First Project:</t>
  </si>
  <si>
    <t>Fill in Name</t>
  </si>
  <si>
    <t>…</t>
  </si>
  <si>
    <t>2nd Project:</t>
  </si>
  <si>
    <t>(BOY value is EOY value from previous year)</t>
  </si>
  <si>
    <t>3) Add additional years past 2035 if necessary.</t>
  </si>
  <si>
    <t>2a</t>
  </si>
  <si>
    <t>2b</t>
  </si>
  <si>
    <t>2c</t>
  </si>
  <si>
    <t>2d</t>
  </si>
  <si>
    <t>2e</t>
  </si>
  <si>
    <t>2f</t>
  </si>
  <si>
    <t>2g</t>
  </si>
  <si>
    <t>2h</t>
  </si>
  <si>
    <t>BOY amount will be EOY value from previous year FERC Form 1, EOY amount will be in current year FF1.</t>
  </si>
  <si>
    <t>Sum of above lines</t>
  </si>
  <si>
    <t>Generation</t>
  </si>
  <si>
    <t>Public</t>
  </si>
  <si>
    <t>Purpose</t>
  </si>
  <si>
    <t>Retail Base</t>
  </si>
  <si>
    <t>"Total Sales to Ultimate Consumers" from FERC Form 1 Page 300, Line 10, Column b:</t>
  </si>
  <si>
    <t>See Note 6</t>
  </si>
  <si>
    <t>See Note 7</t>
  </si>
  <si>
    <t>= C2 - C3 + C 4</t>
  </si>
  <si>
    <t>Any other Base Transmission Revenue or refunds  is included in "Other".</t>
  </si>
  <si>
    <t>Sum of left</t>
  </si>
  <si>
    <t>1) If additional projects receive ROE adders, add to end of lists, and include in calculation</t>
  </si>
  <si>
    <t>of each Incentive Adder.</t>
  </si>
  <si>
    <t xml:space="preserve">Prior </t>
  </si>
  <si>
    <t>Rancho</t>
  </si>
  <si>
    <t>Vista</t>
  </si>
  <si>
    <t xml:space="preserve">Total TIP </t>
  </si>
  <si>
    <t xml:space="preserve">Net Plant </t>
  </si>
  <si>
    <t xml:space="preserve">Prior Year CWIP and Forecast Period Incremental CWIP by Project </t>
  </si>
  <si>
    <t>Col 8</t>
  </si>
  <si>
    <t>Total CWIP</t>
  </si>
  <si>
    <t>13 Month Averages:</t>
  </si>
  <si>
    <t>to include CWIP in Rate Base.</t>
  </si>
  <si>
    <t>Lugo-Pisgah/</t>
  </si>
  <si>
    <t>Red Bluff</t>
  </si>
  <si>
    <t>3) Devers-Colorado R</t>
  </si>
  <si>
    <t>columns</t>
  </si>
  <si>
    <t>or Other</t>
  </si>
  <si>
    <t>Exclusions</t>
  </si>
  <si>
    <t>2) The Incremental Forecast Period TRR is the component of Base TRR associated with forecast additions to in-service</t>
  </si>
  <si>
    <t>These components represent the following costs that SCE incurs:</t>
  </si>
  <si>
    <t>the municipality.</t>
  </si>
  <si>
    <t xml:space="preserve">1) Franchise Fees represent payments that SCE makes to municipal entities for the right to locate facilities within </t>
  </si>
  <si>
    <t>FF1 227.12c</t>
  </si>
  <si>
    <t>FF1 227.12b</t>
  </si>
  <si>
    <t xml:space="preserve">Materials and Supplies is the amount of  total Account 154 Materials and Supplies </t>
  </si>
  <si>
    <t>times the Transmission Wages and Salaries AF</t>
  </si>
  <si>
    <t>A</t>
  </si>
  <si>
    <t>B</t>
  </si>
  <si>
    <t>C</t>
  </si>
  <si>
    <t>D</t>
  </si>
  <si>
    <t>E</t>
  </si>
  <si>
    <t>F</t>
  </si>
  <si>
    <t>G</t>
  </si>
  <si>
    <t>H</t>
  </si>
  <si>
    <t>I</t>
  </si>
  <si>
    <t>J</t>
  </si>
  <si>
    <t>K</t>
  </si>
  <si>
    <t>L</t>
  </si>
  <si>
    <t>M</t>
  </si>
  <si>
    <t>N</t>
  </si>
  <si>
    <t>Traditional OOR</t>
  </si>
  <si>
    <t>GRSM</t>
  </si>
  <si>
    <t>Other Ratemaking</t>
  </si>
  <si>
    <t>FERC ACCT</t>
  </si>
  <si>
    <t>ACCT</t>
  </si>
  <si>
    <t>ACCT DESCRIPTION</t>
  </si>
  <si>
    <t>DOLLARS</t>
  </si>
  <si>
    <t>Category</t>
  </si>
  <si>
    <t>Non-ISO</t>
  </si>
  <si>
    <t>A/P</t>
  </si>
  <si>
    <t>Threshold [10]</t>
  </si>
  <si>
    <t>1a</t>
  </si>
  <si>
    <t>4191110</t>
  </si>
  <si>
    <t>1b</t>
  </si>
  <si>
    <t>4191115</t>
  </si>
  <si>
    <t>Residential Late Payment</t>
  </si>
  <si>
    <t>1c</t>
  </si>
  <si>
    <t>4191120</t>
  </si>
  <si>
    <t>Non-Residential Late Payment</t>
  </si>
  <si>
    <t>450 Total</t>
  </si>
  <si>
    <t>4a</t>
  </si>
  <si>
    <t>4182110</t>
  </si>
  <si>
    <t>Recover Unauthorized Use/Non-Energy</t>
  </si>
  <si>
    <t>4b</t>
  </si>
  <si>
    <t>4182115</t>
  </si>
  <si>
    <t>Miscellaneous Service Revenue - Ownership Cost</t>
  </si>
  <si>
    <t>4c</t>
  </si>
  <si>
    <t>4192110</t>
  </si>
  <si>
    <t>Miscellaneous Service Revenues</t>
  </si>
  <si>
    <t>4d</t>
  </si>
  <si>
    <t>4192115</t>
  </si>
  <si>
    <t>Returned Check Charges</t>
  </si>
  <si>
    <t>4e</t>
  </si>
  <si>
    <t>4192125</t>
  </si>
  <si>
    <t>Service Reconnection Charges</t>
  </si>
  <si>
    <t>4f</t>
  </si>
  <si>
    <t>4192130</t>
  </si>
  <si>
    <t>Service Establishment Charge</t>
  </si>
  <si>
    <t>4g</t>
  </si>
  <si>
    <t>4192140</t>
  </si>
  <si>
    <t>Field Collection Charges</t>
  </si>
  <si>
    <t>4h</t>
  </si>
  <si>
    <t>4192510</t>
  </si>
  <si>
    <t>Quickcheck Revenue</t>
  </si>
  <si>
    <t>P</t>
  </si>
  <si>
    <t>4i</t>
  </si>
  <si>
    <t>4192910</t>
  </si>
  <si>
    <t>PUC Reimbursement Fee-Elect</t>
  </si>
  <si>
    <t>451 Total</t>
  </si>
  <si>
    <t>7a</t>
  </si>
  <si>
    <t>7b</t>
  </si>
  <si>
    <t>7c</t>
  </si>
  <si>
    <t>4183110</t>
  </si>
  <si>
    <t>Sales of Water &amp; Water Power - San Joaquin</t>
  </si>
  <si>
    <t>4183115</t>
  </si>
  <si>
    <t>Sales of Water &amp; Water Power - Headwater</t>
  </si>
  <si>
    <t>453 Total</t>
  </si>
  <si>
    <t>10a</t>
  </si>
  <si>
    <t>10b</t>
  </si>
  <si>
    <t>10c</t>
  </si>
  <si>
    <t>10d</t>
  </si>
  <si>
    <t>4184110</t>
  </si>
  <si>
    <t>Joint Pole - Tariffed Conduit Rental</t>
  </si>
  <si>
    <t>10e</t>
  </si>
  <si>
    <t>4184112</t>
  </si>
  <si>
    <t>Joint Pole - Tariffed Pole Rental - Cable Cos.</t>
  </si>
  <si>
    <t>10f</t>
  </si>
  <si>
    <t>4184114</t>
  </si>
  <si>
    <t>Joint Pole - Tariffed Process &amp; Eng Fees - Cable</t>
  </si>
  <si>
    <t>10g</t>
  </si>
  <si>
    <t>4184116</t>
  </si>
  <si>
    <t>Joint Pole - Tariffed Process &amp; Eng Fees - Conduit</t>
  </si>
  <si>
    <t>10h</t>
  </si>
  <si>
    <t>4184118</t>
  </si>
  <si>
    <t>Joint Pole - Pl Attchmnt Audit - Undoc P&amp;E Fee</t>
  </si>
  <si>
    <t>10i</t>
  </si>
  <si>
    <t>4184510</t>
  </si>
  <si>
    <t>Joint Pole - Non-Tariffed Pole Rental</t>
  </si>
  <si>
    <t>10j</t>
  </si>
  <si>
    <t>4184512</t>
  </si>
  <si>
    <t>Joint Pole - Non-Tariff Process &amp; Engineering Fees</t>
  </si>
  <si>
    <t>10k</t>
  </si>
  <si>
    <t>4184514</t>
  </si>
  <si>
    <t>Joint Pole - Non-Tariff Requests for Information</t>
  </si>
  <si>
    <t>10l</t>
  </si>
  <si>
    <t>4184516</t>
  </si>
  <si>
    <t>Oil And Gas Royalties</t>
  </si>
  <si>
    <t>10m</t>
  </si>
  <si>
    <t>4184518</t>
  </si>
  <si>
    <t>10n</t>
  </si>
  <si>
    <t>4184810</t>
  </si>
  <si>
    <t>Facility Cost -EIX/Nonutility</t>
  </si>
  <si>
    <t>6, 12</t>
  </si>
  <si>
    <t>10o</t>
  </si>
  <si>
    <t>4184815</t>
  </si>
  <si>
    <t>Facility Cost- Utility</t>
  </si>
  <si>
    <t>10p</t>
  </si>
  <si>
    <t>4184820</t>
  </si>
  <si>
    <t>Rent Billed to Non-Utility Affiliates</t>
  </si>
  <si>
    <t>10q</t>
  </si>
  <si>
    <t>4184825</t>
  </si>
  <si>
    <t>Rent Billed to Utility Affiliates</t>
  </si>
  <si>
    <t>10r</t>
  </si>
  <si>
    <t>4194110</t>
  </si>
  <si>
    <t>Meter Leasing Revenue</t>
  </si>
  <si>
    <t>10s</t>
  </si>
  <si>
    <t>4194115</t>
  </si>
  <si>
    <t>Company Financed Added Facilities</t>
  </si>
  <si>
    <t>10t</t>
  </si>
  <si>
    <t>4194120</t>
  </si>
  <si>
    <t>Company Financed Interconnect Facilities</t>
  </si>
  <si>
    <t>10u</t>
  </si>
  <si>
    <t>4194130</t>
  </si>
  <si>
    <t>SCE Financed Added Faclty</t>
  </si>
  <si>
    <t>10v</t>
  </si>
  <si>
    <t>4194135</t>
  </si>
  <si>
    <t>Interconnect Facility Finance Charge</t>
  </si>
  <si>
    <t>10w</t>
  </si>
  <si>
    <t>4204515</t>
  </si>
  <si>
    <t>Operating Land &amp; Facilities Rent Revenue</t>
  </si>
  <si>
    <t>4867020</t>
  </si>
  <si>
    <t>Nonoperating Misc Land &amp; Facilities Rent</t>
  </si>
  <si>
    <t>454 Total</t>
  </si>
  <si>
    <t>12a</t>
  </si>
  <si>
    <t>12b</t>
  </si>
  <si>
    <t>12c</t>
  </si>
  <si>
    <t>12d</t>
  </si>
  <si>
    <t>4186114</t>
  </si>
  <si>
    <t>Energy Related Services</t>
  </si>
  <si>
    <t>4186118</t>
  </si>
  <si>
    <t>Distribution Miscellaneous Electric Revenues</t>
  </si>
  <si>
    <t>4186120</t>
  </si>
  <si>
    <t>Added Facilities - One Time Charge</t>
  </si>
  <si>
    <t>12e</t>
  </si>
  <si>
    <t>4186122</t>
  </si>
  <si>
    <t>Building Rental - Nev Power/Mohave Cr</t>
  </si>
  <si>
    <t>12f</t>
  </si>
  <si>
    <t>4186126</t>
  </si>
  <si>
    <t>Service Fee - Optimal Bill Prd</t>
  </si>
  <si>
    <t>12g</t>
  </si>
  <si>
    <t>4186128</t>
  </si>
  <si>
    <t>Miscellaneous Revenues</t>
  </si>
  <si>
    <t>12h</t>
  </si>
  <si>
    <t>4186130</t>
  </si>
  <si>
    <t>Tule Power Plant - Revenue</t>
  </si>
  <si>
    <t>12i</t>
  </si>
  <si>
    <t>4186150</t>
  </si>
  <si>
    <t>Utility Subs Labor Markup</t>
  </si>
  <si>
    <t>12j</t>
  </si>
  <si>
    <t>4186155</t>
  </si>
  <si>
    <t>Non Utility Subs Labor Markup</t>
  </si>
  <si>
    <t>12k</t>
  </si>
  <si>
    <t>4186162</t>
  </si>
  <si>
    <t>Reliant Eng FSA Ann Pymnt-Mandalay</t>
  </si>
  <si>
    <t>12l</t>
  </si>
  <si>
    <t>4186164</t>
  </si>
  <si>
    <t>Reliant Eng FSA Ann Pymnt-Ormond Beach</t>
  </si>
  <si>
    <t>12m</t>
  </si>
  <si>
    <t>4186166</t>
  </si>
  <si>
    <t>Reliant Eng FSA Ann Pymnt-Etiwanda</t>
  </si>
  <si>
    <t>12n</t>
  </si>
  <si>
    <t>4186168</t>
  </si>
  <si>
    <t>Reliant Eng FSA Ann Pymnt-Ellwood</t>
  </si>
  <si>
    <t>12o</t>
  </si>
  <si>
    <t>4186170</t>
  </si>
  <si>
    <t>Reliant Eng FSA Ann Pymnt-Coolwater</t>
  </si>
  <si>
    <t>12p</t>
  </si>
  <si>
    <t>4186194</t>
  </si>
  <si>
    <t>Property License Fee revenue</t>
  </si>
  <si>
    <t>12q</t>
  </si>
  <si>
    <t>4186512</t>
  </si>
  <si>
    <t>Revenue From Recreation, Fish &amp; Wildlife</t>
  </si>
  <si>
    <t>12r</t>
  </si>
  <si>
    <t>4186514</t>
  </si>
  <si>
    <t>Mapping Services</t>
  </si>
  <si>
    <t>12s</t>
  </si>
  <si>
    <t>4186518</t>
  </si>
  <si>
    <t>Enhanced Pump Test Revenue</t>
  </si>
  <si>
    <t>12t</t>
  </si>
  <si>
    <t>4186520</t>
  </si>
  <si>
    <t>RTTC Revenue</t>
  </si>
  <si>
    <t>12u</t>
  </si>
  <si>
    <t>4186524</t>
  </si>
  <si>
    <t>Revenue From Scrap Paper - General Office</t>
  </si>
  <si>
    <t>12v</t>
  </si>
  <si>
    <t>4186528</t>
  </si>
  <si>
    <t>CTAC Revenues</t>
  </si>
  <si>
    <t>12w</t>
  </si>
  <si>
    <t>4186530</t>
  </si>
  <si>
    <t>AGTAC Revenues</t>
  </si>
  <si>
    <t>12x</t>
  </si>
  <si>
    <t>Other Inc/erd Party DC-ESM</t>
  </si>
  <si>
    <t>12y</t>
  </si>
  <si>
    <t>3rd Party-Div Tmg-Cr PPD training</t>
  </si>
  <si>
    <t>12z</t>
  </si>
  <si>
    <t>4186716</t>
  </si>
  <si>
    <t>ADT Vendor Service Revenue</t>
  </si>
  <si>
    <t>12aa</t>
  </si>
  <si>
    <t>4186718</t>
  </si>
  <si>
    <t>Read Water Meters - Irvine Ranch</t>
  </si>
  <si>
    <t>12bb</t>
  </si>
  <si>
    <t>4186720</t>
  </si>
  <si>
    <t>Read Water Meters - Rancho California</t>
  </si>
  <si>
    <t>12cc</t>
  </si>
  <si>
    <t>4186722</t>
  </si>
  <si>
    <t>Read Water Meters - Long Beach</t>
  </si>
  <si>
    <t>12dd</t>
  </si>
  <si>
    <t>4186730</t>
  </si>
  <si>
    <t>SSID Transformer Repair Services Revenue</t>
  </si>
  <si>
    <t>12ee</t>
  </si>
  <si>
    <t>4186815</t>
  </si>
  <si>
    <t>Employee Transfer/Affiliate Fee</t>
  </si>
  <si>
    <t>12ff</t>
  </si>
  <si>
    <t>4186910</t>
  </si>
  <si>
    <t>ITCC/CIAC Revenues</t>
  </si>
  <si>
    <t>12gg</t>
  </si>
  <si>
    <t>4186912</t>
  </si>
  <si>
    <t>12hh</t>
  </si>
  <si>
    <t>4186914</t>
  </si>
  <si>
    <t>12ii</t>
  </si>
  <si>
    <t>4186916</t>
  </si>
  <si>
    <t>Offset to Revenue from NDT Earnings/Realized</t>
  </si>
  <si>
    <t>12jj</t>
  </si>
  <si>
    <t>4186918</t>
  </si>
  <si>
    <t>Offset to Revenue from FAS 115 FMV</t>
  </si>
  <si>
    <t>12kk</t>
  </si>
  <si>
    <t>4186920</t>
  </si>
  <si>
    <t>12ll</t>
  </si>
  <si>
    <t>4186922</t>
  </si>
  <si>
    <t>Offset to Revenue from FAS 115-1 Gains &amp; Loss</t>
  </si>
  <si>
    <t>12mm</t>
  </si>
  <si>
    <t>4188712</t>
  </si>
  <si>
    <t>Power Supply Installations - IMS</t>
  </si>
  <si>
    <t>12nn</t>
  </si>
  <si>
    <t>4188714</t>
  </si>
  <si>
    <t>Consulting Fees - IMS</t>
  </si>
  <si>
    <t>12oo</t>
  </si>
  <si>
    <t>4188818</t>
  </si>
  <si>
    <t>FTR Auction Revenue</t>
  </si>
  <si>
    <t>12pp</t>
  </si>
  <si>
    <t>4196105</t>
  </si>
  <si>
    <t>DA Revenue</t>
  </si>
  <si>
    <t>12qq</t>
  </si>
  <si>
    <t>4196154</t>
  </si>
  <si>
    <t>Direct Access Monthly Customer Charges</t>
  </si>
  <si>
    <t>12rr</t>
  </si>
  <si>
    <t>4196158</t>
  </si>
  <si>
    <t>EDBL Customer Finance Added Facilities</t>
  </si>
  <si>
    <t>12ss</t>
  </si>
  <si>
    <t>4196162</t>
  </si>
  <si>
    <t>SCE Energy Manager Fee Based Services</t>
  </si>
  <si>
    <t>12tt</t>
  </si>
  <si>
    <t>4196166</t>
  </si>
  <si>
    <t>SCE Energy Manager Fee Based Services Adj</t>
  </si>
  <si>
    <t>12uu</t>
  </si>
  <si>
    <t>4196172</t>
  </si>
  <si>
    <t>Off Grid Photo Voltaic Revenues</t>
  </si>
  <si>
    <t>12vv</t>
  </si>
  <si>
    <t>4196174</t>
  </si>
  <si>
    <t>Scheduling/Dispatch Revenues</t>
  </si>
  <si>
    <t>12ww</t>
  </si>
  <si>
    <t>4196176</t>
  </si>
  <si>
    <t>Interconnect Facilities Charges-Customer Financed</t>
  </si>
  <si>
    <t>12xx</t>
  </si>
  <si>
    <t>4196178</t>
  </si>
  <si>
    <t>Interconnect Facilities Charges - SCE Financed</t>
  </si>
  <si>
    <t>12yy</t>
  </si>
  <si>
    <t>4196184</t>
  </si>
  <si>
    <t>DMS Service Fees</t>
  </si>
  <si>
    <t>12zz</t>
  </si>
  <si>
    <t>4196188</t>
  </si>
  <si>
    <t>CCA - Information Fees</t>
  </si>
  <si>
    <t>4206515</t>
  </si>
  <si>
    <t>456 Total</t>
  </si>
  <si>
    <t>15a</t>
  </si>
  <si>
    <t>4188112</t>
  </si>
  <si>
    <t>Trans of Elec of Others - Pasadena</t>
  </si>
  <si>
    <t>15b</t>
  </si>
  <si>
    <t>4188114</t>
  </si>
  <si>
    <t>FTS PPU/Non-ISO</t>
  </si>
  <si>
    <t>15c</t>
  </si>
  <si>
    <t>4188116</t>
  </si>
  <si>
    <t>FTS Non-PPU/Non-ISO</t>
  </si>
  <si>
    <t>15d</t>
  </si>
  <si>
    <t>4188812</t>
  </si>
  <si>
    <t>ISO-Wheeling Revenue - Low Voltage</t>
  </si>
  <si>
    <t>15e</t>
  </si>
  <si>
    <t>4188814</t>
  </si>
  <si>
    <t>ISO-Wheeling Revenue - High Voltage</t>
  </si>
  <si>
    <t>15f</t>
  </si>
  <si>
    <t>4188816</t>
  </si>
  <si>
    <t>ISO-Congestion Revenue</t>
  </si>
  <si>
    <t>15g</t>
  </si>
  <si>
    <t>4198110</t>
  </si>
  <si>
    <t>Transmission of Elec of Others</t>
  </si>
  <si>
    <t>15h</t>
  </si>
  <si>
    <t>4198112</t>
  </si>
  <si>
    <t>WDAT</t>
  </si>
  <si>
    <t>15i</t>
  </si>
  <si>
    <t>4198114</t>
  </si>
  <si>
    <t>Radial Line Rev-Base Cost - Reliant Coolwater</t>
  </si>
  <si>
    <t>15j</t>
  </si>
  <si>
    <t>4198115</t>
  </si>
  <si>
    <t>High Voltage Trans Access Rev (Existing Contracts)</t>
  </si>
  <si>
    <t>15k</t>
  </si>
  <si>
    <t>4198116</t>
  </si>
  <si>
    <t>Radial Line Rev-Base Cost - Reliant Ormond Beach</t>
  </si>
  <si>
    <t>15l</t>
  </si>
  <si>
    <t>4198118</t>
  </si>
  <si>
    <t>Radial Line Rev-O&amp;M - AES Huntington Beach</t>
  </si>
  <si>
    <t>15m</t>
  </si>
  <si>
    <t>4198120</t>
  </si>
  <si>
    <t>Radial Line Rev-O&amp;M - Reliant Mandalay</t>
  </si>
  <si>
    <t>15n</t>
  </si>
  <si>
    <t>4198122</t>
  </si>
  <si>
    <t>Radial Line Rev-O&amp;M - Reliant Coolwater</t>
  </si>
  <si>
    <t>15o</t>
  </si>
  <si>
    <t>4198124</t>
  </si>
  <si>
    <t>Radial Line Rev-O&amp;M - Ormond Beach</t>
  </si>
  <si>
    <t>15p</t>
  </si>
  <si>
    <t>4198126</t>
  </si>
  <si>
    <t>High Desert Tie-Line Rental Rev</t>
  </si>
  <si>
    <t>15q</t>
  </si>
  <si>
    <t>4198128</t>
  </si>
  <si>
    <t>Scheduling/Dispatch Revenues (CSS)</t>
  </si>
  <si>
    <t>15r</t>
  </si>
  <si>
    <t>4198130</t>
  </si>
  <si>
    <t>Inland Empire CRT Tie-Line EX</t>
  </si>
  <si>
    <t>15s</t>
  </si>
  <si>
    <t>4198910</t>
  </si>
  <si>
    <t>Reliability Service Revenue - Non-PTO's</t>
  </si>
  <si>
    <t>456.1 Total</t>
  </si>
  <si>
    <t>18a</t>
  </si>
  <si>
    <t>457.1 Total</t>
  </si>
  <si>
    <t>21a</t>
  </si>
  <si>
    <t>457.2 Total</t>
  </si>
  <si>
    <t>Edison Carrier Solutions (ECS)</t>
  </si>
  <si>
    <t>24a</t>
  </si>
  <si>
    <t>ECS - Pass Pole Attachments</t>
  </si>
  <si>
    <t>24b</t>
  </si>
  <si>
    <t>ECS - Distribution Facilities</t>
  </si>
  <si>
    <t>24c</t>
  </si>
  <si>
    <t>ECS - Dark Fiber</t>
  </si>
  <si>
    <t>24d</t>
  </si>
  <si>
    <t>ECS - SCE Net Fiber</t>
  </si>
  <si>
    <t>24e</t>
  </si>
  <si>
    <t>ECS - Transmission Right of Way</t>
  </si>
  <si>
    <t>24f</t>
  </si>
  <si>
    <t>ECS - Wholesale FCC</t>
  </si>
  <si>
    <t>24g</t>
  </si>
  <si>
    <t>24h</t>
  </si>
  <si>
    <t>ECS - EU FCC Rev</t>
  </si>
  <si>
    <t>24i</t>
  </si>
  <si>
    <t>ECS - Cell Site Rent and Use (Active)</t>
  </si>
  <si>
    <t>24j</t>
  </si>
  <si>
    <t>ECS - Cell Site Reimbursable (Active)</t>
  </si>
  <si>
    <t>24k</t>
  </si>
  <si>
    <t>ECS - Communication Sites</t>
  </si>
  <si>
    <t>24l</t>
  </si>
  <si>
    <t>ECS - Cell Site Rent and Use (Passive)</t>
  </si>
  <si>
    <t>24m</t>
  </si>
  <si>
    <t>ECS - Cell Site Reimbursable (Passive)</t>
  </si>
  <si>
    <t>24n</t>
  </si>
  <si>
    <t>ECS - Micro Cell</t>
  </si>
  <si>
    <t>24o</t>
  </si>
  <si>
    <t>ECS - End User Universal Service Fund Fee</t>
  </si>
  <si>
    <t>417 ECS Total</t>
  </si>
  <si>
    <t>417 Other</t>
  </si>
  <si>
    <t>Subsidiaries</t>
  </si>
  <si>
    <t>28a</t>
  </si>
  <si>
    <t>ESI (Gross Revenues - Active)</t>
  </si>
  <si>
    <t>2,9</t>
  </si>
  <si>
    <t>28b</t>
  </si>
  <si>
    <t>ESI (Gross Revenues - Passive)</t>
  </si>
  <si>
    <t>28c</t>
  </si>
  <si>
    <t>Mono Power Company</t>
  </si>
  <si>
    <t>28d</t>
  </si>
  <si>
    <t>SCE Capital Company</t>
  </si>
  <si>
    <t>418.1 Subsidiaries Total</t>
  </si>
  <si>
    <t>Totals</t>
  </si>
  <si>
    <t>Ratepayers' Share of Threshold Revenue</t>
  </si>
  <si>
    <t>= Line 32K</t>
  </si>
  <si>
    <t>see Note 11</t>
  </si>
  <si>
    <t xml:space="preserve">ISO Ratepayers' Share of Threshold Revenue </t>
  </si>
  <si>
    <t>Total Active Incremental Revenue</t>
  </si>
  <si>
    <t>= Sum Active categories in column L</t>
  </si>
  <si>
    <t>Ratepayers' Share of Active Incremental Revenue</t>
  </si>
  <si>
    <t>Total Passive Incremental Revenue</t>
  </si>
  <si>
    <t>= Sum Passive categories in column L</t>
  </si>
  <si>
    <t>Ratepayers' Share of Passive Incremental Revenue</t>
  </si>
  <si>
    <t>Total Ratepayers' Share of Incremental Revenue</t>
  </si>
  <si>
    <t>ISO Ratepayers' Share of Incremental Revenue (%)</t>
  </si>
  <si>
    <t xml:space="preserve">ISO Ratepayers' Share of Incremental Revenue </t>
  </si>
  <si>
    <t>1-</t>
  </si>
  <si>
    <t>2-</t>
  </si>
  <si>
    <t>3-</t>
  </si>
  <si>
    <t>Generation related.</t>
  </si>
  <si>
    <t>4-</t>
  </si>
  <si>
    <t>5-</t>
  </si>
  <si>
    <t>ISO transmission system related.</t>
  </si>
  <si>
    <t>6-</t>
  </si>
  <si>
    <t>Subject to balancing account treatment</t>
  </si>
  <si>
    <t>7-</t>
  </si>
  <si>
    <t>ISO Allocator =</t>
  </si>
  <si>
    <t>8-</t>
  </si>
  <si>
    <t xml:space="preserve">ISO portion of Traditional OOR relates to monthly revenues received from customers for facilities that are part of the ISO network.  </t>
  </si>
  <si>
    <t>9-</t>
  </si>
  <si>
    <t>Edison ESI is a subsidiary company.  Gross revenues are not reported in FF-1, only net earnings.  Net Earnings for ESI are reported on Acct 418.1, pg 225.5e.</t>
  </si>
  <si>
    <t>10-</t>
  </si>
  <si>
    <t>The first $16,671,389 million in gross revenues generated by GRSM activities are automatically classified as Threshold Revenue.</t>
  </si>
  <si>
    <t>11-</t>
  </si>
  <si>
    <t>12-</t>
  </si>
  <si>
    <t>13-</t>
  </si>
  <si>
    <t>14-</t>
  </si>
  <si>
    <t>Gains and Losses on Trans. Plant Held for Future Use -- Land</t>
  </si>
  <si>
    <t>Total Revenue Credits:</t>
  </si>
  <si>
    <t>Prior Year CWIP is the amount of Construction Work In Progress for projects that have received Commission approval</t>
  </si>
  <si>
    <t>Col 9</t>
  </si>
  <si>
    <t>Calculations:</t>
  </si>
  <si>
    <t>See Note 4</t>
  </si>
  <si>
    <t>See Note 5</t>
  </si>
  <si>
    <t>=C7 + C8</t>
  </si>
  <si>
    <t>Previous</t>
  </si>
  <si>
    <t>wo Interest</t>
  </si>
  <si>
    <t>TRR</t>
  </si>
  <si>
    <t>with Interest</t>
  </si>
  <si>
    <t>Beginning</t>
  </si>
  <si>
    <t>Ending</t>
  </si>
  <si>
    <t>Balance</t>
  </si>
  <si>
    <t>5) Final True Up Adjustment</t>
  </si>
  <si>
    <t>3) Enter monthly interest rates in accordance with interest rate specified in the regulations of FERC at</t>
  </si>
  <si>
    <t>d) Any Base Transmission Revenue not attributable to this formula.</t>
  </si>
  <si>
    <t>1) Depreciation Expense for Transmission Plant - ISO</t>
  </si>
  <si>
    <t>Col 10</t>
  </si>
  <si>
    <t>Account:</t>
  </si>
  <si>
    <t>1) Calculation of Depreciation Expense for Transmission Plant - ISO</t>
  </si>
  <si>
    <t>Col 11</t>
  </si>
  <si>
    <t>Monthly Depreciation Expense for Transmission Plant - ISO by FERC Account:</t>
  </si>
  <si>
    <t>Balances for Transmission Plant - ISO during the Prior Year, including December of previous year:</t>
  </si>
  <si>
    <t>Total Annual Depreciation Expense for Transmission Plant - ISO:</t>
  </si>
  <si>
    <t>(equals sum of monthly amounts)</t>
  </si>
  <si>
    <t>Total General Plant Depreciation Expense</t>
  </si>
  <si>
    <t>Total Intangible Plant Depreciation Expense</t>
  </si>
  <si>
    <t>FF1 336.10f</t>
  </si>
  <si>
    <t>FF1 336.1f</t>
  </si>
  <si>
    <t>Sum of Total General and Total Intangible Depreciation Expense</t>
  </si>
  <si>
    <t>General and Intangible Depreciation Expense</t>
  </si>
  <si>
    <t>3) General and Intangible Depreciation Expense</t>
  </si>
  <si>
    <t>2) Depreciation Expense for Distribution Plant - ISO</t>
  </si>
  <si>
    <t>Two Incentive Adders are calculated:</t>
  </si>
  <si>
    <t>a) The Prior Year Incentive Adder is a component of the Prior Year TRR.</t>
  </si>
  <si>
    <t xml:space="preserve"> = Sum of all</t>
  </si>
  <si>
    <t>Whirlwind</t>
  </si>
  <si>
    <t>Expansion</t>
  </si>
  <si>
    <t>Col 12</t>
  </si>
  <si>
    <t xml:space="preserve">Colorado </t>
  </si>
  <si>
    <t>River</t>
  </si>
  <si>
    <t>Kramer</t>
  </si>
  <si>
    <t>South of</t>
  </si>
  <si>
    <t>West of</t>
  </si>
  <si>
    <t>Devers</t>
  </si>
  <si>
    <t>1) Enter recorded amounts of CWIP during Prior Year on Lines 1-13, 15-27 (including December of year previous to Prior Year).</t>
  </si>
  <si>
    <t>1) Summary of CWIP Plant in Prior Year and Forecast Period</t>
  </si>
  <si>
    <t>1) Rate Base in Prior Year</t>
  </si>
  <si>
    <t>Net Plant</t>
  </si>
  <si>
    <t>b) Annual Fixed Charge Rate ("AFCR")</t>
  </si>
  <si>
    <t>Net Plant:</t>
  </si>
  <si>
    <t>1) Calculation of Annual Fixed Charge Rates:</t>
  </si>
  <si>
    <t>4) Lugo-Pisgah</t>
  </si>
  <si>
    <t>5) Red Bluff</t>
  </si>
  <si>
    <t>6) Whirlwind Substation Exp.</t>
  </si>
  <si>
    <t>7) Colorado River Sub. Exp.</t>
  </si>
  <si>
    <t>8) South of Kramer</t>
  </si>
  <si>
    <t>9) West of Devers</t>
  </si>
  <si>
    <t>4) Prior Year TIP Net Plant In Service</t>
  </si>
  <si>
    <t>Additions</t>
  </si>
  <si>
    <t>to Prior Year</t>
  </si>
  <si>
    <t>year previous</t>
  </si>
  <si>
    <t>←December of</t>
  </si>
  <si>
    <t>2) Calculation of Depreciation Expense for Distribution Plant - ISO</t>
  </si>
  <si>
    <t>Distribution Plant - ISO BOY</t>
  </si>
  <si>
    <t>Distribution Plant - ISO EOY</t>
  </si>
  <si>
    <t>Average BOY/EOY :</t>
  </si>
  <si>
    <t xml:space="preserve">Total is sum of Depreciation Expense for accounts </t>
  </si>
  <si>
    <t>360, 361, and 362</t>
  </si>
  <si>
    <t>3) Calculation of Depreciation Expense for General Plant and Intangible Plant</t>
  </si>
  <si>
    <t>Depreciation Expense:</t>
  </si>
  <si>
    <t>Depreciation Rates</t>
  </si>
  <si>
    <t>Less</t>
  </si>
  <si>
    <t>Removal</t>
  </si>
  <si>
    <t>Salvage</t>
  </si>
  <si>
    <t>Cost</t>
  </si>
  <si>
    <t>Fee Land</t>
  </si>
  <si>
    <t>Easements</t>
  </si>
  <si>
    <t>Structures and Improvements</t>
  </si>
  <si>
    <t>Station Equipment</t>
  </si>
  <si>
    <t>Poles and Fixtures</t>
  </si>
  <si>
    <t>Overhead Conductors and Devices</t>
  </si>
  <si>
    <t>Underground Conduit</t>
  </si>
  <si>
    <t>Underground Conductors and Devices</t>
  </si>
  <si>
    <t>Roads and Trails</t>
  </si>
  <si>
    <t>Land and Land Rights</t>
  </si>
  <si>
    <t>3) General Plant</t>
  </si>
  <si>
    <t>Office Furniture</t>
  </si>
  <si>
    <t>4) Intangible Plant</t>
  </si>
  <si>
    <t>Hydro Relicensing</t>
  </si>
  <si>
    <t>Radio Frequency</t>
  </si>
  <si>
    <t>Other Intangibles</t>
  </si>
  <si>
    <t>Cap Soft 5yr</t>
  </si>
  <si>
    <t>Cap Soft 7yr</t>
  </si>
  <si>
    <t>Cap Soft 10yr</t>
  </si>
  <si>
    <t>Cap Soft 15yr</t>
  </si>
  <si>
    <t>CLTD = Weighted Cost of Long Term Debt</t>
  </si>
  <si>
    <t>COS = Weighted Cost of Common and Preferred Stock</t>
  </si>
  <si>
    <t>AFCRCWIP =</t>
  </si>
  <si>
    <t>Composite Tax Rate:</t>
  </si>
  <si>
    <t>expressed as a percent.</t>
  </si>
  <si>
    <t>AFCR = (Prior Year TRR - CWIP-related costs) / Net Plant</t>
  </si>
  <si>
    <t>ISO Transmission Plant</t>
  </si>
  <si>
    <t>3) ISO Transmission Plant</t>
  </si>
  <si>
    <t>ISO Transmission Plant is the sum of "Transmission Plant - ISO" and "Distribution Plant - ISO"</t>
  </si>
  <si>
    <t xml:space="preserve">Transmission Depreciation Reserve - ISO </t>
  </si>
  <si>
    <t xml:space="preserve">Distribution Depreciation Reserve - ISO </t>
  </si>
  <si>
    <t>Transmission Plant - ISO:</t>
  </si>
  <si>
    <t>Distribution Plant - ISO:</t>
  </si>
  <si>
    <t>c) Compare costs in (a) to revenues in (b) on a monthly basis and determine "Cumulative Excess (-) or Shortfall (+) in Revenue with Interest".</t>
  </si>
  <si>
    <t>One-Time and</t>
  </si>
  <si>
    <t>wo Interest for</t>
  </si>
  <si>
    <t>for Current</t>
  </si>
  <si>
    <t>Current Month</t>
  </si>
  <si>
    <t>See Note 8</t>
  </si>
  <si>
    <t>See Note 9</t>
  </si>
  <si>
    <t>See Note 10</t>
  </si>
  <si>
    <t>=C3 + C4</t>
  </si>
  <si>
    <t>See Note 11</t>
  </si>
  <si>
    <t>=C5 + C6</t>
  </si>
  <si>
    <t>= - C4</t>
  </si>
  <si>
    <t>Received (+)/</t>
  </si>
  <si>
    <t>Amortization</t>
  </si>
  <si>
    <t>Returned (-)</t>
  </si>
  <si>
    <t>Total Amortization in Rate Effective Period (See Instruction #4):</t>
  </si>
  <si>
    <t>Shortfall or Excess Revenue in Prior Year:</t>
  </si>
  <si>
    <t>TRR AAF</t>
  </si>
  <si>
    <t>See Note 13</t>
  </si>
  <si>
    <t>Enter with the same sign as in previous Informational Update.  If there is no Previous Period True Up Adjustment, then enter $0 in these cells.</t>
  </si>
  <si>
    <t>SCE shall also include that difference in the True Up Adjustment, including interest, at the first opportunity, in accordance with tariff protocols.</t>
  </si>
  <si>
    <t>Actual Retail Base Transmission Revenues for any months not included in True Up Period.</t>
  </si>
  <si>
    <t>3) "Actual Retail Base Transmission Revenues" are SCE retail transmission revenues attributable to this formula transmission rate.</t>
  </si>
  <si>
    <t>4) The "Previous Period True Up Adjustment" are the values of the "True Up Adjustment Received/Returned" in the previous Informational Filing (Same sign).</t>
  </si>
  <si>
    <t>6) "Cumulative Excess (-) or Shortfall (+) in Revenue wo Interest for Current Month" is: 1) in month 1, the amount in Column 5;</t>
  </si>
  <si>
    <t>and 2) in subsequent months is the amount in Column 9 for previous month plus the current month amount in Column 5.</t>
  </si>
  <si>
    <t>7) Interest for Current Month is calculated on average of beginning and ending balances (Column 9 previous month and Column 7 current month).</t>
  </si>
  <si>
    <t>(First month average is 1/2 of ending balance).</t>
  </si>
  <si>
    <t>Transmission Dep. Reserve - ISO:</t>
  </si>
  <si>
    <t>Distribution Dep. Reserve - ISO:</t>
  </si>
  <si>
    <t>Determination of Net Plant:</t>
  </si>
  <si>
    <t>a) Annual Fixed Charge Rate for CWIP ("AFCRCWIP")</t>
  </si>
  <si>
    <t>Calculation of Incremental Forecast Period TRR ("IFPTRR")</t>
  </si>
  <si>
    <t>NETWORK UPGRADE CREDIT AND INTEREST EXPENSE</t>
  </si>
  <si>
    <t>Outstanding Network Upgrade Credits Recorded in FERC Acct 252</t>
  </si>
  <si>
    <t>Acct 252 Other</t>
  </si>
  <si>
    <t>Total Acct 252</t>
  </si>
  <si>
    <t>FF-1 total for Acct 252 - Customer Advances for Construction 
 (Must equal Line 3)</t>
  </si>
  <si>
    <t>FF-1 total for Acct 252 - Customer Advances for Construction 
(Must equal Line 7)</t>
  </si>
  <si>
    <t>FF1 113.56c</t>
  </si>
  <si>
    <t>Average Outstanding Network Upgrade Credits Beginning and End of Year</t>
  </si>
  <si>
    <t>Interest On Network Upgrade Credits Recorded in FERC Acct 242</t>
  </si>
  <si>
    <t>Acct 242 Other</t>
  </si>
  <si>
    <t>Total Acct 242</t>
  </si>
  <si>
    <t>FF-1 total for Acct 242 - Miscellaneous Current and Accrued Liabilities
(Must equal Line 12)</t>
  </si>
  <si>
    <t>FF1 113.48c</t>
  </si>
  <si>
    <t>Wtd. Cost of Long Term Debt:</t>
  </si>
  <si>
    <t>Wtd. Cost of Common + Pref. Stock:</t>
  </si>
  <si>
    <t>The AFCR is calculated by dividing the Prior Year TRR (without CWIP related costs)</t>
  </si>
  <si>
    <t>by Net Plant:</t>
  </si>
  <si>
    <t>Overview</t>
  </si>
  <si>
    <t>ROR</t>
  </si>
  <si>
    <t>Depreciation</t>
  </si>
  <si>
    <t>DepRates</t>
  </si>
  <si>
    <t>PlantInService</t>
  </si>
  <si>
    <t>PlantStudy</t>
  </si>
  <si>
    <t>PHFU</t>
  </si>
  <si>
    <t>AbandonedPlant</t>
  </si>
  <si>
    <t>IncentivePlant</t>
  </si>
  <si>
    <t>IncentiveAdder</t>
  </si>
  <si>
    <t>PlantAdditions</t>
  </si>
  <si>
    <t>IFPTRR</t>
  </si>
  <si>
    <t>TrueUpAdjust</t>
  </si>
  <si>
    <t>WorkCap</t>
  </si>
  <si>
    <t>AccDep</t>
  </si>
  <si>
    <t>OandM</t>
  </si>
  <si>
    <t>AandG</t>
  </si>
  <si>
    <t>pursuant to Commission acceptance of an SCE FPA Section 205 filing to revise the authorized PBOPs expense,</t>
  </si>
  <si>
    <t>(Sum of Col 1 to Col 4)</t>
  </si>
  <si>
    <t>Beginning of Year Balances are from December of the year previous to the Prior Year.</t>
  </si>
  <si>
    <t>1) Beginning of Year Balances: (Note 1)</t>
  </si>
  <si>
    <t>2) End of Year Balances: (Note 2)</t>
  </si>
  <si>
    <t>End of Year Balances are from December of the Prior Year.</t>
  </si>
  <si>
    <t>100% Abandoned Plant:</t>
  </si>
  <si>
    <t>A) Rancho Vista Incentives Received:</t>
  </si>
  <si>
    <t>B) Tehachapi Incentives Received:</t>
  </si>
  <si>
    <t>Cite:</t>
  </si>
  <si>
    <t>C) Devers to  Colorado River Incentives Received:</t>
  </si>
  <si>
    <t>D) Devers to  Palo Verde 2 Incentives Received:</t>
  </si>
  <si>
    <t>E) Eldorado Ivanpah Incentives Received:</t>
  </si>
  <si>
    <t>F) Lugo Pisgah Incentives Received:</t>
  </si>
  <si>
    <t>G) Red Bluff Incentives Received:</t>
  </si>
  <si>
    <t>H) Whirlwind Substation Expansion Incentives Received:</t>
  </si>
  <si>
    <t>I) Colorado River Substation Expansion Incentives Received:</t>
  </si>
  <si>
    <t>J) South of Kramer Incentives Received:</t>
  </si>
  <si>
    <t>K) West of Devers Incentives Received:</t>
  </si>
  <si>
    <t>L) Future Incentive Projects</t>
  </si>
  <si>
    <t>Commission decision.</t>
  </si>
  <si>
    <t>in accordance with the tariff protocols.  Accordingly, any amount different than the authorized PBOPs</t>
  </si>
  <si>
    <t>RevenueCredits</t>
  </si>
  <si>
    <t>NUCs</t>
  </si>
  <si>
    <t>RegAssets</t>
  </si>
  <si>
    <t>FFU</t>
  </si>
  <si>
    <t>Allocators</t>
  </si>
  <si>
    <t>TaxRates</t>
  </si>
  <si>
    <t>WholesaleTRRs</t>
  </si>
  <si>
    <t>Wholesale Rates</t>
  </si>
  <si>
    <t>HVLV</t>
  </si>
  <si>
    <t>GrossLoad</t>
  </si>
  <si>
    <t>RetailRates</t>
  </si>
  <si>
    <t>ROE incentive, for each million dollars of Incentive Net Plant.  It is calculated according to the following formula:</t>
  </si>
  <si>
    <t>1) Calculation of Transmission Wages and Salaries Allocation Factor</t>
  </si>
  <si>
    <t>2) Calculation of Transmission Plant Allocation Factor</t>
  </si>
  <si>
    <t xml:space="preserve">Transmission </t>
  </si>
  <si>
    <t>Plant - ISO</t>
  </si>
  <si>
    <t>Total Plant In Service</t>
  </si>
  <si>
    <t>HV and LV Gross Plant Percentages:</t>
  </si>
  <si>
    <t xml:space="preserve">Total Wages and Salaries wo A&amp;G </t>
  </si>
  <si>
    <t>Franchise Fee Factor:</t>
  </si>
  <si>
    <t>Reference:</t>
  </si>
  <si>
    <t>Table of Contents</t>
  </si>
  <si>
    <t>Worksheet Name</t>
  </si>
  <si>
    <t>BaseTRR</t>
  </si>
  <si>
    <t>Base TRR Components.</t>
  </si>
  <si>
    <t>Determination of Capital Structure</t>
  </si>
  <si>
    <t>Calculation of Depreciation Expense</t>
  </si>
  <si>
    <t>Presentation of Depreciation Rates</t>
  </si>
  <si>
    <t xml:space="preserve">Determination of Plant In Service balances </t>
  </si>
  <si>
    <t>Calculation of Abandoned Plant</t>
  </si>
  <si>
    <t>Summary of Incentive Plant balances in the Prior Year</t>
  </si>
  <si>
    <t>Calculation of the Incremental Forecast Period TRR</t>
  </si>
  <si>
    <t>Calculation of the True Up Adjustment</t>
  </si>
  <si>
    <t>Calculation of Accumulated Depreciation</t>
  </si>
  <si>
    <t>Calculation of Operations and Maintenance Expense</t>
  </si>
  <si>
    <t>Calculation of Revenue Credits</t>
  </si>
  <si>
    <t>Calculation of Regulatory Assets/Liabilities and Regulatory Debits</t>
  </si>
  <si>
    <t>Calculation of Composite Tax Rate</t>
  </si>
  <si>
    <t>Calculation of Franchise Fees Factor and Uncollectibles Expense Factor</t>
  </si>
  <si>
    <t>Calculation of components of SCE's Wholesale TRR</t>
  </si>
  <si>
    <t>Calculation of High and Low Voltage percentages of Gross Plant</t>
  </si>
  <si>
    <t>Presentation of forecast Gross Load for wholesale rate calculations</t>
  </si>
  <si>
    <t>Calculation of retail transmission rates</t>
  </si>
  <si>
    <t xml:space="preserve">Calculation of Materials and Supplies and Prepayments </t>
  </si>
  <si>
    <t>Gain negative, loss positive</t>
  </si>
  <si>
    <t>Partial Year</t>
  </si>
  <si>
    <t>Net Gain (Loss) From Purchase and Tender Offers</t>
  </si>
  <si>
    <t>Amortization of Net Gain (Loss)  From Purchases and Tender Offers</t>
  </si>
  <si>
    <t>Amortization Issuance Costs</t>
  </si>
  <si>
    <t>Retail Base TRR:</t>
  </si>
  <si>
    <t>1) Derivation of "Total Demand Rate" and "Total Energy Rate":</t>
  </si>
  <si>
    <t>Note 3</t>
  </si>
  <si>
    <t>CPUC Rate Group</t>
  </si>
  <si>
    <t>12-CP factors</t>
  </si>
  <si>
    <t>Total Allocated costs</t>
  </si>
  <si>
    <t>1d</t>
  </si>
  <si>
    <t>1e</t>
  </si>
  <si>
    <t>1f</t>
  </si>
  <si>
    <t>1g</t>
  </si>
  <si>
    <t>1h</t>
  </si>
  <si>
    <t>1i</t>
  </si>
  <si>
    <t>1j</t>
  </si>
  <si>
    <t>1k</t>
  </si>
  <si>
    <t>1l</t>
  </si>
  <si>
    <t>1m</t>
  </si>
  <si>
    <t>1n</t>
  </si>
  <si>
    <t>Note 4</t>
  </si>
  <si>
    <t>1o</t>
  </si>
  <si>
    <t>Note 5</t>
  </si>
  <si>
    <t>Note 6</t>
  </si>
  <si>
    <t>Note 7</t>
  </si>
  <si>
    <t>13a</t>
  </si>
  <si>
    <t>Note 8</t>
  </si>
  <si>
    <t>Note 9</t>
  </si>
  <si>
    <t>Note 10</t>
  </si>
  <si>
    <t>Note 11</t>
  </si>
  <si>
    <t>Energy Charge - $/kWh</t>
  </si>
  <si>
    <t>Rate Schedules in each CPUC Rate Group:</t>
  </si>
  <si>
    <t>Rate Schedules included in Each Rate Group in the Rate Effective Period</t>
  </si>
  <si>
    <t>Recorded 12-CP Load Data by Rate Group (MW)</t>
  </si>
  <si>
    <t>Line losses</t>
  </si>
  <si>
    <t>28e</t>
  </si>
  <si>
    <t>28f</t>
  </si>
  <si>
    <t>Calculation of Plant Held for Future Use</t>
  </si>
  <si>
    <t>Plant In Service</t>
  </si>
  <si>
    <t>13-Mo. Avg:</t>
  </si>
  <si>
    <t>Sum C2 - C4</t>
  </si>
  <si>
    <t>Average:</t>
  </si>
  <si>
    <t>G&amp;I Plant</t>
  </si>
  <si>
    <t>121 FERC ¶ 61,168 at 129; modified by ER10-160 Settlement, see</t>
  </si>
  <si>
    <t xml:space="preserve"> P 7 and P 11</t>
  </si>
  <si>
    <t>P2 and P3</t>
  </si>
  <si>
    <t>P 3 and P 7</t>
  </si>
  <si>
    <t>c) Any refunds attributable to SCE's previous CWIP TRR cases (Docket Nos. ER08-375, ER09-187, ER10-160, and ER11-1952), not previously returned to customers.</t>
  </si>
  <si>
    <t>Calculation of Network Upgrade Credits and Network Upgrade Interest Expense</t>
  </si>
  <si>
    <t>Forecast Additions to Net Plant</t>
  </si>
  <si>
    <t>Calculation of SCE's Wholesale transmission rates</t>
  </si>
  <si>
    <t>Towers and Fixtures</t>
  </si>
  <si>
    <t xml:space="preserve">1) Upon Commission approval of any incentives for additional projects, add additional projects and provide cite to the </t>
  </si>
  <si>
    <t>General + Elec. Misc. Intangible Plant</t>
  </si>
  <si>
    <t>Late Payment Charge- Comm. &amp; Ind.</t>
  </si>
  <si>
    <t>HV Transmission Lines</t>
  </si>
  <si>
    <t>Schedule</t>
  </si>
  <si>
    <t>TRANSMISSION PLANT HELD FOR FUTURE USE</t>
  </si>
  <si>
    <t>Partial Year TRR Attribution Allocation Factors:</t>
  </si>
  <si>
    <t>3) The True Up Adjustment is a component of the Base TRR that reflects the difference between projected and</t>
  </si>
  <si>
    <t>Initial Prior Year?:</t>
  </si>
  <si>
    <t>If Initial Prior Year, enter "Yes", else "No"</t>
  </si>
  <si>
    <t>Any gain or loss on non-land portions of Transmission Plant Held for Future Use is not included.</t>
  </si>
  <si>
    <t>list on lines 2a, 2b, etc.  Provide description in Column 1.  Note type of plant (land or other) in Column 2.</t>
  </si>
  <si>
    <t>Under "Source" (Column 5), state the line number on FERC Form 1 page 214 from which the amount is derived.</t>
  </si>
  <si>
    <t xml:space="preserve">3) Add additional lines 2 i, j, k, etc. as necessary to include additional projects intended to be placed under the </t>
  </si>
  <si>
    <t>121 FERC ¶ 61,168 at P 57</t>
  </si>
  <si>
    <t>121 FERC ¶ 61,168 at P 129</t>
  </si>
  <si>
    <t>121 FERC ¶ 61,168 at P 71</t>
  </si>
  <si>
    <t>121 FERC ¶ 61,168 at P 57; modified by ER10-160 Settlement, see</t>
  </si>
  <si>
    <t xml:space="preserve">121 FERC ¶ 61,168 at P 129; modified by ER10-160 Settlement, see </t>
  </si>
  <si>
    <t>129 FERC ¶ 61,246 at P 55, and 133 FERC ¶ 61,108 at P 92</t>
  </si>
  <si>
    <t>133 FERC ¶ 61,108 at P 98</t>
  </si>
  <si>
    <t>129 FERC ¶ 61,246 at PP 68-69, and 133 FERC ¶ 61,108 at PP 85-86</t>
  </si>
  <si>
    <t>133 FERC ¶ 61,107 at P 76</t>
  </si>
  <si>
    <t>133 FERC ¶ 61,107 at P 102</t>
  </si>
  <si>
    <t>133 FERC ¶ 61,107 at P 88</t>
  </si>
  <si>
    <t>134 FERC ¶ 61,181 at P 79</t>
  </si>
  <si>
    <t>See Note 2.</t>
  </si>
  <si>
    <t>General</t>
  </si>
  <si>
    <t>Intangible</t>
  </si>
  <si>
    <t>FF1 206.99.b and 204.5b</t>
  </si>
  <si>
    <t>b) EOY G&amp;I Plant</t>
  </si>
  <si>
    <t xml:space="preserve">a) BOY/EOY Average G&amp;I Plant </t>
  </si>
  <si>
    <t>FF1 page 214.47d</t>
  </si>
  <si>
    <t>1) Amount of Line 1 not intended to be placed under the Operational Control of the ISO.</t>
  </si>
  <si>
    <t xml:space="preserve">Accumulated Deferred Income Taxes </t>
  </si>
  <si>
    <t>Reason</t>
  </si>
  <si>
    <t>FF1 277.19k</t>
  </si>
  <si>
    <t>Account 282</t>
  </si>
  <si>
    <t>Account 283</t>
  </si>
  <si>
    <t>Account 190</t>
  </si>
  <si>
    <t>FF1 234.18c</t>
  </si>
  <si>
    <t>Effective State</t>
  </si>
  <si>
    <t>Tax Rate</t>
  </si>
  <si>
    <t>Ratio of SCE</t>
  </si>
  <si>
    <t>Sum C2 - C11</t>
  </si>
  <si>
    <t>Total Distribution</t>
  </si>
  <si>
    <t>FF1 113.56d</t>
  </si>
  <si>
    <t>1) Latest SCE approved sales forecast as of April 15 of each year.</t>
  </si>
  <si>
    <t>2) SCE pump load forecast as of April 15 of each year.</t>
  </si>
  <si>
    <t>1) Prior Year CWIP, Total and by Project</t>
  </si>
  <si>
    <t>Def Operating Land &amp; Facilities Rent Rev</t>
  </si>
  <si>
    <t>FF-1 Total for Account 456.1 - Revenues from Trans. Of Electricity of Others, p300.22b (Must Equal Line 16)</t>
  </si>
  <si>
    <t>FF-1 Total for Acct 450 - Forfeited Discounts, p300.16b (Must Equal Line 2)
(Must Equal Line X)</t>
  </si>
  <si>
    <t>FF-1 Total for Acct 451 - Misc. Service Revenues, p300.17b 
(Must Equal Line 5)</t>
  </si>
  <si>
    <t>FF-1 Total for Acct 453 - Sales of Water and Power, p300.18b
(Must Equal Line 8)</t>
  </si>
  <si>
    <t>FF-1 Total for Acct 454 - Rent from Elec. Property, p300.19b
(Must Equal Line 11)</t>
  </si>
  <si>
    <t>FF-1 Total for Acct 456 - Other electric Revenues, p300.21b
(Must Equal Line 13)</t>
  </si>
  <si>
    <t>FF-1 Total for Account 457.1 - Regional Control Service Revenues, p300.23b (Must Equal Line 19)</t>
  </si>
  <si>
    <t>FF-1 Total for Account 457.2- Miscellaneous Revenues, p300.24b 
(Must Equal Line 22)</t>
  </si>
  <si>
    <t>FF-1 Total for Account 418.1 -Equity in Earnings of Subsidiary Companies, p117.36c (Must Equal Line 29 + 30)</t>
  </si>
  <si>
    <t>FF-1 Total for Account 417 - Revenues From Nonutility Operations  p117.33c (Must Equal Line 25 + 26)</t>
  </si>
  <si>
    <t>Calculation of the Contribution of CWIP to the Base TRR</t>
  </si>
  <si>
    <t>Cost of Capital Rate:</t>
  </si>
  <si>
    <t>Return:</t>
  </si>
  <si>
    <t>ROE Adder %:</t>
  </si>
  <si>
    <t>ROE Adder Tehachapi:</t>
  </si>
  <si>
    <t>ROE Adder DCR:</t>
  </si>
  <si>
    <t>FF Factor:</t>
  </si>
  <si>
    <t>U Factor:</t>
  </si>
  <si>
    <t>2) Summary of Prior Year Incentive Rate Base amounts (EOY Values)</t>
  </si>
  <si>
    <t>d) ROE Incentives:</t>
  </si>
  <si>
    <t>2) Devers to Colorado River</t>
  </si>
  <si>
    <t>2) Contribution from the Incremental Forecast Period TRR</t>
  </si>
  <si>
    <t>b) Return:</t>
  </si>
  <si>
    <t>Tehachapi:</t>
  </si>
  <si>
    <t>Devers to Colorado River:</t>
  </si>
  <si>
    <t>Eldorado Ivanpah:</t>
  </si>
  <si>
    <t>Lugo-Pisgah:</t>
  </si>
  <si>
    <t>Red Bluff:</t>
  </si>
  <si>
    <t>Whirlwind Sub Expansion:</t>
  </si>
  <si>
    <t>Colorado River Sub Expansion:</t>
  </si>
  <si>
    <t>South of Kramer:</t>
  </si>
  <si>
    <t>West of Devers:</t>
  </si>
  <si>
    <t>PY Total Return, Taxes, Incentive:</t>
  </si>
  <si>
    <t>Total without FF&amp;U:</t>
  </si>
  <si>
    <t>Total Contribution of CWIP to Retail Base TRR:</t>
  </si>
  <si>
    <t>Transmission Revenues: (Note 12)</t>
  </si>
  <si>
    <t>13) Only include Base Transmission Revenue attributable to this formula transmission rate.</t>
  </si>
  <si>
    <t>14) Other Transmission Revenue includes the following:</t>
  </si>
  <si>
    <t>12) Only provide if formula was in effect during Prior Year.</t>
  </si>
  <si>
    <t>See Note 14</t>
  </si>
  <si>
    <t>Operations and Maintenance Expenses</t>
  </si>
  <si>
    <t>1) Determination of Adjusted Operations and Maintenance Expenses for each account (Note 1)</t>
  </si>
  <si>
    <t>= C3 + C4</t>
  </si>
  <si>
    <t>= C7 + C8</t>
  </si>
  <si>
    <t>= C10 + C11</t>
  </si>
  <si>
    <t>= C3 + C7</t>
  </si>
  <si>
    <t>= C4 + C8</t>
  </si>
  <si>
    <t>Account/Work Activity  Rev</t>
  </si>
  <si>
    <t>Total Recorded O&amp;M Expenses</t>
  </si>
  <si>
    <t>Adjustments</t>
  </si>
  <si>
    <t>Adjusted Recorded O&amp;M Expenses</t>
  </si>
  <si>
    <t>Labor</t>
  </si>
  <si>
    <t>Non-Labor</t>
  </si>
  <si>
    <t>Transmission Accounts</t>
  </si>
  <si>
    <t>560 - Operations Engineering</t>
  </si>
  <si>
    <t>560 - Sylmar/Palo Verde</t>
  </si>
  <si>
    <t>561.000 Load Dispatching</t>
  </si>
  <si>
    <t>561.100 Load Dispatch-Reliability</t>
  </si>
  <si>
    <t>561.200 Load Dispatch Monitor and Operate Trans. System</t>
  </si>
  <si>
    <t>561.400 Scheduling, System Control and Dispatch Services</t>
  </si>
  <si>
    <t>561.500 Reliability, Planning and Standards Development</t>
  </si>
  <si>
    <t>562 - MOGS Station Expense</t>
  </si>
  <si>
    <t>562 - Operating Transmission Stations</t>
  </si>
  <si>
    <t>562 - Routine Testing and Inspection</t>
  </si>
  <si>
    <t>562 - Sylmar/Palo Verde</t>
  </si>
  <si>
    <t>563 - Inspect and Patrol Line</t>
  </si>
  <si>
    <t>564 - Underground Line Expense</t>
  </si>
  <si>
    <t>565 - Wheeling Costs</t>
  </si>
  <si>
    <t>565 - WAPA Transmission for Remote Service</t>
  </si>
  <si>
    <t>565 - Transmission for Four Corners</t>
  </si>
  <si>
    <t>566 - ISO/RSBA/TSP Balancing Accounts</t>
  </si>
  <si>
    <t>566 - NERC/CIP Compliance</t>
  </si>
  <si>
    <t>566 - Transmission Regulatory Policy</t>
  </si>
  <si>
    <t>566 - FERC Regulation &amp; Contracts</t>
  </si>
  <si>
    <t>566 - Grid Contract Management</t>
  </si>
  <si>
    <t>566 - Sylmar/Palo Verde/Other General Functions</t>
  </si>
  <si>
    <t>567 - Line Rents</t>
  </si>
  <si>
    <t>567 - Morongo Lease</t>
  </si>
  <si>
    <t>567 - Eldorado</t>
  </si>
  <si>
    <t>567 - Sylmar/Palo Verde</t>
  </si>
  <si>
    <t>568 - Maintenance Supervision and Engineering</t>
  </si>
  <si>
    <t>568 - Sylmar/Palo Verde</t>
  </si>
  <si>
    <t>569 - Maintenance of Structures</t>
  </si>
  <si>
    <t>569 - Sylmar/Palo Verde</t>
  </si>
  <si>
    <t>570 - Maintenance of Power Transformers</t>
  </si>
  <si>
    <t>570 - Maintenance of Transmission Circuit Breakers</t>
  </si>
  <si>
    <t>570 - Maintenance of Transmission Voltage Equipment</t>
  </si>
  <si>
    <t>570 - Maintenance of Miscellaneous Transmission Equipment</t>
  </si>
  <si>
    <t>570 - Sylmar/Palo Verde</t>
  </si>
  <si>
    <t>571 - Poles and Structures</t>
  </si>
  <si>
    <t>571 - Insulators and Conductors</t>
  </si>
  <si>
    <t xml:space="preserve">571 - Transmission Line Rights of Way </t>
  </si>
  <si>
    <t>571 - Sylmar/Palo Verde</t>
  </si>
  <si>
    <t>572 - Maintenance of Underground Transmission Lines</t>
  </si>
  <si>
    <t>572 - Sylmar/Palo Verde</t>
  </si>
  <si>
    <t>573 - Provision for Property Damage Expense to Trans. Fac.</t>
  </si>
  <si>
    <t>Total Transmission O&amp;M</t>
  </si>
  <si>
    <t>Distribution Accounts</t>
  </si>
  <si>
    <t>582 - Operation and Relay Protection of Distribution Substations</t>
  </si>
  <si>
    <t>582 - Testing and Inspecting Distribution Substation Equipment</t>
  </si>
  <si>
    <t>590 - Maintenance Supervision and Engineering</t>
  </si>
  <si>
    <t>591 - Maintenance of Structures</t>
  </si>
  <si>
    <t>592 - Maintenance of Distribution Transformers</t>
  </si>
  <si>
    <t>592 - Maintenance of Distribution Circuit Breakers</t>
  </si>
  <si>
    <t>592 - Maintenance of Distribution Voltage Control Equipment</t>
  </si>
  <si>
    <t>592 - Maintenance of Miscellaneous Distribution Equipment</t>
  </si>
  <si>
    <t>Accounts with no ISO Distribution Costs</t>
  </si>
  <si>
    <t>Total Distribution O&amp;M</t>
  </si>
  <si>
    <t>Total Transmission and Distribution O&amp;M</t>
  </si>
  <si>
    <t>Total Transmission O&amp;M Expenses in FERC Form 1:</t>
  </si>
  <si>
    <t>FF1 321.112b</t>
  </si>
  <si>
    <t>Total Distribution O&amp;M Expenses in FERC Form 1:</t>
  </si>
  <si>
    <t>FF1322.156b</t>
  </si>
  <si>
    <t>From C9 above</t>
  </si>
  <si>
    <t>From C10 above</t>
  </si>
  <si>
    <t>From C11 above</t>
  </si>
  <si>
    <t>ISO O&amp;M Expenses</t>
  </si>
  <si>
    <t>Total Transmission - ISO O&amp;M</t>
  </si>
  <si>
    <t>Total Distribution - ISO O&amp;M</t>
  </si>
  <si>
    <t>1) "Adjusted Operations and Maintenance Expenses for each account" are the total amounts of O&amp;M costs booked to each Transmission or Distribution account, less adjustments as noted.</t>
  </si>
  <si>
    <t>2) Reasons for excluded amounts:</t>
  </si>
  <si>
    <t>A: Exclude entire amount, all attributable to CAISO costs recovered in Energy Resource Recovery Account.</t>
  </si>
  <si>
    <t>B: Exclude amount related to MOGS Station Expense.</t>
  </si>
  <si>
    <t>C: Exclude amount attributable to CAISO costs recovered in Energy Resource Recovery Account.</t>
  </si>
  <si>
    <t>D: Exclude amount recovered through to Reliability Services Balancing Account, the Transmission Access Charge Balancing Account Adjustment,</t>
  </si>
  <si>
    <t>3) Input most recent available ratios based on</t>
  </si>
  <si>
    <t xml:space="preserve">      taxable income from state return filings.</t>
  </si>
  <si>
    <t>Remaining Electric Payroll Tax Expense to Allocate</t>
  </si>
  <si>
    <t>BOY:</t>
  </si>
  <si>
    <t>EOY:</t>
  </si>
  <si>
    <t>BOY/EOY Average:</t>
  </si>
  <si>
    <t xml:space="preserve">Depreciation </t>
  </si>
  <si>
    <t>Reserve</t>
  </si>
  <si>
    <t>a) Average BOY/EOY General and Intangible Depreciation Reserve</t>
  </si>
  <si>
    <t>Total G+I Dep. Reserve on Average BOY/EOY basis:</t>
  </si>
  <si>
    <t>G + I Plant Dep. Reserve (BOY/EOY Average):</t>
  </si>
  <si>
    <t>Total G+I Dep. Reserve on Average EOY basis:</t>
  </si>
  <si>
    <t>G + I Plant Dep. Reserve (EOY):</t>
  </si>
  <si>
    <t>Calculation of Wholesale Difference to the Base TRR</t>
  </si>
  <si>
    <t xml:space="preserve">The Wholesale Difference to the Base TRR represents the amount by which the Wholesale Base TRR differs as </t>
  </si>
  <si>
    <t>If the annual amortization affects Income Taxes, there is an additional annual Income Tax Effect.  The table</t>
  </si>
  <si>
    <t>summarizes these impacts for each item:</t>
  </si>
  <si>
    <t xml:space="preserve">Expense </t>
  </si>
  <si>
    <t>(Amortization)</t>
  </si>
  <si>
    <t>Tax Impact</t>
  </si>
  <si>
    <t>a) Depreciation</t>
  </si>
  <si>
    <t>b) Taxes Deferred -Make Up Adjustment (South Georgia)</t>
  </si>
  <si>
    <t>d) Taxes Deferred - Acct. 282 ACRS/MACRS</t>
  </si>
  <si>
    <t>e) Uncollectibles Expense</t>
  </si>
  <si>
    <t>1) Calculation of Wholesale Rate Base Difference and Wholesale Rate Base Adjustment</t>
  </si>
  <si>
    <t>a) Quantification of the Initial 2010 Wholesale Rate Base Difference and annual change</t>
  </si>
  <si>
    <t>The difference between Retail and Wholesale Rate Base is attributable to the following four items, with</t>
  </si>
  <si>
    <t>with the Initial Prior Year 2010 Rate Base differences and annual changes as follows:</t>
  </si>
  <si>
    <t>2010 Rate Base</t>
  </si>
  <si>
    <t>Annual</t>
  </si>
  <si>
    <t>(Wholesale</t>
  </si>
  <si>
    <t>Change</t>
  </si>
  <si>
    <t>less Retail)</t>
  </si>
  <si>
    <t>1) Accumulated Depreciation</t>
  </si>
  <si>
    <t>Fixed values</t>
  </si>
  <si>
    <t>2) Taxes Deferred - Make Up Adjustment</t>
  </si>
  <si>
    <t>4) Taxes Deferred - Acct. 282 ACRS/MACRS</t>
  </si>
  <si>
    <t>b) Quantification of the Wholesale Rate Base Adjustment</t>
  </si>
  <si>
    <t>the Wholesale Rate Base Difference for the Prior Year.</t>
  </si>
  <si>
    <t>Notes/Instructions</t>
  </si>
  <si>
    <t>Fixed Charge Rate</t>
  </si>
  <si>
    <t>Wholesale Rate Base Difference for Prior Year</t>
  </si>
  <si>
    <t>Wholesale Rate Base Adjustment</t>
  </si>
  <si>
    <t>a) Calculation of the Wholesale South Georgia Income Tax Adjustment to the TRR</t>
  </si>
  <si>
    <t>South Georgia Amortization</t>
  </si>
  <si>
    <t>Total Expense Difference:</t>
  </si>
  <si>
    <t>3) Calculation of the Wholesale Difference to the Base TRR</t>
  </si>
  <si>
    <t>Expense Difference</t>
  </si>
  <si>
    <t>Wholesale Difference to the Base TRR:</t>
  </si>
  <si>
    <t>Notes/Instructions:</t>
  </si>
  <si>
    <t>1) Fixed Charge Rate of capital and income tax costs associated with $1 of Rate Base</t>
  </si>
  <si>
    <t>is defined elsewhere in this formula as "AFCRCWIP".</t>
  </si>
  <si>
    <t>WholesaleDifference</t>
  </si>
  <si>
    <t>Calculation of the Wholesale Difference to the Base TRR</t>
  </si>
  <si>
    <t>Franchise Fee Exclusion</t>
  </si>
  <si>
    <t>Wholesale Difference to the Base TRR</t>
  </si>
  <si>
    <t xml:space="preserve">Base TRR (Retail) </t>
  </si>
  <si>
    <t>Amount to apply the Transmission W&amp;S AF:</t>
  </si>
  <si>
    <t>Transmission W&amp;S AF Portion of A&amp;G:</t>
  </si>
  <si>
    <t>Department</t>
  </si>
  <si>
    <t>A&amp;G</t>
  </si>
  <si>
    <t>Trans. And Dist. Business Unit</t>
  </si>
  <si>
    <t>Total Amount</t>
  </si>
  <si>
    <t>2) Determination of ISO Operations and Maintenance Expenses for each account (Note 5).</t>
  </si>
  <si>
    <t>Joint Pole - Aud - Unauth Penalty</t>
  </si>
  <si>
    <t>Microwave Agreement</t>
  </si>
  <si>
    <t>Miscellaneous Adjustments</t>
  </si>
  <si>
    <t>-</t>
  </si>
  <si>
    <t>Tax Gross Up Factor</t>
  </si>
  <si>
    <t>It represents the effect on expenses (Wholesale less Retail) of amortizing the associated balances each year.</t>
  </si>
  <si>
    <t>CALCULATION OF SCE WHOLESALE HIGH AND LOW VOLTAGE TRRS</t>
  </si>
  <si>
    <t>Gross Load =</t>
  </si>
  <si>
    <t>LV TRR =</t>
  </si>
  <si>
    <t>Low Voltage Access Charge =</t>
  </si>
  <si>
    <t>Low Voltage Wheeling Access Charge =</t>
  </si>
  <si>
    <t>High Voltage Utility-Specific Rate =</t>
  </si>
  <si>
    <t>HV Wholesale TRR =</t>
  </si>
  <si>
    <t>Sum of Monthly Peak Demands:</t>
  </si>
  <si>
    <t>HV Existing Contracts Access Charge:</t>
  </si>
  <si>
    <t>LV Wholesale TRR =</t>
  </si>
  <si>
    <t>LV Existing Contracts Access Charge:</t>
  </si>
  <si>
    <t>a) CWIP Balances:</t>
  </si>
  <si>
    <t>CWIP Amount:</t>
  </si>
  <si>
    <t>Cost of Capital:</t>
  </si>
  <si>
    <t>Equity ROR w Preferred Stock ("ER"):</t>
  </si>
  <si>
    <t>Tehachapi CWIP Amount:</t>
  </si>
  <si>
    <t>ROE  Adder $:</t>
  </si>
  <si>
    <t>ROE Adder $ = (CWIP/$1,000,000) * IREF * (ROE Adder/1%)</t>
  </si>
  <si>
    <t>PYTRR</t>
  </si>
  <si>
    <t>1) Contribution to the Prior Year TRR</t>
  </si>
  <si>
    <t>Cost of</t>
  </si>
  <si>
    <t>Income</t>
  </si>
  <si>
    <t>Capital</t>
  </si>
  <si>
    <t>Taxes</t>
  </si>
  <si>
    <t>a) Total of all CWIP projects</t>
  </si>
  <si>
    <t>b) Individual Project Contribution</t>
  </si>
  <si>
    <t>b) Individual CWIP Project Contribution to the Retail Base TRR</t>
  </si>
  <si>
    <t>FF&amp;U</t>
  </si>
  <si>
    <t>Direct CWIP Related Costs:</t>
  </si>
  <si>
    <t>Calculation of SCE Wholesale Rates (See Note 1)</t>
  </si>
  <si>
    <t>1) SCE's wholesale rates are subject to revision upon acceptance by the Commission of a revised TRBAA</t>
  </si>
  <si>
    <t xml:space="preserve">1) TRBAA is "Transmission Revenue Balancing Account Adjustment".  The TRBAA is determined pursuant to SCE's </t>
  </si>
  <si>
    <t>amount, or upon the date the Commission orders.</t>
  </si>
  <si>
    <t>Determination of Prior Year TRR without CWIP related costs:</t>
  </si>
  <si>
    <t>a) Determination of CWIP-Related Costs</t>
  </si>
  <si>
    <t>1) Direct (without ROE adder) CWIP costs</t>
  </si>
  <si>
    <t>2) CWIP ROE Adder costs:</t>
  </si>
  <si>
    <t>DCR CWIP Amount:</t>
  </si>
  <si>
    <t>Tehachapi ROE  Adder $:</t>
  </si>
  <si>
    <t>Tehachapi ROE Adder %:</t>
  </si>
  <si>
    <t>DCR ROE Adder %:</t>
  </si>
  <si>
    <t>DCR ROE  Adder $:</t>
  </si>
  <si>
    <t>IREF:</t>
  </si>
  <si>
    <t>b) Determination of AFCR:</t>
  </si>
  <si>
    <t>CWIPTRR</t>
  </si>
  <si>
    <t>Calculation of Contribution of CWIP to TRRs</t>
  </si>
  <si>
    <t>Overview of SCE Retail Base TRR</t>
  </si>
  <si>
    <r>
      <t xml:space="preserve">Row </t>
    </r>
    <r>
      <rPr>
        <u/>
        <sz val="10"/>
        <rFont val="Arial"/>
        <family val="2"/>
      </rPr>
      <t>8</t>
    </r>
    <r>
      <rPr>
        <sz val="10"/>
        <rFont val="Arial"/>
        <family val="2"/>
      </rPr>
      <t>, Column i</t>
    </r>
  </si>
  <si>
    <r>
      <t xml:space="preserve">Row </t>
    </r>
    <r>
      <rPr>
        <u/>
        <sz val="10"/>
        <rFont val="Arial"/>
        <family val="2"/>
      </rPr>
      <t>9</t>
    </r>
    <r>
      <rPr>
        <sz val="10"/>
        <rFont val="Arial"/>
        <family val="2"/>
      </rPr>
      <t>, Column i</t>
    </r>
  </si>
  <si>
    <t>3) The True Up Adjustment for the initial Base TRR is $0.</t>
  </si>
  <si>
    <t xml:space="preserve">1) Depreciation Expense for each account for each month is equal to the previous month balance of Transmission Plant - ISO for that </t>
  </si>
  <si>
    <t>2) Enter total amounts of plant from FERC Form 1 in Column 1, "Total Plant".</t>
  </si>
  <si>
    <t xml:space="preserve">1) Determine Prior Year Incentive Adder for each Incentive Project by multiplying the </t>
  </si>
  <si>
    <t>Forecast Plant Additions for In-Service ISO Transmission Plant</t>
  </si>
  <si>
    <t xml:space="preserve">Forecast Plant Additions represents the total increase in ISO Transmission Net Plant, not including CWIP, </t>
  </si>
  <si>
    <t>AFCRCWIP represents the return and income tax costs associated with $1 of CWIP,</t>
  </si>
  <si>
    <t>CWIP Plant - Prior Year:</t>
  </si>
  <si>
    <t>Prior Year TRR wo CWIP Related Costs:</t>
  </si>
  <si>
    <t>Percent</t>
  </si>
  <si>
    <t>Percentage</t>
  </si>
  <si>
    <t xml:space="preserve">the formula shall be weighted by the number of days each such rate was in effect.  For example, a 35% rate </t>
  </si>
  <si>
    <t xml:space="preserve"> ((.3500 x 120) + (.4000 x 245))/365 = .3836.</t>
  </si>
  <si>
    <t xml:space="preserve">in effect for 120 days superseded by a 40% rate in effect for the remainder of the year will be calculated as: </t>
  </si>
  <si>
    <t>1) In the event that statutory marginal tax rates change during the Prior Year, the effective tax rate used in</t>
  </si>
  <si>
    <t>Summary of Split of T&amp;D Plant into ISO and Non-ISO</t>
  </si>
  <si>
    <t>Total without FF&amp;U</t>
  </si>
  <si>
    <t>IFPTRR without FF&amp;U:</t>
  </si>
  <si>
    <t>Franchise Fees Expense:</t>
  </si>
  <si>
    <t>Uncollectibles Expense:</t>
  </si>
  <si>
    <t>Uncollectibles Expense -- Prior Year TRR</t>
  </si>
  <si>
    <t>Uncollectibles Expense -- IFPTRR</t>
  </si>
  <si>
    <t>FF&amp;U:</t>
  </si>
  <si>
    <t>CWIP component of IFPTRR without FF&amp;U:</t>
  </si>
  <si>
    <t>CWIP component of IFPTRR including FF&amp;U:</t>
  </si>
  <si>
    <t xml:space="preserve">Note 4: </t>
  </si>
  <si>
    <t>Franchise Fees Expenses component of the Prior Year TRR are based on Franchise Fee Factors.</t>
  </si>
  <si>
    <t>State Taxable</t>
  </si>
  <si>
    <t>Income to SCE</t>
  </si>
  <si>
    <t>Taxable Income</t>
  </si>
  <si>
    <t>FF</t>
  </si>
  <si>
    <t>= Sum C1 to C4</t>
  </si>
  <si>
    <t>FF&amp;U Expenses:</t>
  </si>
  <si>
    <t>CWIP Related Costs wo FF&amp;U:</t>
  </si>
  <si>
    <t>CWIP Related Costs with FF&amp;U:</t>
  </si>
  <si>
    <t>Applies to kWh charges</t>
  </si>
  <si>
    <t>12-CP MW</t>
  </si>
  <si>
    <t>Loss Adjusted Average 12-CP</t>
  </si>
  <si>
    <t>Allocation Factors for Backup Rates:</t>
  </si>
  <si>
    <t>siting, or informational purposes in column 1.</t>
  </si>
  <si>
    <t>4) Calculation of True-Up Incentive Adder</t>
  </si>
  <si>
    <t xml:space="preserve">1) Determine True Up Incentive Adder for each Incentive Project by multiplying the </t>
  </si>
  <si>
    <t>True-Up Incentive Adder =</t>
  </si>
  <si>
    <t>True Up Incentive Adder</t>
  </si>
  <si>
    <t xml:space="preserve">(HV Allocation Factor and </t>
  </si>
  <si>
    <t>571 - Transmission Work Order Related Expense</t>
  </si>
  <si>
    <t>Unamortized Issuance Costs</t>
  </si>
  <si>
    <t>Minus Net Gain (Loss) From Purchase and Tender Offers</t>
  </si>
  <si>
    <t>Less Unappropriated Undist. Sub. Earnings -- Acct. 216.1</t>
  </si>
  <si>
    <t>Less Accumulated Other Comprehensive Loss -- Account 219</t>
  </si>
  <si>
    <t>Calculation of Preferred Stock Amount</t>
  </si>
  <si>
    <t>Calculation of Cost of Preferred Stock</t>
  </si>
  <si>
    <t>June</t>
  </si>
  <si>
    <t>Col 13</t>
  </si>
  <si>
    <t>Col 14</t>
  </si>
  <si>
    <t>Sales Forecast - GWh</t>
  </si>
  <si>
    <t>= C2 + C3</t>
  </si>
  <si>
    <t>IREF = CSCP * 0.01 * (1/(1 - CTR)) * $1,000,000</t>
  </si>
  <si>
    <t>CPUC Jurisdictional service related.</t>
  </si>
  <si>
    <t>CWIP component of IFPTRR wo FF&amp;U:</t>
  </si>
  <si>
    <t>c) Individual CWIP Project Contribution to the Wholesale Base TRR</t>
  </si>
  <si>
    <t>wo FF&amp;U</t>
  </si>
  <si>
    <t>with FF&amp;U</t>
  </si>
  <si>
    <t>6) Same as Note 5 except no Uncollectibles Expense in Column 3.</t>
  </si>
  <si>
    <t>Total Contribution of CWIP to Wholesale Base TRR:</t>
  </si>
  <si>
    <t>Franchise Fees Amount:</t>
  </si>
  <si>
    <t>Uncollectibles Amount:</t>
  </si>
  <si>
    <t>3) Total Contribution of CWIP to the Retail and Wholesale Base TRRs:</t>
  </si>
  <si>
    <t>A) Rate Base for True Up TRR</t>
  </si>
  <si>
    <t>Total without True Up Incentive Adder</t>
  </si>
  <si>
    <t>True Up TRR wo FF:</t>
  </si>
  <si>
    <t>True Up TRR:</t>
  </si>
  <si>
    <t>a) Attribute True Up TRR to months in the Prior Year (see Note #1) to determine "Monthly True Up TRR"</t>
  </si>
  <si>
    <t>b) Determine monthly retail transmission revenues attributable to this formula transmission rate received during Prior Year.</t>
  </si>
  <si>
    <t>2) Comparison of True Up TRR and Actual Retail Transmission Revenues received during the Prior Year,</t>
  </si>
  <si>
    <t>1) The true up period is the portion (all or part) of the Prior Year for which the Formula Transmission Rate was in effect.</t>
  </si>
  <si>
    <t>2) The Monthly True Up TRR is derived by multiplying the annual True Up TRR on Line 1 by 1/12, if formula was in effect.  In the event of</t>
  </si>
  <si>
    <t xml:space="preserve">b) In the event that a Commission Order revises SCE's True Up TRR for a previous Prior Year, </t>
  </si>
  <si>
    <t xml:space="preserve">8) If true up period is less than entire calendar year, then adjust calculation accordingly by including $0 Monthly True Up TRR and for </t>
  </si>
  <si>
    <t>TUTRR</t>
  </si>
  <si>
    <t>Calculation of the True Up TRR</t>
  </si>
  <si>
    <t>2) Prior Year Incentive Rate Base - End of Year</t>
  </si>
  <si>
    <t>3) Prior Year Incentive Rate Base - 13-Month Average</t>
  </si>
  <si>
    <t>3) Summary of Prior Year Incentive Rate Base amounts (13-Month Average values)</t>
  </si>
  <si>
    <t>a) CWIP Plant during the Prior Year is included in Rate Base (used in Prior Year TRR and True Up TRR).</t>
  </si>
  <si>
    <t xml:space="preserve">c) CWIP Plant receiving an ROE adder contributes to Prior Year Incentive Rate Base - EOY, </t>
  </si>
  <si>
    <t>or Prior Year Incentive Rate Base - 13 Month Average as appropriate.</t>
  </si>
  <si>
    <t>e) "TIP Net Plant In Service" in PY is used to calculate the Prior Year Incentive Rate Base (on 13-month average basis).</t>
  </si>
  <si>
    <t>d) "TIP Net Plant In Service" at EOY Prior Year is used to calculate the PY Incentive Rate Base (on EOY basis).</t>
  </si>
  <si>
    <t>b) The True Up Incentive Adder is a component of the True Up TRR.</t>
  </si>
  <si>
    <t>IREF, the Multiplicative Factor, and the million $ of True Up Incentive Net Plant.</t>
  </si>
  <si>
    <t>1) CWIP Contribution to the Prior Year TRR and True Up TRR</t>
  </si>
  <si>
    <t>e) Total of Return, Income Taxes, and ROE Incentives contribution to PYTRR and True Up TRR</t>
  </si>
  <si>
    <t>f) Contribution from each Project to the Prior Year TRR and True Up TRR</t>
  </si>
  <si>
    <t>2) Contribution to the True Up TRR</t>
  </si>
  <si>
    <t>CWIP Component of Wholesale Base TRR:</t>
  </si>
  <si>
    <t>Non-CWIP Component of Wholesale Base TRR:</t>
  </si>
  <si>
    <t>Calculation of Total High Voltage and Low Voltage components of Wholesale TRR</t>
  </si>
  <si>
    <t>c) Excess Deferred Taxes</t>
  </si>
  <si>
    <t>3) Excess Deferred Taxes</t>
  </si>
  <si>
    <t>Annual Amort. of "Excess Deferred Taxes":</t>
  </si>
  <si>
    <t>b) Calculation of "Excess Deferred Taxes" Grossed Up for Income Taxes</t>
  </si>
  <si>
    <t>Excess Deferred Taxes Grossed Up for Income Taxes:</t>
  </si>
  <si>
    <t>Non-ISO facilities related.</t>
  </si>
  <si>
    <t>2) Calculation of Wholesale Expense Difference</t>
  </si>
  <si>
    <t>5) Calculation of Total ROE for Plant-In Service in the True Up TRR</t>
  </si>
  <si>
    <t>a) Transmission Incentive Plant Net Plant In Service</t>
  </si>
  <si>
    <t>b) Calculation of ROE Adders on TIP Net Plant In Service</t>
  </si>
  <si>
    <t>After-Tax</t>
  </si>
  <si>
    <t>c) Equity Portion of Plant In Service Rate Base</t>
  </si>
  <si>
    <t>Total Rate Base:</t>
  </si>
  <si>
    <t>CWIP Portion of Rate Base:</t>
  </si>
  <si>
    <t>Plant In Service Rate Base:</t>
  </si>
  <si>
    <t>Equity percentage:</t>
  </si>
  <si>
    <t>Equity Portion of Plant In Service Rate Base:</t>
  </si>
  <si>
    <t>d) Total ROE for Plant In Service in the True Up TRR</t>
  </si>
  <si>
    <t>Plant In Service ROE Adder Percentage:</t>
  </si>
  <si>
    <t>Base ROE (Including 50 basis point</t>
  </si>
  <si>
    <t>CAISO Participation Adder):</t>
  </si>
  <si>
    <t>Total ROE for Plant In Service in True Up TRR:</t>
  </si>
  <si>
    <t>Column 2: The After Tax True Up Incentive Adder is derived by multiplying the amounts in</t>
  </si>
  <si>
    <t>1) Wholesale Depreciation Difference</t>
  </si>
  <si>
    <t>Negative amount is to be returned to customers by SCE (included in Base TRR as a negative amount).</t>
  </si>
  <si>
    <t>11) Interest for Current Month is calculated on average of beginning and end balances (wo interest) in Columns 3 and 5.</t>
  </si>
  <si>
    <t>Balances for Transmission Plant - ISO during the Prior Year, including December of previous year (See Note 1):</t>
  </si>
  <si>
    <t>Transmission Activity Used to Determine Monthly Transmission Plant - ISO Balances</t>
  </si>
  <si>
    <t>1) Total Transmission Activity by Account (See Note 3)</t>
  </si>
  <si>
    <t>4) Calculation of change in Non-Incentive ISO Plant:</t>
  </si>
  <si>
    <t>A) Change in ISO Plant Balance December to December (See Note 6)</t>
  </si>
  <si>
    <t>B) Change in Incentive ISO Plant (See Note 7)</t>
  </si>
  <si>
    <t>C) Change in Non-Incentive ISO Plant (See Note 8)</t>
  </si>
  <si>
    <t>3) General and Intangible Depreciation Reserve</t>
  </si>
  <si>
    <t>Transmission Activity Used to Determine Monthly Transmission Depreciation Reserve - ISO Balances</t>
  </si>
  <si>
    <t>4) Calculation of Other Transmission Activity</t>
  </si>
  <si>
    <t>Balances for Transmission Depreciation Reserve - ISO during the Prior Year, including December of previous year (See Note 1):</t>
  </si>
  <si>
    <t>2) Distribution Depreciation Reserve - ISO (See Note 2)</t>
  </si>
  <si>
    <t>3) Total Transmission Activity by Account represents accumulated depreciation changes for all Transmission plant.</t>
  </si>
  <si>
    <t>2) Depreciation Expense (See Note 4)</t>
  </si>
  <si>
    <t>3) Total Transmission Activity less Depreciation Expense (See Note 5)</t>
  </si>
  <si>
    <t>A) Change in Depreciation Reserve - ISO (See Note 6)</t>
  </si>
  <si>
    <t>B) Total Depreciation Expense (See Note 7)</t>
  </si>
  <si>
    <t>C) Other Activity (See Note 8)</t>
  </si>
  <si>
    <t>5) Other Transmission Activity (See Note 9)</t>
  </si>
  <si>
    <t>5) Total Transmission Activity for Incentive Projects</t>
  </si>
  <si>
    <t>Account 350-359</t>
  </si>
  <si>
    <t>Activity for</t>
  </si>
  <si>
    <t>360-362</t>
  </si>
  <si>
    <t>Projects</t>
  </si>
  <si>
    <t>Activity</t>
  </si>
  <si>
    <t xml:space="preserve">Source </t>
  </si>
  <si>
    <t>6) Calculation of Prior Year Net Plant in Service amounts for each Incentive Project</t>
  </si>
  <si>
    <t>a) Tehachapi</t>
  </si>
  <si>
    <t>Accumulated</t>
  </si>
  <si>
    <t>In-Service</t>
  </si>
  <si>
    <t>b) Rancho Vista</t>
  </si>
  <si>
    <t>c) Devers to Colorado River</t>
  </si>
  <si>
    <t>d) Eldorado Ivanpah</t>
  </si>
  <si>
    <t>e) Lugo Pisgah</t>
  </si>
  <si>
    <t>f) Red Bluff</t>
  </si>
  <si>
    <t>i) South of Kramer</t>
  </si>
  <si>
    <t>j) West of Devers</t>
  </si>
  <si>
    <t>6) Summary of Incentive Projects and incentives granted</t>
  </si>
  <si>
    <t>for each month</t>
  </si>
  <si>
    <t>C1: Sum of below projects</t>
  </si>
  <si>
    <t>1) Summary of Accumulated Deferred Income Taxes</t>
  </si>
  <si>
    <t>a) End of Year Accumulated Deferred Income Taxes</t>
  </si>
  <si>
    <t>Related</t>
  </si>
  <si>
    <t>b) Beginning of Year Accumulated Deferred Income Taxes</t>
  </si>
  <si>
    <t>Total Accumulated Deferred Income Taxes</t>
  </si>
  <si>
    <t>c) Average of Beginning and End of Year Accumulated Deferred Income Taxes</t>
  </si>
  <si>
    <t>Average BOY/EOY ADIT:</t>
  </si>
  <si>
    <t>2) Account 190 Detail</t>
  </si>
  <si>
    <t>END BAL</t>
  </si>
  <si>
    <t>Gas, Generation</t>
  </si>
  <si>
    <t>ACCT 190</t>
  </si>
  <si>
    <t>DESCRIPTION</t>
  </si>
  <si>
    <t>per G/L</t>
  </si>
  <si>
    <t>or Other Related</t>
  </si>
  <si>
    <t>ISO Only</t>
  </si>
  <si>
    <t>Plant Related</t>
  </si>
  <si>
    <t>Labor Related</t>
  </si>
  <si>
    <t>Electric:</t>
  </si>
  <si>
    <t>Relates to all Regulated Electric Property</t>
  </si>
  <si>
    <t>Continuation of Account 190 Detail</t>
  </si>
  <si>
    <t>Total Electric 190</t>
  </si>
  <si>
    <t>Account 190 Gas and Other Income:</t>
  </si>
  <si>
    <t>Total Account 190 Gas and Other Income</t>
  </si>
  <si>
    <t>Total Account 190</t>
  </si>
  <si>
    <t>FERC Form 1 Account 190</t>
  </si>
  <si>
    <t>3) Account 282 Detail</t>
  </si>
  <si>
    <t>ACCT 282</t>
  </si>
  <si>
    <t>FERC Form 1 Account 282</t>
  </si>
  <si>
    <t>FF1 275.5k</t>
  </si>
  <si>
    <t>4) Account 283 Detail</t>
  </si>
  <si>
    <t>ACCT 283</t>
  </si>
  <si>
    <t>Continuation of Account 283 Detail</t>
  </si>
  <si>
    <t>Electric (continued):</t>
  </si>
  <si>
    <t>Total Electric 283</t>
  </si>
  <si>
    <t>Total Account 283 Gas and Other</t>
  </si>
  <si>
    <t>Total Account 283</t>
  </si>
  <si>
    <t>g) Whirlwind Substation Expansion</t>
  </si>
  <si>
    <t>h) Colorado River Substation Expansion</t>
  </si>
  <si>
    <t>Office Equipment</t>
  </si>
  <si>
    <t>Duplicating Equipment</t>
  </si>
  <si>
    <t>Personal Computers</t>
  </si>
  <si>
    <t>Mainframe Computers</t>
  </si>
  <si>
    <t>PC Software</t>
  </si>
  <si>
    <t>DDSMS - CPU &amp; Processing</t>
  </si>
  <si>
    <t>DDSMS - Controllers, Receivers, Comm.</t>
  </si>
  <si>
    <t>DDSMS - Telemetering &amp; System</t>
  </si>
  <si>
    <t>DDSMS - Miscellaneous</t>
  </si>
  <si>
    <t>DDSMS - Map Board</t>
  </si>
  <si>
    <t>Stores Equipment</t>
  </si>
  <si>
    <t>Laboratory Equipment</t>
  </si>
  <si>
    <t>Misc Power Plant Equipment</t>
  </si>
  <si>
    <t>Telecom System Equipment</t>
  </si>
  <si>
    <t>Netcomm Radio Assembly</t>
  </si>
  <si>
    <t>Microwave Equip. &amp; Antenna Assembly</t>
  </si>
  <si>
    <t>Fiber Optic Communication Cables</t>
  </si>
  <si>
    <t>Telecom Infrastructure</t>
  </si>
  <si>
    <t>Transportation Equip.</t>
  </si>
  <si>
    <t>Garage &amp; Shop -- Equip.</t>
  </si>
  <si>
    <t>Tools &amp; Work Equip. -- Shop</t>
  </si>
  <si>
    <t>Power Oper Equip</t>
  </si>
  <si>
    <t>5) Monthly Interest Rates in accordance with interest rate specified in the regulations of FERC (See Instruction #3).</t>
  </si>
  <si>
    <t>FERC Form 1 Account 283</t>
  </si>
  <si>
    <t>CWIP in Rate Effective Period</t>
  </si>
  <si>
    <t>In Service Additions in Rate Effective Period:</t>
  </si>
  <si>
    <t>Low Voltage</t>
  </si>
  <si>
    <t>13-Month Averages:</t>
  </si>
  <si>
    <t>LV Allocation Factor)</t>
  </si>
  <si>
    <t>13-month avg.</t>
  </si>
  <si>
    <t>Face</t>
  </si>
  <si>
    <t>Issuance</t>
  </si>
  <si>
    <t>Issue</t>
  </si>
  <si>
    <t>Date</t>
  </si>
  <si>
    <t>Relates Entirely to CPUC Balancing Account Recovery</t>
  </si>
  <si>
    <t>Relates to Generation Costs</t>
  </si>
  <si>
    <t>Relates to Nuclear Decommissioning Costs</t>
  </si>
  <si>
    <t>Total Account 282</t>
  </si>
  <si>
    <t>Federal Income Taxes Payable</t>
  </si>
  <si>
    <t>Allocation Factors (Plant and Wages)</t>
  </si>
  <si>
    <t>Total Account 190 ADIT</t>
  </si>
  <si>
    <t>Total Account 282 ADIT</t>
  </si>
  <si>
    <t>(Sum of amounts in Columns 4 to 6)</t>
  </si>
  <si>
    <t>Total Account 283 ADIT</t>
  </si>
  <si>
    <t>570 - Substation Work Order Related Expense</t>
  </si>
  <si>
    <t>Other Regulatory Assets/Liabilities (BOY/EOY average):</t>
  </si>
  <si>
    <t>The Wholesale Rate Base Adjustment represents the impact on the Wholesale Base TRR relative to the Retail Base TRR of</t>
  </si>
  <si>
    <t>If an annual amortization amount affects Income Taxes, the expense difference must be grossed up for income taxes.</t>
  </si>
  <si>
    <t>Calculation of Forecast Gross Load</t>
  </si>
  <si>
    <t>CADI Vol Plan Assess</t>
  </si>
  <si>
    <t>FF1 263.1 (see note to left)</t>
  </si>
  <si>
    <t>Capitalized Overhead portion of Electric Payroll Tax Expense</t>
  </si>
  <si>
    <t>Base Transmission Revenue Requirement (Retail)</t>
  </si>
  <si>
    <t>Wholesale Base Transmission Revenue Requirement</t>
  </si>
  <si>
    <t>Calculation of Base Transmission Revenue Requirement</t>
  </si>
  <si>
    <t>Less Standby Transmission Revenues:</t>
  </si>
  <si>
    <t>Components of Wholesale</t>
  </si>
  <si>
    <t>Transmission Revenue Requirement:</t>
  </si>
  <si>
    <t>3) End-User Transmission Rates</t>
  </si>
  <si>
    <t>Calculation of 13-Month Average Capitalization Balances</t>
  </si>
  <si>
    <t>Item</t>
  </si>
  <si>
    <t>Bonds -- Account 221 (Note 1):</t>
  </si>
  <si>
    <t>Other Long Term Debt -- Account 224 (Note 3):</t>
  </si>
  <si>
    <t xml:space="preserve">1) Enter 13 months of balances for capital structure for Prior Year and December previous to Prior Year in Columns 2-14.  </t>
  </si>
  <si>
    <t>Interest Income Reclassification</t>
  </si>
  <si>
    <t>FF1 263.3i - See Note 1</t>
  </si>
  <si>
    <t>Remaining Amount is Gas, Generation, or Other Related.</t>
  </si>
  <si>
    <t>Remaining Amount of FIT Payable</t>
  </si>
  <si>
    <t>5) Normalization Adjustment for Unused Bonus Depreciation</t>
  </si>
  <si>
    <t>Note 1: Only include if Federal Income Tax Account 236 payable in FF1 page 263 charged to Acct 409.1 or 408.1 in Column (i) is a negative amount (i.e., debit balance).</t>
  </si>
  <si>
    <t>3) Capitalized Overhead portion of Electric Payroll Tax Expense</t>
  </si>
  <si>
    <t>= F + [S * (1 - F)]</t>
  </si>
  <si>
    <t>Franchise Fees and Uncollectibles Expense Factors</t>
  </si>
  <si>
    <t>2) Approved Uncollectibles Expense Factor(s)</t>
  </si>
  <si>
    <t>Transmission Owner Tariff and may be revised each January 1, upon commission acceptance of a revised TRBAA</t>
  </si>
  <si>
    <t>SCE's retail Base Transmission Revenue Requirement is the sum of the following components:</t>
  </si>
  <si>
    <t>Base TRR (retail)</t>
  </si>
  <si>
    <t>Does not include any project-specific ROE adders.</t>
  </si>
  <si>
    <t>Transmission Depreciation Reserve - ISO</t>
  </si>
  <si>
    <t>Distribution Depreciation Reserve - ISO</t>
  </si>
  <si>
    <t>Beginning and End of year amounts in Columns 2 and 14 are from FERC Form 1, as referenced in below notes.</t>
  </si>
  <si>
    <t>=Sum C2 to C4</t>
  </si>
  <si>
    <t>=Sum C2 to C11</t>
  </si>
  <si>
    <t>4) Gains and Losses on Transmission Plant Held for Future Use - Land is treated in accordance with Commission policy.</t>
  </si>
  <si>
    <t>3) Devers-Colorado River</t>
  </si>
  <si>
    <t>= C1 - C2</t>
  </si>
  <si>
    <t>= C1 - Previous</t>
  </si>
  <si>
    <t>Month C1</t>
  </si>
  <si>
    <t>Total PY Incentive Net Plant:</t>
  </si>
  <si>
    <t xml:space="preserve">End of Year </t>
  </si>
  <si>
    <t>13 Month Average</t>
  </si>
  <si>
    <t>2) Sum project-specific Incentive Adders to yield the total True Up Incentive Adder.</t>
  </si>
  <si>
    <t>Sum of above PY Incentive Adders</t>
  </si>
  <si>
    <t>for each individual project</t>
  </si>
  <si>
    <t xml:space="preserve">Depreciation Expense is the sum of: </t>
  </si>
  <si>
    <t>4) Depreciation Expense</t>
  </si>
  <si>
    <t>= C3 * C5</t>
  </si>
  <si>
    <t>= C4 * C5</t>
  </si>
  <si>
    <t>5) "ISO Operations and Maintenance Expenses" is the amount of costs in each Transmission or Distribution account related to ISO Transmission Facilities.</t>
  </si>
  <si>
    <t>Total ISO O&amp;M Expenses (in Column 6)</t>
  </si>
  <si>
    <t>a) Exclude amount of any Shareholder Adjustments, costs incurred on behalf of SCE shareholders, from relevant account in Column 1.</t>
  </si>
  <si>
    <t>Only projects that are in Rate Base in the year reported are included.</t>
  </si>
  <si>
    <t xml:space="preserve">Southern States Realty </t>
  </si>
  <si>
    <t>2, 15</t>
  </si>
  <si>
    <t>15-</t>
  </si>
  <si>
    <t>Costs</t>
  </si>
  <si>
    <t>Series A Pref., 5.349% initial rate</t>
  </si>
  <si>
    <t>Series B Pref., 6.125%</t>
  </si>
  <si>
    <t>Series C Pref., 6.000%</t>
  </si>
  <si>
    <t>Event</t>
  </si>
  <si>
    <t>Issue/Event</t>
  </si>
  <si>
    <t>8.540% Preferred, premium</t>
  </si>
  <si>
    <t>November 1985</t>
  </si>
  <si>
    <t>Net gain from open-market purchase of 67,400 shares in November 1985</t>
  </si>
  <si>
    <t>12.000% Preferred, redemption</t>
  </si>
  <si>
    <t>February 1986</t>
  </si>
  <si>
    <t>Redemption premium paid to holders (so loss to company)</t>
  </si>
  <si>
    <t>Initial issue discount</t>
  </si>
  <si>
    <t>IRC Section 168(i)(9) Normalization Adjustment</t>
  </si>
  <si>
    <t xml:space="preserve">1) </t>
  </si>
  <si>
    <t>FERC Form 1 Acct. 165 Recorded Amount:</t>
  </si>
  <si>
    <t>BOY Prepayments Amount:</t>
  </si>
  <si>
    <t>Supplies Balances</t>
  </si>
  <si>
    <t>Total Materials and</t>
  </si>
  <si>
    <t>Calculation of True Up TRR</t>
  </si>
  <si>
    <t>Calculation of True Up Adjustment Component of TRR</t>
  </si>
  <si>
    <t>Plant Allocation Factor</t>
  </si>
  <si>
    <t>for Column 5</t>
  </si>
  <si>
    <t>(In Column 5)</t>
  </si>
  <si>
    <t>Prior Period Adjustment:</t>
  </si>
  <si>
    <t>a</t>
  </si>
  <si>
    <t>b</t>
  </si>
  <si>
    <t>c</t>
  </si>
  <si>
    <t>d</t>
  </si>
  <si>
    <t>e</t>
  </si>
  <si>
    <t>f</t>
  </si>
  <si>
    <t>Adjustment:</t>
  </si>
  <si>
    <t>g</t>
  </si>
  <si>
    <t>Calculation of Incentive Adder component of the Prior Year TRR</t>
  </si>
  <si>
    <t>EOY HV</t>
  </si>
  <si>
    <t>(Note 1)</t>
  </si>
  <si>
    <t>1) "EOY HV Abandoned Plant" is amount of "EOY Abandoned Plant" that would have been High Voltage (&gt;= 200 kV).</t>
  </si>
  <si>
    <t>a) Fill in the name the project in order (First Project, Second Project, etc.).</t>
  </si>
  <si>
    <t>b) Fill in the table with annual End of Year ("EOY") Abandoned Plant, EOY HV Abandoned Plant, and</t>
  </si>
  <si>
    <t>Abandoned Plant (EOY)</t>
  </si>
  <si>
    <t>See Notes 1 and 2 below</t>
  </si>
  <si>
    <t>1) For High Voltage Column, sum of EOY HV Abandoned Plant for all Projects on Schedule 12 for EOY of Prior Year</t>
  </si>
  <si>
    <t>2) For Low Voltage Column, Sum of EOY Abandoned Plant less HV Abandoned Plant for all Projects on Schedule 12 for EOY of Prior Year.</t>
  </si>
  <si>
    <t>Instruction 1</t>
  </si>
  <si>
    <t>1) Use weighted average (by time) of the Return on Equity in effect during the Prior Year in determining the "Cost of Capital Rate" on Line 18</t>
  </si>
  <si>
    <t>and the "Equity Rate of Return Including Preferred Stock" on Line 22 in the event that the ROE is revised during the Prior Year.  In this event,</t>
  </si>
  <si>
    <t>the ROE used in Schedule 1 will differ from the ROE used in this Schedule 4, because the Schedule 1 ROE will be the most recent ROE,</t>
  </si>
  <si>
    <t>See Note 1 and Instruction 1</t>
  </si>
  <si>
    <t>See Note 2 and Instruction 2</t>
  </si>
  <si>
    <t>12aaa</t>
  </si>
  <si>
    <t>12bbb</t>
  </si>
  <si>
    <t>Other Regulatory Assets/Liabilities are a component of Rate Base representing costs that are created resulting from the ratemaking</t>
  </si>
  <si>
    <t xml:space="preserve">actions of regulatory agencies.  Pursuant to the Commission's Uniform System of Accounts, these items include amounts recorded </t>
  </si>
  <si>
    <t>in accounts 182.x and 254.  This Schedule shall not include any costs recovered through Schedule 12.</t>
  </si>
  <si>
    <t>Amortization and Regulatory Debits/Credits are amounts approved for recovery in this formula transmission rate representing the</t>
  </si>
  <si>
    <t>approved annual recovery of Other Regulatory Assets/Liabilities as an expense item in the Base TRR, consistent</t>
  </si>
  <si>
    <t xml:space="preserve">with a Commission Order.  </t>
  </si>
  <si>
    <t>Amortization and Regulatory Debits/Credits:</t>
  </si>
  <si>
    <t>Amortization or</t>
  </si>
  <si>
    <t>Debit/Credit</t>
  </si>
  <si>
    <t>1) Upon Commission approval of recovery of Other Regulatory Assets/Liabilities, Amortization and Regulatory Debits/Credits</t>
  </si>
  <si>
    <t>Amortization and Regulatory Debits/Credits</t>
  </si>
  <si>
    <t>Determination of Regulatory Assets/Liabilities and Associated Amortization and Regulatory Debits/Credits</t>
  </si>
  <si>
    <t>One Time True Up Adjustment amounts (see Instruction #5) attributable to a previous Prior Year are entered on Column 4, Line 11.</t>
  </si>
  <si>
    <t xml:space="preserve"> One Time Adjustments include:</t>
  </si>
  <si>
    <t>Account 283 Gas and Other:</t>
  </si>
  <si>
    <t>Revenue From Decommission Trust Fund</t>
  </si>
  <si>
    <t>Revenue From Decommissioning Trust FAS115</t>
  </si>
  <si>
    <t>Revenue From Decommissioning Trust FAS115-1</t>
  </si>
  <si>
    <t>Operating Miscellaneous Land &amp; Facilities</t>
  </si>
  <si>
    <t>ECS - Infrastructure Leasing</t>
  </si>
  <si>
    <t>EOY Prepayments Amount:</t>
  </si>
  <si>
    <t>Prior Year TRR wo FF&amp;U:</t>
  </si>
  <si>
    <t>and the American Reinvestment Recovery Act for the Tehachapi Wind Energy Storage Project.</t>
  </si>
  <si>
    <t>Relates to 100% ISO facilities</t>
  </si>
  <si>
    <t>Uncollectibles Expense Factor:</t>
  </si>
  <si>
    <t>Allocated based on CPUC GRC allocator in effect during the Prior Year.  The weighted average (by time) shall be used if more than one allocator is in effect during the Prior Year.</t>
  </si>
  <si>
    <t xml:space="preserve">Allocated based on the CPUC Base Revenue Requirement Balancing Account (BRRBA) allocator in effect during the Prior Year.  The weighted average (by time) shall be used if more than one allocator is in effect during the Prior Year.  ISO portion of revenue is treated as traditional OOR. </t>
  </si>
  <si>
    <t>D = Book Depreciation of AFUDC Equity Book Basis</t>
  </si>
  <si>
    <t>Return on Common Equity</t>
  </si>
  <si>
    <t xml:space="preserve">Equity Rate of Return Including Common and Preferred Stock </t>
  </si>
  <si>
    <t>ER = Equity Rate of Return Including Common and Preferred Stock</t>
  </si>
  <si>
    <t>ER = Equity ROR inc. Com. and Pref. Stock</t>
  </si>
  <si>
    <t>2) ISO Incentive Plant Activity (See Note 4)</t>
  </si>
  <si>
    <t>3) Total Transmission Activity Not Including Incentive Plant Activity (See Note 5):</t>
  </si>
  <si>
    <t>5) Other ISO Transmission Activity without Incentive Plant Activity (See Note 9):</t>
  </si>
  <si>
    <t>Prior Year:</t>
  </si>
  <si>
    <t>Balances for Distribution Plant - ISO for December of Prior Year and year before Prior Year (See Note 2)</t>
  </si>
  <si>
    <t>4) General Plant + Electric Miscellaneous Intangible Plant ("G&amp;I Plant")</t>
  </si>
  <si>
    <t>BOY amount from previous PY</t>
  </si>
  <si>
    <t>End of year ("EOY") amount</t>
  </si>
  <si>
    <t>A) Plant Classified as Transmission in  FERC Form 1 for Prior Year:</t>
  </si>
  <si>
    <t>to a Section 205 or 206 filing.</t>
  </si>
  <si>
    <r>
      <rPr>
        <b/>
        <sz val="10"/>
        <rFont val="Arial"/>
        <family val="2"/>
      </rPr>
      <t>Notes:</t>
    </r>
    <r>
      <rPr>
        <sz val="10"/>
        <rFont val="Arial"/>
        <family val="2"/>
      </rPr>
      <t xml:space="preserve"> 1) Depreciation rates may only be revised as approved by the Commission pursuant</t>
    </r>
  </si>
  <si>
    <t>Resulting Percentage is:</t>
  </si>
  <si>
    <t>Percent ISO</t>
  </si>
  <si>
    <t>Percent ISO for this acccount is equal to the total ISO labor in accounts 562 and 570 (Column 7) divided by total labor in this same account (Column 3).</t>
  </si>
  <si>
    <t>Percent ISO for this acccount is equal to the total ISO labor in accounts listed below (Column 7) divided by total labor in these same accounts (Column 3).</t>
  </si>
  <si>
    <t>expense is excluded from account 926 (see note 3).  Docket or Decision approving authorized PBOPs amount:</t>
  </si>
  <si>
    <r>
      <t xml:space="preserve">as approved by Commission Order 86 FERC </t>
    </r>
    <r>
      <rPr>
        <sz val="10"/>
        <color theme="1"/>
        <rFont val="Calibri"/>
        <family val="2"/>
      </rPr>
      <t>¶</t>
    </r>
    <r>
      <rPr>
        <sz val="10"/>
        <color theme="1"/>
        <rFont val="Arial"/>
        <family val="2"/>
      </rPr>
      <t xml:space="preserve"> 63,014 in Docket No. ER97-2355.</t>
    </r>
  </si>
  <si>
    <t>2) Franchise Fees Factor is calculated from CPUC Decision by dividing adopted Franchise Fees</t>
  </si>
  <si>
    <t xml:space="preserve">by Total Operating Revenues less Franchise Fees.  Uncollectibles Factor is calculated by </t>
  </si>
  <si>
    <t>3) Calculate in module 3 the weighted average FF and U factors from the factors in modules 1 and 2 based</t>
  </si>
  <si>
    <t>Calculated according to Instruction 3</t>
  </si>
  <si>
    <t>Factors represent factors that, when applied to TRR without FF and U will correctly determine FF and U expense.</t>
  </si>
  <si>
    <t>1) Enter Franchise Fee and Uncollectibles Factors as approved by the California Public Utilities Commission ("CPUC")</t>
  </si>
  <si>
    <t>Total  Transmission Lines (L 2 + L 3):</t>
  </si>
  <si>
    <t>HV and LV Components of Total ISO Plant on Lines 2, 3, 7, 8, and 9 are</t>
  </si>
  <si>
    <t>from the Plant Study, performed pursuant to Section 9 of Appendix IX:</t>
  </si>
  <si>
    <t>Source:</t>
  </si>
  <si>
    <t>Allocator is equal to the jurisdictional split of the Threshold Revenue, which is jurisdictionalized as $5.425M to FERC ratepayers and $11.246M to CPUC ratepayers per the 2009 CPUC General Rate Case (D. 09-03-025).  The ISO ratepayers' share of ratepayer revenue is $5.425M/$16.671M = 32.54%.</t>
  </si>
  <si>
    <t>16-</t>
  </si>
  <si>
    <t>418.1 Other (See Note 16)</t>
  </si>
  <si>
    <t>Tot. ISO Ratepayers' Share NTP&amp;S Gross Rev.</t>
  </si>
  <si>
    <t>whereas the Schedule 4 Cost of Capital Rate and Equity Rate of Return including Com. + Pref. Stock will be based on the weighted-average ROE.</t>
  </si>
  <si>
    <t>in modules 1 and 2 above pursuant to Instruction 2.  If approved factors changed during Prior Year, enter both,</t>
  </si>
  <si>
    <t>for each state.  See Notes 1 and 3.</t>
  </si>
  <si>
    <t>b) New Mexico</t>
  </si>
  <si>
    <t>c) Arizona</t>
  </si>
  <si>
    <t>d) District of Columbia</t>
  </si>
  <si>
    <t>New Mexico Statutes, Chapter 7, Article 2A</t>
  </si>
  <si>
    <t>Arizona Statute, Title 43, Part 43.1111</t>
  </si>
  <si>
    <t>DC Code, Division VIII, Title 47, Part 47-1807.02(a)(4)</t>
  </si>
  <si>
    <t>a) California:</t>
  </si>
  <si>
    <t>2) Federal Source Statute:</t>
  </si>
  <si>
    <t>3) State Source Statues (Enter Reference to each State Marginal Tax Rate Statute below):</t>
  </si>
  <si>
    <t xml:space="preserve">California Code, Division 2, Part 11, Chapter 2, Article 2, Section 23151(e) </t>
  </si>
  <si>
    <t>Internal Revenue Code Section 11(b)(1)(D)</t>
  </si>
  <si>
    <t>in Schedule 19 (OandM) related to Order 668 costs transferred.</t>
  </si>
  <si>
    <t xml:space="preserve">c) Exclude entire amount of account 927 "Franchise Requirements" in Column 2, as those costs are recovered </t>
  </si>
  <si>
    <t xml:space="preserve">d) Exclude any amount of Account 930.1 "General Advertising Expense" not related to advertising for safety, </t>
  </si>
  <si>
    <t>e) Exclude any amount of expense relating to secondary land use and audit expenses not directly benefitting utility customers.</t>
  </si>
  <si>
    <t>b) Include as an adjustment in Column 1 for Account 920 any amount excluded from Accounts 569.100, 569.200, and 569.300</t>
  </si>
  <si>
    <t>FF1 207.99.g and 205.5g</t>
  </si>
  <si>
    <t>Credit</t>
  </si>
  <si>
    <t xml:space="preserve">1) Amount in Column 2 from FF1 112.18d, amount in Column 14 from FF1 112.18c, amounts in columns 3-13 from SCE internal records. </t>
  </si>
  <si>
    <t xml:space="preserve">2) Amount in Column 2 from FF1 112.19d, amount in Column 14 from FF1 112.19c, amounts in columns 3-13 from SCE internal records. </t>
  </si>
  <si>
    <t xml:space="preserve">3) Amount in Column 2 from FF1 112.21d, amount in Column 14 from FF1 112.21c, amounts in columns 3-13 from SCE internal records. </t>
  </si>
  <si>
    <t>Southern States Realty is a subsidiary company.  Gross revenues are not reported in FF-1, only net earnings.  Net Earnings for Southern States Realty are reported on Acct 418.1, pg 225.17e.</t>
  </si>
  <si>
    <t>Mo/YR</t>
  </si>
  <si>
    <t>Beginning of Year ("BOY") amount</t>
  </si>
  <si>
    <t>a) 13-Month Average Calculation</t>
  </si>
  <si>
    <t>13-Month AverageValue:</t>
  </si>
  <si>
    <t>on the Transmission Wages and Salaries Allocation Factor.</t>
  </si>
  <si>
    <t>17-</t>
  </si>
  <si>
    <t>Note 1, f</t>
  </si>
  <si>
    <t xml:space="preserve">2) In the event that depreciation rates stated on Schedule 18 to be applied to Distribution Plant - ISO are revised mid-year, calculate Depreciation Expense for </t>
  </si>
  <si>
    <t>See Instructions 2b, 3, and Note 2</t>
  </si>
  <si>
    <t>Calculation of FITR for Prior Year:</t>
  </si>
  <si>
    <t>FITR</t>
  </si>
  <si>
    <t>Days</t>
  </si>
  <si>
    <t>Note</t>
  </si>
  <si>
    <t>Input FITR in effect for first part of year and number of days</t>
  </si>
  <si>
    <t>Input FITR in effect for second part of year and number of days</t>
  </si>
  <si>
    <t>FITR:</t>
  </si>
  <si>
    <t>(Col 2)</t>
  </si>
  <si>
    <t>(Col 1)</t>
  </si>
  <si>
    <t>Note 1, c Column 2, see also Note 2</t>
  </si>
  <si>
    <t>= ((Line a, C1)*(Line a, C2)+ (Line b, C1)*(Line b, C2))/365</t>
  </si>
  <si>
    <t>Sub-Total Local Taxes</t>
  </si>
  <si>
    <t>CA SUI Current</t>
  </si>
  <si>
    <t>Fed Unemp Tax Act- Current</t>
  </si>
  <si>
    <t>SF Pyrl Exp Tx - SCE</t>
  </si>
  <si>
    <t>(No "Credits and Other" or "AFUDC" Terms, since these are not related to CWIP)</t>
  </si>
  <si>
    <t>1) Nuclear Power Research Expenses.</t>
  </si>
  <si>
    <t>2) Write Off of Abandoned Project Expenses.</t>
  </si>
  <si>
    <t>f) Exclude from account 930.2:</t>
  </si>
  <si>
    <t>3) Any advertising expenses within the Consultants/Professional Services category.</t>
  </si>
  <si>
    <t>Note 1, c</t>
  </si>
  <si>
    <t xml:space="preserve">b) Forecast Period Incremental CWIP contributes to Incremental Forecast Period TRR </t>
  </si>
  <si>
    <r>
      <rPr>
        <b/>
        <sz val="10"/>
        <rFont val="Arial"/>
        <family val="2"/>
      </rPr>
      <t xml:space="preserve">Source: </t>
    </r>
    <r>
      <rPr>
        <sz val="10"/>
        <rFont val="Arial"/>
        <family val="2"/>
      </rPr>
      <t>6-PlantInService, Lines 1-13.</t>
    </r>
  </si>
  <si>
    <t>Depreciation Rates (Percent per year)  See "18-DepRates".</t>
  </si>
  <si>
    <t xml:space="preserve">Source:      From 4-TUTRR, </t>
  </si>
  <si>
    <t>The Prior Year TRR is calculated using End-of-Year Rate Base values, as set forth in the "1-BaseTRR" Worksheet.</t>
  </si>
  <si>
    <t>plant or CWIP, as set forth in the "2-IFPTRR" Worksheet.</t>
  </si>
  <si>
    <t>actual costs, as set forth in the "3-TrueUpAdjust" Worksheet.</t>
  </si>
  <si>
    <t>2) From 33-RetailRates.  See Line:</t>
  </si>
  <si>
    <t>amount.  See Note 1 on 29-WholesaleTRRs.</t>
  </si>
  <si>
    <t>For subsidiaries that are subject to GRSM, Column D contains gross revenues.  Input on Line 30D contains the associated expenses.</t>
  </si>
  <si>
    <t>566 - Training</t>
  </si>
  <si>
    <t>566 - Other</t>
  </si>
  <si>
    <t>Gen. and Int.</t>
  </si>
  <si>
    <t>=C4+C5</t>
  </si>
  <si>
    <t>FF1 219.28c and 200.21c for previous year</t>
  </si>
  <si>
    <t>FF1 219.28c and 200.21c</t>
  </si>
  <si>
    <t>(Years)</t>
  </si>
  <si>
    <t>List associated securities and event, Event Date, Amortization Amount, Amortization Period, and Annual Amortization:</t>
  </si>
  <si>
    <t>Total Annual Amortization (sum of "Issues/Events" listed above)</t>
  </si>
  <si>
    <t>Total Annual Amortization (sum of "Issues" listed above)</t>
  </si>
  <si>
    <t>List associated securities, Face Amount, Issuance Date, Issuance Costs, Amortization Period, and Annual Amortization:</t>
  </si>
  <si>
    <t>a) Outages</t>
  </si>
  <si>
    <t>ISO Outages</t>
  </si>
  <si>
    <t>Non-ISO Outages</t>
  </si>
  <si>
    <t>Total Outages</t>
  </si>
  <si>
    <t>Values</t>
  </si>
  <si>
    <t>Applied to Accounts</t>
  </si>
  <si>
    <t>b) Circuits</t>
  </si>
  <si>
    <t>ISO Circuits</t>
  </si>
  <si>
    <t>Non-ISO Circuits</t>
  </si>
  <si>
    <t>Total Circuits</t>
  </si>
  <si>
    <t>Outages Percent ISO</t>
  </si>
  <si>
    <t>Circuits Percent ISO</t>
  </si>
  <si>
    <t>c) Relay Routines</t>
  </si>
  <si>
    <t>ISO Relay Routines</t>
  </si>
  <si>
    <t>Total Relay Routines</t>
  </si>
  <si>
    <t>Relay Routines Percent ISO</t>
  </si>
  <si>
    <t>ISO Line Miles</t>
  </si>
  <si>
    <t>Non-ISO Line Miles</t>
  </si>
  <si>
    <t>Non-ISO Relay Routines</t>
  </si>
  <si>
    <t>Total Line Miles</t>
  </si>
  <si>
    <t>Line MIles Percent ISO</t>
  </si>
  <si>
    <t>d) Line Miles</t>
  </si>
  <si>
    <t>e) Underground Line Miles</t>
  </si>
  <si>
    <t>ISO Underground Line Miles</t>
  </si>
  <si>
    <t>Non-ISO Underground Line Miles</t>
  </si>
  <si>
    <t>Total Undergound Line Miles</t>
  </si>
  <si>
    <t>Underground Line MIles Percent ISO</t>
  </si>
  <si>
    <t>ISO Line Rent Costs</t>
  </si>
  <si>
    <t>Non-ISO Line Rent Costs</t>
  </si>
  <si>
    <t>Total Line Rent Costs</t>
  </si>
  <si>
    <t>Line Rent Costs Percent ISO</t>
  </si>
  <si>
    <t>ISO Morongo Acres</t>
  </si>
  <si>
    <t>Non-ISO Morongo Acres</t>
  </si>
  <si>
    <t>Total Morongo Acres</t>
  </si>
  <si>
    <t>Morongo Acres Percent ISO</t>
  </si>
  <si>
    <t>ISO Transformers</t>
  </si>
  <si>
    <t>Non-ISO Transformers</t>
  </si>
  <si>
    <t>Total Transformers</t>
  </si>
  <si>
    <t>Transformers Percent ISO</t>
  </si>
  <si>
    <t>ISO Circuit Breakers</t>
  </si>
  <si>
    <t>Non-ISO Breakers</t>
  </si>
  <si>
    <t>Total Circuit Breakers</t>
  </si>
  <si>
    <t>Circuit Breakers Percent ISO</t>
  </si>
  <si>
    <t>ISO Voltage Control Equipment</t>
  </si>
  <si>
    <t>Non-ISO Voltage Control Equipment</t>
  </si>
  <si>
    <t>Total Voltage Control Equipment</t>
  </si>
  <si>
    <t>Voltage Control Equipment Percent ISO</t>
  </si>
  <si>
    <t>ISO Substation Work Order Costs</t>
  </si>
  <si>
    <t>Non-ISO Substation Work Order Costs</t>
  </si>
  <si>
    <t>Total Substation Work Order Costs</t>
  </si>
  <si>
    <t>Substation Work Order Costs Percent ISO</t>
  </si>
  <si>
    <t>ISO Transmission Work Order Costs</t>
  </si>
  <si>
    <t>Non-ISO Transmission Work Order Costs</t>
  </si>
  <si>
    <t>Total Transmission Work Order Costs</t>
  </si>
  <si>
    <t>Transmission Work Order Costs Percent ISO</t>
  </si>
  <si>
    <t>ISO Transmission Fac. Property Damage</t>
  </si>
  <si>
    <t>Non-ISO Transmission Fac. Property Damage</t>
  </si>
  <si>
    <t>Total Transmission Facility Property Damage</t>
  </si>
  <si>
    <t>Trans. Fac. Property Damage Percent ISO</t>
  </si>
  <si>
    <t>ISO Distribution Transformers</t>
  </si>
  <si>
    <t>Non-ISO Distribution Transformers</t>
  </si>
  <si>
    <t>Total Distribution Transformers</t>
  </si>
  <si>
    <t>Distribution Transformers Percent ISO</t>
  </si>
  <si>
    <t>Non-ISO Distribution Circuit Breakers</t>
  </si>
  <si>
    <t>Total Distribution Circuit Breakers</t>
  </si>
  <si>
    <t>ISO Distribution Circuit Breakers</t>
  </si>
  <si>
    <t>Distribution Circuit Breakers Percent ISO</t>
  </si>
  <si>
    <t>ISO Distribution Voltage Control Equipment</t>
  </si>
  <si>
    <t>Total Distribution Voltage Control Equipment</t>
  </si>
  <si>
    <t>Distribution Voltage Control Equip. Pct. ISO</t>
  </si>
  <si>
    <t>Non-ISO Distribution Voltage Control Equip.</t>
  </si>
  <si>
    <t>Capitalization Rate (Note 4)</t>
  </si>
  <si>
    <t>4) Capitalization Rate approved in:</t>
  </si>
  <si>
    <t>For the following Prior Years:</t>
  </si>
  <si>
    <t>Certain "Percent ISO percentages are calculable based on other "Percent ISO" amounts, as follows:</t>
  </si>
  <si>
    <t>Note 6, a</t>
  </si>
  <si>
    <t>6) "Percent ISO" percentages are calculated in accordance with the method set forth in SCE's TO Tariff protocols.  See Column 9 for references to source of each  Percent ISO.</t>
  </si>
  <si>
    <t>100% per Protocols</t>
  </si>
  <si>
    <t>0% per Protocols</t>
  </si>
  <si>
    <t>Note 6, b</t>
  </si>
  <si>
    <t>Note 6, c</t>
  </si>
  <si>
    <t>Note 6, d</t>
  </si>
  <si>
    <t>a) Accounts 560 - Operations Engineering, 566 - Training, 566-Other, 569.100 Hardware, 569.200 Software, and 569.300 Comunication:</t>
  </si>
  <si>
    <t>Edison Material Supply (EMS)</t>
  </si>
  <si>
    <t>Per GRC Decision D.87-12-066, for ratemaking purposes EMS financials are consolidated with SCE's.  See FERC Form 1 page 123.3 under</t>
  </si>
  <si>
    <t>"Equity Investment Differences" .  Consequently, net income of EMS is not reported separately in FERC Form 1 and is not a part of FERC Account 418.1 totals.</t>
  </si>
  <si>
    <t>To ensure that ratepayers receive the net income from this subsidiary SCE includes EMS net income in the formula on line 28f.  This amount is reversed as part</t>
  </si>
  <si>
    <t>of line 30 to remain consistent with the totals reported in FERC Form 1.</t>
  </si>
  <si>
    <t xml:space="preserve">Percent ISO for these accounts is equal to total ISO labor in accounts 561, 562, 563, 564, 566 (except Training and Other), 570, 571, and 572 (Column 7) </t>
  </si>
  <si>
    <t>divided by total labor in this same account (Column 3).</t>
  </si>
  <si>
    <t xml:space="preserve">Percent ISO for these acccounts is equal to the total ISO labor in account 592, exclusive of Maintenance of Miscellaneous Distribution Equipment (Column 7) </t>
  </si>
  <si>
    <t>Order approving revised ROE:</t>
  </si>
  <si>
    <t>In the event that the Return on Common Equity is revised from the initial value, enter cite to Commission Order approving the revised ROE on following line.</t>
  </si>
  <si>
    <t>b) Account 569 - Maintenance of Structures</t>
  </si>
  <si>
    <t>d) Accounts 582, 590, 591, and 592 - Maintenance of Miscellaneous Distribution Equipment</t>
  </si>
  <si>
    <t>c) Account 570 - Maintenance of Miscellaneous Transmission Equipment and Account 568 -Maintenance Supervision and Engineering</t>
  </si>
  <si>
    <t>Orders Providing for Abandoned Plant Cost Recovery:</t>
  </si>
  <si>
    <t>Commission Order</t>
  </si>
  <si>
    <t>7) SCE shall make no adjustments to recorded labor amounts related to non-labor labor and/or Indirect labor in Schedule 19.</t>
  </si>
  <si>
    <t>5) SCE shall make no adjustments to recorded labor amounts related to non-labor labor and/or Indirect labor in Schedule 20.</t>
  </si>
  <si>
    <t>Amortization of Excess Deferred Tax Liability</t>
  </si>
  <si>
    <t>Investment Tax Credit Flowed Through</t>
  </si>
  <si>
    <t>South Georgia Income Tax Adjustment</t>
  </si>
  <si>
    <t>2) No change in "Credits and Other" terms will be made absent a filing at the Commission</t>
  </si>
  <si>
    <t>compared to the Retail Base TRR.  This difference is attributable to differences in the following six items,</t>
  </si>
  <si>
    <t>These six items may affect the Base TRR by affecting Rate Base, or affecting an annual expense (amortization).</t>
  </si>
  <si>
    <t>EPRI Expenses</t>
  </si>
  <si>
    <t>d) Total Expense Difference</t>
  </si>
  <si>
    <t>Partial Year True Up Allocation Factors calculated based on three years (2008-2010) of monthly SCE retail base transmission revenues.</t>
  </si>
  <si>
    <t xml:space="preserve">2) Beginning with the True Up Adjustment calculation for 2012 utilizing the True Up TRR for 2012, exclude from CWIP recovery the capital cost of </t>
  </si>
  <si>
    <t xml:space="preserve">Subject to sharing per the Gross Revenue Sharing Mechanism (GRSM), adopted in CPUC D.99-09-070.  On an annual basis, once SCE obtains $16,671,389.55 (Threshold Revenue) in NTP&amp;S Revenues, any additional revenues (Incremental Gross Revenues) that SCE receives are shared between shareholders and ratepayers.  For GRSM categories deemed Active, the Incremental Gross Revenues are shared 90/10 between shareholders and ratepayers.  For those categories deemed Passive, the Incremental Gross Revenues are shared 70/30 between shareholders and ratepayers.  </t>
  </si>
  <si>
    <t>13-Month Average Value Account 154:</t>
  </si>
  <si>
    <t>13-Month Average Value:</t>
  </si>
  <si>
    <t xml:space="preserve"> Long Term Debt Advances from Associated Companies (Note 2a):</t>
  </si>
  <si>
    <t>Long Term Debt Advances from Associated Companies -- Account 223</t>
  </si>
  <si>
    <t>Interest on Debt to Associated Companies -- Account 430</t>
  </si>
  <si>
    <t>FF1 117.67c</t>
  </si>
  <si>
    <t xml:space="preserve">2a) Amount in Column 2 from FF1 112.20d, amount in Column 14 from FF1 112.20c, amounts in columns 3-13 from SCE internal records. </t>
  </si>
  <si>
    <t xml:space="preserve">facilities that were purchased for the portion of Tehachapi Segment 8 near the Chino Airport, but due to the April 25, 2011 Notice of Presumed </t>
  </si>
  <si>
    <t xml:space="preserve">Hazard issued to SCE by the FAA are not used in the construction of Tehachapi or in any other CWIP incentive project.  Additionally, </t>
  </si>
  <si>
    <t xml:space="preserve">construction of any SCE transmission project. </t>
  </si>
  <si>
    <t>SCE will permanently exclude from Plant In Service, Rate Base, and transmission rates these capital costs if the facilities are not used in the</t>
  </si>
  <si>
    <t>75% of O&amp;M and A&amp;G in Prior Year TRR:</t>
  </si>
  <si>
    <t>Total all Substations (L7  + L8 + L9)</t>
  </si>
  <si>
    <t>ROE at end of Prior Year</t>
  </si>
  <si>
    <t>In Effect</t>
  </si>
  <si>
    <t xml:space="preserve">Days ROE </t>
  </si>
  <si>
    <t>Commission Decisions approving ROE:</t>
  </si>
  <si>
    <t>See Line e below</t>
  </si>
  <si>
    <t>Calculation of weighted average Cost of Capital Rate in Prior Year:</t>
  </si>
  <si>
    <t>h</t>
  </si>
  <si>
    <t>i</t>
  </si>
  <si>
    <t>j</t>
  </si>
  <si>
    <t>Calculation of Equity Rate of Return Including Common and Preferred Stock:</t>
  </si>
  <si>
    <t>See Instruction 1</t>
  </si>
  <si>
    <t>If ROE does not change during year, then attribute all days to Line a "ROE at end of Prior Year" and none to "ROE at start of PY"</t>
  </si>
  <si>
    <t>Acct</t>
  </si>
  <si>
    <t>Wtd. Avg. ROE in Prior Year</t>
  </si>
  <si>
    <t>Wtd. Cost of Long Term Debt</t>
  </si>
  <si>
    <t>Wtd.Cost of Preferred Stock</t>
  </si>
  <si>
    <t>Wtd.Cost of Common Stock</t>
  </si>
  <si>
    <t>3) Schedule 19 "Percent ISO" Allocation Factors (Input values are from SCE Records)</t>
  </si>
  <si>
    <t>ROE Adder $ = (Project CWIP Amount/$1,000,000) * IREF * (ROE Adder % / 1%)</t>
  </si>
  <si>
    <t>3) The load forecast used in Schedule 32 shall be for the calendar year in which the rates are to be in effect.</t>
  </si>
  <si>
    <t>the formula to calculate the correct value in that cell, which can be accomplished in Excel using the Goal Seek function.</t>
  </si>
  <si>
    <t xml:space="preserve">1) Any amount of "Provision for Doubtful Accounts" costs. </t>
  </si>
  <si>
    <t>2) Any amount of "Accounting Suspense" costs.</t>
  </si>
  <si>
    <t>g) Exclude the following costs included in any account 920-935:</t>
  </si>
  <si>
    <t>3) Any penalties of fines.</t>
  </si>
  <si>
    <t>4) Any amount of costs recovered 100% through California Public Utilities Commission ("CPUC") rates.</t>
  </si>
  <si>
    <t>h) Exclude the following amounts of employee incentive compensation from any account 920-935:</t>
  </si>
  <si>
    <t>1) Any Long Term Incentive Compensation ("LTI") costs.</t>
  </si>
  <si>
    <t>ROE start of Prior Year</t>
  </si>
  <si>
    <t>Beginning of Prior Year</t>
  </si>
  <si>
    <t>End of Prior Year</t>
  </si>
  <si>
    <t xml:space="preserve">1) Amounts on Line 13 from corresponding account Schedule 7, column 2.  </t>
  </si>
  <si>
    <t xml:space="preserve">The amounts for each month on the remaining lines are calculated by summing the following values: </t>
  </si>
  <si>
    <t>a) Other ISO Transmission Activity without Incentive Plant Activity on Lines 70-81 for the same month;</t>
  </si>
  <si>
    <t xml:space="preserve">c) The previous month balance of the Transmission Plant - ISO amounts on Lines 1-13.  </t>
  </si>
  <si>
    <t>b) ISO Incentive Plant Activity on Lines 41 to 52 for the same month; and</t>
  </si>
  <si>
    <t xml:space="preserve">For instance, the amount for May of the Prior Year (on Line 6) for Account 353 (Column 5) is the sum of the following values: </t>
  </si>
  <si>
    <t>a) the "Other ISO Transmission Activity without Incentive Plant Activity" for May of the Prior Year (on Line 74, Column 5);</t>
  </si>
  <si>
    <t>b) the "ISO Incentive Plant Activity" for May of the Prior Year (on Line 45, Column 5),</t>
  </si>
  <si>
    <t>c) and the "Transmission Plant - ISO" amount for April of the Prior Year (on Line 5, Column 5)."</t>
  </si>
  <si>
    <t>The amounts for each month on the remaining lines are calculated by summing the following values:</t>
  </si>
  <si>
    <t xml:space="preserve">b) Other Transmission Activity (on Lines 69 to 80) for the same month; and </t>
  </si>
  <si>
    <t>c) Balances for Transmission Depreciation Reserve (on Lines 1 to 13) for the previous month.</t>
  </si>
  <si>
    <t>For instance, the amount for May of the Prior Year (on Line 6) for Account 353 (Column 5) is the sum of the following values:</t>
  </si>
  <si>
    <t>a) Depreciaiton Expense for May of the Prior Year (on Line 44, Column 5);</t>
  </si>
  <si>
    <t xml:space="preserve">b) Other Transmission Activity for May of the Prior Year (on Line 73, Column 5); and </t>
  </si>
  <si>
    <t>c) The balances for Transmission Depreciation Reserve for April of the Prior Yeaer (on Line 5, column 5).</t>
  </si>
  <si>
    <t xml:space="preserve">Days in </t>
  </si>
  <si>
    <t>Prior Year FF Factor:</t>
  </si>
  <si>
    <t>Prior Year  U Factor:</t>
  </si>
  <si>
    <t>on the number of days each FF and U factor was in effect during the Prior Year at issue.</t>
  </si>
  <si>
    <t>during the Prior Year in "Days in Prior Year" Column.</t>
  </si>
  <si>
    <t>and note period of time for which each applies in "From" and "To" columns, and number of days each was in effect</t>
  </si>
  <si>
    <t>((L1 FF Factor * L1 Days) + (L2 FF Factor * L2 Days))/365</t>
  </si>
  <si>
    <t>((L3 U Factor * L3 Days) + (L4 U Factor * L4 Days))/365</t>
  </si>
  <si>
    <t>Calculation or Source</t>
  </si>
  <si>
    <t>Avg. of Sum of Cols. 1 and 2 below</t>
  </si>
  <si>
    <t>Sum of Column 3 below</t>
  </si>
  <si>
    <t xml:space="preserve">  Commission Order</t>
  </si>
  <si>
    <t xml:space="preserve"> Granting Approval of </t>
  </si>
  <si>
    <t xml:space="preserve">  Regulatory Liability</t>
  </si>
  <si>
    <t>The Base Transmission Revenues shown in Column 1 shall be reduced to reflect any retail customer refunds provided by SCE associated with the</t>
  </si>
  <si>
    <t>formula transmission rate that are made through a CPUC-authorized mechanism.</t>
  </si>
  <si>
    <t xml:space="preserve"> Attachment 2 to Appendix IX</t>
  </si>
  <si>
    <t>Formula Rate Spreadsheet</t>
  </si>
  <si>
    <t>f) Line Rents Costs</t>
  </si>
  <si>
    <t>g) Morongo Acres</t>
  </si>
  <si>
    <t>h) Transformers</t>
  </si>
  <si>
    <t>i) Circuit Breakers</t>
  </si>
  <si>
    <t>j) Voltage Control Equipment</t>
  </si>
  <si>
    <t>k) Substation Work Order Cost</t>
  </si>
  <si>
    <t>l) Transmission Work Order Cost</t>
  </si>
  <si>
    <t>m) Transmission Facility Property Damage</t>
  </si>
  <si>
    <t>n) Distribution Transformers</t>
  </si>
  <si>
    <t>o) Distribution Circuit Breakers</t>
  </si>
  <si>
    <t>p) Distribution Voltage Control Equipment</t>
  </si>
  <si>
    <t>Amounts on Line 1 must match corresponding account Schedule 7, Column 2 for previous year.</t>
  </si>
  <si>
    <t xml:space="preserve">1) Amounts on Line 13 based on current year Plant Study.  Amounts on Line 1 shall be based previous year Plant Study, and </t>
  </si>
  <si>
    <t>shall match amounts on Line 13 in previous year Annual Update.</t>
  </si>
  <si>
    <t xml:space="preserve">Cost Adjustment </t>
  </si>
  <si>
    <t xml:space="preserve">4) The Cost Adjustment component may be included as provided in the Tariff protocols. </t>
  </si>
  <si>
    <t>(Instructions 1&amp;2)</t>
  </si>
  <si>
    <t>C: Relates to all Regulated Electric Property</t>
  </si>
  <si>
    <t>C: Relates to employees in all functions</t>
  </si>
  <si>
    <t>C: FERC-Related state deductions</t>
  </si>
  <si>
    <t>Instruction 1: For any "Company Wide" ADIT line item balance (i.e., that include Catalina Gas or Water costs), indicate in Column 7</t>
  </si>
  <si>
    <t>with a leading "C:".</t>
  </si>
  <si>
    <t xml:space="preserve">Instruction 2: For any Company Wide ADIT balance items, include a portion of the total Column 2 balance in Column 3 </t>
  </si>
  <si>
    <t>"Gas, Generation, or Other Related" based on the following percentages.</t>
  </si>
  <si>
    <t xml:space="preserve">1) For Line items allocated based on the Wages and Salaries Allocation Factor: </t>
  </si>
  <si>
    <t>A:Total Electric Wages and Salaries</t>
  </si>
  <si>
    <t>B:Gas Wages and Salaries</t>
  </si>
  <si>
    <t>FF1 355.62b</t>
  </si>
  <si>
    <t>C:Water Wages and Salaries</t>
  </si>
  <si>
    <t>FF1 355.64b</t>
  </si>
  <si>
    <t>D:Total Electric, Gas, and Water Wages and Salaries</t>
  </si>
  <si>
    <t>A+B+C</t>
  </si>
  <si>
    <t>E:Labor Percentage "Gas, Generation, or Other"</t>
  </si>
  <si>
    <t>(B+C) / D</t>
  </si>
  <si>
    <t xml:space="preserve">2) For Line items allocated based on the Transmission Plant Allocation Factor or "ISO Only": </t>
  </si>
  <si>
    <t>F:Total Electric Plant In Service</t>
  </si>
  <si>
    <t>G:Total Gas Plant In Service</t>
  </si>
  <si>
    <t>FF1 201.8d</t>
  </si>
  <si>
    <t>H:Total Water Plant in Service</t>
  </si>
  <si>
    <t>FF1 201.8e</t>
  </si>
  <si>
    <t>I:Total Electric, Gas, and Water Plant In Service</t>
  </si>
  <si>
    <t>F+G+H</t>
  </si>
  <si>
    <t>J:Plant Percentage "Gas, Generation, or Other"</t>
  </si>
  <si>
    <t>(G+H) / I</t>
  </si>
  <si>
    <t>=C7-C9</t>
  </si>
  <si>
    <t>Corporate</t>
  </si>
  <si>
    <t>Overheads</t>
  </si>
  <si>
    <t>AFUDC</t>
  </si>
  <si>
    <t xml:space="preserve">Cost of </t>
  </si>
  <si>
    <t>ISO Corp OH Rate</t>
  </si>
  <si>
    <t>Cost of Removal Rate</t>
  </si>
  <si>
    <t>ISO AFUDC Rate</t>
  </si>
  <si>
    <t>C2*C3</t>
  </si>
  <si>
    <t>Accrual</t>
  </si>
  <si>
    <t>Plant Balance</t>
  </si>
  <si>
    <t>Sum of Depreciation Expense</t>
  </si>
  <si>
    <t>Composite Depreciation Rate</t>
  </si>
  <si>
    <t>4) ISO Corporate Overhead Loader</t>
  </si>
  <si>
    <t>7) Calculation of ISO Depreciation Rate</t>
  </si>
  <si>
    <t>5) ISO Cost of Removal Percent</t>
  </si>
  <si>
    <t>6) AFUDC Loader Rate</t>
  </si>
  <si>
    <t>2) Total Forecast Period CWIP Expenditures (see Note 1)</t>
  </si>
  <si>
    <t>Unloaded</t>
  </si>
  <si>
    <t xml:space="preserve">Total </t>
  </si>
  <si>
    <t>Prior Period</t>
  </si>
  <si>
    <t>Over Heads</t>
  </si>
  <si>
    <t>Expenditures</t>
  </si>
  <si>
    <t>CWIP Exp</t>
  </si>
  <si>
    <t>Plant Adds</t>
  </si>
  <si>
    <t>CWIP Closed</t>
  </si>
  <si>
    <t>Closed to PIS</t>
  </si>
  <si>
    <t>Period CWIP</t>
  </si>
  <si>
    <t>Incremental CWIP</t>
  </si>
  <si>
    <t>3) Forecast Period CWIP Expenditures by Project (see Note 1)</t>
  </si>
  <si>
    <t>3a) Project:</t>
  </si>
  <si>
    <t>= C1 + C2</t>
  </si>
  <si>
    <t>= Prior Month C7
+ C3 - C4 - C6</t>
  </si>
  <si>
    <t>= C7 - 
Dec Prior Year C7</t>
  </si>
  <si>
    <t>3b) Project:</t>
  </si>
  <si>
    <t>Devers to Colorado River</t>
  </si>
  <si>
    <t>3c) Project:</t>
  </si>
  <si>
    <t>Eldorado Ivanpah</t>
  </si>
  <si>
    <t>3d) Project:</t>
  </si>
  <si>
    <t>Lugo Pisgah</t>
  </si>
  <si>
    <t>3e) Project:</t>
  </si>
  <si>
    <t>3f) Project:</t>
  </si>
  <si>
    <t>Whirlwind Substation Expansion</t>
  </si>
  <si>
    <t>Unload</t>
  </si>
  <si>
    <t>3g) Project:</t>
  </si>
  <si>
    <t>Colorado River Substation Expansion</t>
  </si>
  <si>
    <t>3h) Project:</t>
  </si>
  <si>
    <t>South of Kramer</t>
  </si>
  <si>
    <t>3i) Project:</t>
  </si>
  <si>
    <t>West of Devers</t>
  </si>
  <si>
    <t>3j) Project:</t>
  </si>
  <si>
    <t>add additional projects below this line (See Instruction 3)</t>
  </si>
  <si>
    <t>3) If Commission approval is granted to include CWIP in Rate Base for additional projects, include additional tables for each of those additional projects.</t>
  </si>
  <si>
    <t>during the Rate Year, incremental to the year-end Prior Year amount.</t>
  </si>
  <si>
    <t>It is calculated on a 13-Month Average Basis during the Rate Year.</t>
  </si>
  <si>
    <t>1) Total Plant Additions Forecast (See Note 1)</t>
  </si>
  <si>
    <t>Loaded</t>
  </si>
  <si>
    <t>Eligible Plant</t>
  </si>
  <si>
    <t>2) Incentive Plant Forecast (See Note 1)</t>
  </si>
  <si>
    <t>N/A</t>
  </si>
  <si>
    <t>= Prior Month C7
+C1+C3</t>
  </si>
  <si>
    <t>= Prior Month C9
 + C8</t>
  </si>
  <si>
    <t>3) Non-Incentive Plant Forecast (See Note 1)</t>
  </si>
  <si>
    <t>= Prior Month C2
+C2+C5+C6</t>
  </si>
  <si>
    <t>December Prior Year plant balances and accrual rates are as shown on Schedule 17 Depreciation</t>
  </si>
  <si>
    <t>Complete this Schedule every other Annual Update beginning with the 2014 Annual Update (for Rate Year 2015)</t>
  </si>
  <si>
    <t>if the absolute value of the sum of the Cumulative PBOP Recovery Difference and the Future PBOP Recovery Difference is greater</t>
  </si>
  <si>
    <t>than 20% of the sum of SCE's forecast PBOP expense for the current year and the following year.</t>
  </si>
  <si>
    <t>Check of above-described condition:</t>
  </si>
  <si>
    <t>Years</t>
  </si>
  <si>
    <t>Cumulative PBOP Recovery Difference</t>
  </si>
  <si>
    <t>Future PBOP Recovery Difference</t>
  </si>
  <si>
    <t>Absolute Value of sum of a and b:</t>
  </si>
  <si>
    <t>20% of Two-Year Forecast PBOPs Expenses</t>
  </si>
  <si>
    <t xml:space="preserve">Is Filing Necessary? </t>
  </si>
  <si>
    <t>Amount of PBOPs Expenses that SCE must</t>
  </si>
  <si>
    <t>(C1)</t>
  </si>
  <si>
    <t>(C2)</t>
  </si>
  <si>
    <t>(C3)</t>
  </si>
  <si>
    <t>file for if filing is necessary:</t>
  </si>
  <si>
    <t xml:space="preserve">50% of </t>
  </si>
  <si>
    <t>PBOP</t>
  </si>
  <si>
    <t xml:space="preserve">Filing </t>
  </si>
  <si>
    <t xml:space="preserve">PBOPs </t>
  </si>
  <si>
    <t>Recovery</t>
  </si>
  <si>
    <t>Expenses</t>
  </si>
  <si>
    <t xml:space="preserve">1) The Cumulative PBOP Recovery Difference is the cumulative over-recovery or under-recovery of SCE’s PBOP expense amount </t>
  </si>
  <si>
    <t xml:space="preserve">during the period beginning on the date the currently-effective Authorized PBOB Expense Amount became effective and </t>
  </si>
  <si>
    <t>ending on December 31 of the immediately preceding Rate Year (“Prior PBOP Recovery Period”)</t>
  </si>
  <si>
    <t>Current Authorized PBOPs Expense Amount:</t>
  </si>
  <si>
    <t>Schedule 20, Note 3</t>
  </si>
  <si>
    <t>Over (-) or</t>
  </si>
  <si>
    <t>Under (+)</t>
  </si>
  <si>
    <t xml:space="preserve">First Year currently-effective </t>
  </si>
  <si>
    <t>PBOP Amount became effective:</t>
  </si>
  <si>
    <t>Cumulative PBOP Recovery Difference:</t>
  </si>
  <si>
    <t xml:space="preserve">Sum of above </t>
  </si>
  <si>
    <t>2) The Future PBOP Recovery Difference is the difference between:</t>
  </si>
  <si>
    <t>a) The sum of SCE's Forecast PBOP Expense for the current year and next year ("Projected Expense"); and</t>
  </si>
  <si>
    <t xml:space="preserve">b) The sum of SCE's PBOPs Expense amount to be recovered under its Formula Rate for the current year </t>
  </si>
  <si>
    <t>and the next year at the current Authorized PBOPs Expense Amount ("Projected Recovery").</t>
  </si>
  <si>
    <t>Calculation of Future PBOP Recovery Difference:</t>
  </si>
  <si>
    <t>Projected Expense:</t>
  </si>
  <si>
    <t>Sum of first two years of Forecast PBOPs Expenses</t>
  </si>
  <si>
    <t>Projected Recovery:</t>
  </si>
  <si>
    <t>(Current Authorized PBOPs Expense Amount) * 2</t>
  </si>
  <si>
    <t>Future PBOP Recovery Difference:</t>
  </si>
  <si>
    <t>Projected Expense less Projected Recovery</t>
  </si>
  <si>
    <t>Five Year Forecast PBOPs Expenses:</t>
  </si>
  <si>
    <t>Forecast PBOP</t>
  </si>
  <si>
    <t>Twenty Percent of sum of forecast PBOP Expense for current</t>
  </si>
  <si>
    <t>Rate Year and Immediately succeeding Rate Year:</t>
  </si>
  <si>
    <t>PBOPs Filing Determination</t>
  </si>
  <si>
    <t>Determination of PBOPs Filing Requirement and PBOPs Filing Amounts</t>
  </si>
  <si>
    <t>If amount on Line 3 is greater than amount on Line 4, then SCE must make filing.</t>
  </si>
  <si>
    <t>If (L3&gt;L4) then "Yes", else "No"</t>
  </si>
  <si>
    <t>Pursuant to Section 8.b of the formula rate protocols, SCE must make a filing to adjust the current Authorized PBOPs Expense Amount</t>
  </si>
  <si>
    <t>Calculation of Cumulative PBOP Recovery Difference (see Instruction 1):</t>
  </si>
  <si>
    <t>Note 2, Line i</t>
  </si>
  <si>
    <t>1) Enter "PBOPs Recovery" amounts in each line corresponding to a year in the "Prior PBOP Recovery Period" equal to the</t>
  </si>
  <si>
    <t>Current Authorized PBOPs Expense Amount in Note 1.  Enter "PBOPs Expenses" for each year equal to SCE's actual PBOPs expenses.</t>
  </si>
  <si>
    <t>(d+e) * 0.2</t>
  </si>
  <si>
    <t>Unfunded Reserves</t>
  </si>
  <si>
    <t>Determination of Unfunded Reserves</t>
  </si>
  <si>
    <t>(Line 17, Col 3)</t>
  </si>
  <si>
    <t>Unfunded</t>
  </si>
  <si>
    <t>Reserves</t>
  </si>
  <si>
    <t>Provision for Injuries and Damages</t>
  </si>
  <si>
    <t>(Line 26)</t>
  </si>
  <si>
    <t>Provision for Vac/Sick Leave</t>
  </si>
  <si>
    <t>(Line 33)</t>
  </si>
  <si>
    <t>Provision for Supplemental Executive Retirement Plan</t>
  </si>
  <si>
    <t>(Line 42)</t>
  </si>
  <si>
    <t>(Line 14 + Line 15 + Line 16)</t>
  </si>
  <si>
    <t>Calculations</t>
  </si>
  <si>
    <t>BOY/EOY</t>
  </si>
  <si>
    <t>Injuries and Damages - Acct. 2251010</t>
  </si>
  <si>
    <t>Company Records - Input (Negative)</t>
  </si>
  <si>
    <t>Net Injuries and Damages</t>
  </si>
  <si>
    <t>(Line 22 + Line 23)</t>
  </si>
  <si>
    <t>(27-Allocators, Line 9)</t>
  </si>
  <si>
    <t>ISO Transmission Rate Base Applicable</t>
  </si>
  <si>
    <t>(Line 24 x Line 25)</t>
  </si>
  <si>
    <t>Vacation Leave</t>
  </si>
  <si>
    <t>Vacation and Personal Time Accruals - Acct. 2350080</t>
  </si>
  <si>
    <t xml:space="preserve">Net Vacation Leave </t>
  </si>
  <si>
    <t>(Line 29 + Line 30)</t>
  </si>
  <si>
    <t>(Line 31 x Line 32)</t>
  </si>
  <si>
    <t>Supplemental Executive Retirement Plan</t>
  </si>
  <si>
    <t>Times:</t>
  </si>
  <si>
    <t>Applicable Rate Base Percentage</t>
  </si>
  <si>
    <t>Sub-Total Supplemental Executive Retirement Plan</t>
  </si>
  <si>
    <t>(Line 36 x Line 37)</t>
  </si>
  <si>
    <t>Net Supplemental Executive Retirement Plan</t>
  </si>
  <si>
    <t>(Line 38 + Line 39)</t>
  </si>
  <si>
    <t>(Line 40 x Line 41)</t>
  </si>
  <si>
    <t>Unfunded Reserves (Average BOY/EOY):</t>
  </si>
  <si>
    <t>Unfunded Reserves (EOY):</t>
  </si>
  <si>
    <t>(Line 17, Col 2)</t>
  </si>
  <si>
    <t>f) EPRI and EEI Expenses</t>
  </si>
  <si>
    <t>c) Calculation of EPRI and EEI Expense Exclusion</t>
  </si>
  <si>
    <t>EEI Expenses</t>
  </si>
  <si>
    <t>EPRI and EEI Expense Exclusion</t>
  </si>
  <si>
    <t>Sum of EPRI and EEI Expenses</t>
  </si>
  <si>
    <t>5) EPRI and EEI Expense Exclusion</t>
  </si>
  <si>
    <t xml:space="preserve">50% of the total balance in Column 1, plus an amount equal to the "Labor Percentage Gas, Generation, or Other" shown on Line E of Instruction 1 times 50% of the total balance in Column 1. </t>
  </si>
  <si>
    <t>The remaining amount shall be included in Column 6 "Labor Related".</t>
  </si>
  <si>
    <t>Preferred Stock Amount -- Account 204 (Note 8):</t>
  </si>
  <si>
    <t xml:space="preserve">8) Amount in Column 2 from FF1 112.3d, amount in Column 14 from FF1 112.3c, amounts in columns 3-13 from SCE internal records. </t>
  </si>
  <si>
    <t>9) Amounts in columns 2-14 are from SCE internal records.</t>
  </si>
  <si>
    <t>10) Amounts in columns 2-14 are from SCE internal records.</t>
  </si>
  <si>
    <t>Net Gain (Loss) From Purchase and Tender Offers Note 10):</t>
  </si>
  <si>
    <t>Total Proprietary Capital (Note 11):</t>
  </si>
  <si>
    <t xml:space="preserve">11) Amount in Column 2 from FF1 112.16d, amount in Column 14 from FF1 112.16c, amounts in columns 3-13 from SCE internal records. </t>
  </si>
  <si>
    <t xml:space="preserve">12) Amount in Column 2 from FF1 112.12d (opposite sign), amount in Column 14 from FF1 112.12c (opposite sign), amounts in columns 3-13 from SCE internal records. </t>
  </si>
  <si>
    <t>13) Amount in Column 2 from FF1 112.15d (opposite sign), amount in Column 14 from FF1 112.15c (opposite sign), amounts in columns 3-13 from SCE internal records.</t>
  </si>
  <si>
    <t>Note 2, d-h</t>
  </si>
  <si>
    <t>Calculation for Columns 2 and 3</t>
  </si>
  <si>
    <t>C2 = L1 * 0.5, C3 = C1 + C2</t>
  </si>
  <si>
    <t>C2 NA, C3 =Avg of L7,L8,L9, C1</t>
  </si>
  <si>
    <t>Absolute Value (Sum of L1 and L2)</t>
  </si>
  <si>
    <t>Calculation of Unfunded Reserves</t>
  </si>
  <si>
    <t>excluded.  For one-time costs, pre-in-service and post-in-service interest is included.</t>
  </si>
  <si>
    <t xml:space="preserve">Interest relates to refund of facility and one-time payments by generator.  For facility costs, pre-in-service date interest is  </t>
  </si>
  <si>
    <t>Total days in year:</t>
  </si>
  <si>
    <t>((Line a ROE * Line a days) + (Line b ROE * Line b days)) / Total Days in Year</t>
  </si>
  <si>
    <t>SCE Records and Workpapers</t>
  </si>
  <si>
    <t>(-Line 22 x (1-BaseTRR, Line 58))</t>
  </si>
  <si>
    <t>(-Line 29 x (1-BaseTRR, Line 58))</t>
  </si>
  <si>
    <t>(-Line 38 x (1-BaseTRR, Line 58))</t>
  </si>
  <si>
    <t xml:space="preserve">5) </t>
  </si>
  <si>
    <t>Not Used</t>
  </si>
  <si>
    <t>NOT USED</t>
  </si>
  <si>
    <t xml:space="preserve">4) </t>
  </si>
  <si>
    <t>Remaining A&amp;G after exclusions &amp; NOIC Adjustment:</t>
  </si>
  <si>
    <t>NOIC</t>
  </si>
  <si>
    <t xml:space="preserve">Note 2: Non-Officer Incentive Compensation ("NOIC") Adjustment </t>
  </si>
  <si>
    <t>(NOIC includes Results Sharing, Management Incentive Program, and Non-Officer Executive Incentive Compensation).</t>
  </si>
  <si>
    <t xml:space="preserve">Adjust NOIC by excluding accrued NOIC Amount and replacing with the </t>
  </si>
  <si>
    <t>Accrued NOIC Amount:</t>
  </si>
  <si>
    <t>Actual A&amp;G NOIC payout:</t>
  </si>
  <si>
    <t>2) Fill out "Itemization of Exclusions" table for all input cells. NOIC amount in</t>
  </si>
  <si>
    <t xml:space="preserve">2) Beginning with Prior Year 2012, any amount of Officer Executive Incentive Compensation ("OEIC")  in excess of the amount </t>
  </si>
  <si>
    <t xml:space="preserve">    authorized by the CPUC in Decision D.12-11-051 or subsequent decision.</t>
  </si>
  <si>
    <t xml:space="preserve">3) Beginning with Prior Year 2012, any amount of Supplemental Executive Retirement Plan ("SERP") in excess of the amount </t>
  </si>
  <si>
    <t>4) Beginning with Prior Year 2012, any amount of NOIC in excess of the amount authorized by the CPUC in Decision D.12-11-051 or subsequent decision.</t>
  </si>
  <si>
    <t>5) Any Spot Bonus costs.</t>
  </si>
  <si>
    <t>6) Any Awards to Celebrate Excellence  ("ACE") costs.</t>
  </si>
  <si>
    <r>
      <t>3) NOIC adjustment in Column 3</t>
    </r>
    <r>
      <rPr>
        <b/>
        <sz val="10"/>
        <rFont val="Arial"/>
        <family val="2"/>
      </rPr>
      <t xml:space="preserve">, </t>
    </r>
    <r>
      <rPr>
        <sz val="10"/>
        <rFont val="Arial"/>
        <family val="2"/>
      </rPr>
      <t xml:space="preserve">Line 24 is made by determining the difference between the total accrued NOIC amount </t>
    </r>
  </si>
  <si>
    <t>included in the FERC Form 1 recorded cost amounts and the actual A&amp;G NOIC payout (see note 2).</t>
  </si>
  <si>
    <t>NOIC adjustment in column 3, Line 26 is made by entering the amount of accrued NOIC that is capitalized.</t>
  </si>
  <si>
    <t>Transmission NOIC (Note 3)</t>
  </si>
  <si>
    <t>Distribution NOIC (Note 3)</t>
  </si>
  <si>
    <t>Total TDBU NOIC</t>
  </si>
  <si>
    <t>Transmission NOIC (Note 4)</t>
  </si>
  <si>
    <t>Distribution NOIC (Note 4)</t>
  </si>
  <si>
    <t>the Transmission NOIC Percentage calculated below.  Distribution NOIC equals Total TDBU NOIC times the Distribution NOIC Percentage below.</t>
  </si>
  <si>
    <t>Total TDBU NOIC is on Line:</t>
  </si>
  <si>
    <t>Transmission NOIC Percentage:</t>
  </si>
  <si>
    <t>Distribution NOIC Percentage:</t>
  </si>
  <si>
    <t xml:space="preserve">4) NOIC attributable to ISO Transmission (Column 7) is calculated utilizing a percentage equal to the ratio of total ISO O&amp;M Labor Expenses in column 7 (exclusive of NOIC) to </t>
  </si>
  <si>
    <t>the total labor expenses in column 3 (exclusive of NOIC).  That allocator, which is identified below, is then applied to the value in Column 3 to arrive at the NOIC attributable to ISO Transmission in Column 7.</t>
  </si>
  <si>
    <t>Less A&amp;G NOIC</t>
  </si>
  <si>
    <t>NOIC wo A&amp;G NOIC</t>
  </si>
  <si>
    <t>Total non-A&amp;G W&amp;S with NOIC</t>
  </si>
  <si>
    <t>3) Total TDBU NOIC is allocated to Transmission and Distribution in proportion to labor in the respective functions.  Transmission NOIC ("Non-Officer Incentive Compensation") equals Total TDBU NOIC times</t>
  </si>
  <si>
    <t>Total NOIC (Non-Officer Incentive Compensation)</t>
  </si>
  <si>
    <t>dividing adopted Uncollectibles expense by Total Operating revenues less Uncollectibles Expense.  Resulting FF &amp; U</t>
  </si>
  <si>
    <t>3) Enter ISO portion of plant in Column 2, "Transmission Plant - ISO, or "Distribution Plant - ISO".</t>
  </si>
  <si>
    <t>Depreciation Rates (Percent per year)  See "18-DepRates" and Instruction 1.</t>
  </si>
  <si>
    <t>17a</t>
  </si>
  <si>
    <t>17b</t>
  </si>
  <si>
    <t>17c</t>
  </si>
  <si>
    <t>17d</t>
  </si>
  <si>
    <t>17e</t>
  </si>
  <si>
    <t>17f</t>
  </si>
  <si>
    <t>17g</t>
  </si>
  <si>
    <t>17h</t>
  </si>
  <si>
    <t>17i</t>
  </si>
  <si>
    <t>17j</t>
  </si>
  <si>
    <t>17k</t>
  </si>
  <si>
    <t>17l</t>
  </si>
  <si>
    <t>17m</t>
  </si>
  <si>
    <t>1) Depreciation rates on Lines 17a-17m input from Schedule 18.  However, in the event of a mid-year change in depreciation rates approved by the Commission,</t>
  </si>
  <si>
    <t xml:space="preserve">the rates stated on Schedule 18 will represent end of Prior Year rates.  To correctly calculate depreciation expense for Transmission Plant - ISO for the entire  </t>
  </si>
  <si>
    <t xml:space="preserve">Prior Year, input depreciation rates from Schedule 18 only for those months during which the new rates were in effect, and input previous </t>
  </si>
  <si>
    <t>effective rates in the months for which they were in effect.</t>
  </si>
  <si>
    <t xml:space="preserve">5) Enter any One Time Adjustments on Column 4, Line 11 (or other appropriate).  If SCE is owed enter as positive, if SCE is to return to customers enter as negative.  </t>
  </si>
  <si>
    <t>c) Reliability Services Revenue.</t>
  </si>
  <si>
    <t>b) Transmission Access Charge Balancing Account Adjustment.</t>
  </si>
  <si>
    <t xml:space="preserve">a) Transmission Revenue Balancing Account Adjustment revenue. </t>
  </si>
  <si>
    <t>1) Not Used</t>
  </si>
  <si>
    <t>2) Not Used</t>
  </si>
  <si>
    <t xml:space="preserve">6) </t>
  </si>
  <si>
    <t xml:space="preserve">7) </t>
  </si>
  <si>
    <t xml:space="preserve">2) </t>
  </si>
  <si>
    <t>3) Update notes 9 and 10 as necessary.</t>
  </si>
  <si>
    <t>a) Depreciation Expense (on Lines 40 to 51) for the same month;</t>
  </si>
  <si>
    <t xml:space="preserve">removes the interest income/expense amounts previously recorded and included in current tax expense.  The purpose of the adjustment is to reflect only income </t>
  </si>
  <si>
    <t>tax amounts without any interest income/expense amounts.  The amount is directly from SCE's accounting system.</t>
  </si>
  <si>
    <t>Mono Power Company is a subsidiary company.  Net Earnings are reported on Acct 418.1, pg 225.11e.  Revenues and costs shall be non-ISO.</t>
  </si>
  <si>
    <t>SCE Capital Company is a subsidiary company.  Net Earnings are reported on Acct 418.1, pg 225.23e.  Revenues and costs shall be non-ISO.</t>
  </si>
  <si>
    <t>3) Includes recorded Transmission Plant-In-Service additions, retirements, transfers and adjustments.  From SCE internal acounting records.</t>
  </si>
  <si>
    <t>3) Total annual amortization associated with events listed in note 10 on 5-ROR-2.</t>
  </si>
  <si>
    <t>4) Total annual amortization associated with preferred equity issues listed in note 9 on 5-ROR-2.</t>
  </si>
  <si>
    <t>Note 2: Adjustment to exclude interest component related portion of Federal Income Taxes Payable on Line 805.  The Interest Income Reclassification adjustment</t>
  </si>
  <si>
    <t>Sum of Column D, Line 43 and Column G, Line 32</t>
  </si>
  <si>
    <t xml:space="preserve">Instruction 3: For any balances in account 190 relating to "Executive Incentive Comp" or "Executive Incentive Plan", the amount included in Column 3 "Gas, Generation or Other Related" shall be </t>
  </si>
  <si>
    <t>Instruction 4: Classify any ADIT line items relating to refunding and retirement of debt as Plant related (Column 5).</t>
  </si>
  <si>
    <t>Instruction 5: For any balances in account 190 relating to stock options, the entire amount is included in Column 3 “Gas, Generation or Other Related.”</t>
  </si>
  <si>
    <t>Accrual Rate</t>
  </si>
  <si>
    <t>18 Dep Rates L1</t>
  </si>
  <si>
    <t>18 Dep Rates L2</t>
  </si>
  <si>
    <t>18 Dep Rates L3</t>
  </si>
  <si>
    <t>18 Dep Rates L4</t>
  </si>
  <si>
    <t>18 Dep Rates L5</t>
  </si>
  <si>
    <t>18 Dep Rates L6</t>
  </si>
  <si>
    <t>18 Dep Rates L7</t>
  </si>
  <si>
    <t>18 Dep Rates L8</t>
  </si>
  <si>
    <t>18 Dep Rates L9</t>
  </si>
  <si>
    <t>18 Dep Rates L10</t>
  </si>
  <si>
    <r>
      <t xml:space="preserve">Row </t>
    </r>
    <r>
      <rPr>
        <u/>
        <sz val="10"/>
        <rFont val="Arial"/>
        <family val="2"/>
      </rPr>
      <t>38</t>
    </r>
    <r>
      <rPr>
        <sz val="10"/>
        <rFont val="Arial"/>
        <family val="2"/>
      </rPr>
      <t>, Column i</t>
    </r>
  </si>
  <si>
    <r>
      <t xml:space="preserve">Row </t>
    </r>
    <r>
      <rPr>
        <u/>
        <sz val="10"/>
        <rFont val="Arial"/>
        <family val="2"/>
      </rPr>
      <t>6</t>
    </r>
    <r>
      <rPr>
        <sz val="10"/>
        <rFont val="Arial"/>
        <family val="2"/>
      </rPr>
      <t>, Column i</t>
    </r>
  </si>
  <si>
    <r>
      <t xml:space="preserve">Row </t>
    </r>
    <r>
      <rPr>
        <u/>
        <sz val="10"/>
        <rFont val="Arial"/>
        <family val="2"/>
      </rPr>
      <t>24</t>
    </r>
    <r>
      <rPr>
        <sz val="10"/>
        <rFont val="Arial"/>
        <family val="2"/>
      </rPr>
      <t>, Column i</t>
    </r>
  </si>
  <si>
    <r>
      <t xml:space="preserve">Row </t>
    </r>
    <r>
      <rPr>
        <u/>
        <sz val="10"/>
        <rFont val="Arial"/>
        <family val="2"/>
      </rPr>
      <t>10</t>
    </r>
    <r>
      <rPr>
        <sz val="10"/>
        <rFont val="Arial"/>
        <family val="2"/>
      </rPr>
      <t>, Column i</t>
    </r>
  </si>
  <si>
    <r>
      <t xml:space="preserve">Row </t>
    </r>
    <r>
      <rPr>
        <u/>
        <sz val="10"/>
        <rFont val="Arial"/>
        <family val="2"/>
      </rPr>
      <t>40</t>
    </r>
    <r>
      <rPr>
        <sz val="10"/>
        <rFont val="Arial"/>
        <family val="2"/>
      </rPr>
      <t>, Column i</t>
    </r>
  </si>
  <si>
    <t>Jan 1, 2012</t>
  </si>
  <si>
    <t>Dec 31, 2012</t>
  </si>
  <si>
    <t>Dec 2011</t>
  </si>
  <si>
    <t>Jan 2012</t>
  </si>
  <si>
    <t>Feb 2012</t>
  </si>
  <si>
    <t>Mar 2012</t>
  </si>
  <si>
    <t>Apr 2012</t>
  </si>
  <si>
    <t>May 2012</t>
  </si>
  <si>
    <t>Jun 20102</t>
  </si>
  <si>
    <t>Jul 2012</t>
  </si>
  <si>
    <t>Aug 2012</t>
  </si>
  <si>
    <t>Sep 2012</t>
  </si>
  <si>
    <t>Oct 2012</t>
  </si>
  <si>
    <t>Nov 2012</t>
  </si>
  <si>
    <t>Dec 2012</t>
  </si>
  <si>
    <t>Jun 2012</t>
  </si>
  <si>
    <t xml:space="preserve"> SCE records</t>
  </si>
  <si>
    <t xml:space="preserve">Alberhill </t>
  </si>
  <si>
    <t>Sub</t>
  </si>
  <si>
    <t>DPV2-AZ</t>
  </si>
  <si>
    <t>ER12-239</t>
  </si>
  <si>
    <t>4j</t>
  </si>
  <si>
    <t>Uneconomic Line Extension</t>
  </si>
  <si>
    <t>4k</t>
  </si>
  <si>
    <t>Opt Out CARE-Res-Ini</t>
  </si>
  <si>
    <t>4l</t>
  </si>
  <si>
    <t>Opt Out CARE-Res-Mo</t>
  </si>
  <si>
    <t>4m</t>
  </si>
  <si>
    <t>Opt Out NonCARE-Res-Ini</t>
  </si>
  <si>
    <t>4n</t>
  </si>
  <si>
    <t>Opt Out NonCARE-Res-Mo</t>
  </si>
  <si>
    <t>10x</t>
  </si>
  <si>
    <t>Op Misc Land/Fac Rev</t>
  </si>
  <si>
    <t>10y</t>
  </si>
  <si>
    <t>T-Unauth Pole Rent</t>
  </si>
  <si>
    <t>10z</t>
  </si>
  <si>
    <t>T-P&amp;E Fees</t>
  </si>
  <si>
    <t>Grant Amortization</t>
  </si>
  <si>
    <t>GHG Allowance Revenue</t>
  </si>
  <si>
    <t>12ccc</t>
  </si>
  <si>
    <t>12ddd</t>
  </si>
  <si>
    <t>G,H</t>
  </si>
  <si>
    <t>CPUC D. 12-11-051</t>
  </si>
  <si>
    <t>3) Amortization of December balance over Rate Effective Period:</t>
  </si>
  <si>
    <t>1) Enter applicable years on Column 1, Lines 11-34 and 43-54.</t>
  </si>
  <si>
    <t>2) Enter Previous Period True Up Adjustment (if any) on Column 4, Lines 23-34.  See Note 4 for definition of Previous Period True Up Adjustment.</t>
  </si>
  <si>
    <t>18 C.F.R. §35.19a on lines 11 to 34, Column 6.  If interest rate for any months not known, use most recent known month.</t>
  </si>
  <si>
    <t>4) Enter "Total Amortization" amount on Line 57, column 6 to set September Month Ending Balance Column 7, Line 54 equal to $0.  Iterate if necessary to solve.</t>
  </si>
  <si>
    <t>(i.e., so that the Month Beginning Balance in Column 3, Line 43 is completely amortized away by the Amortization amounts in Column 4).</t>
  </si>
  <si>
    <t>6) Fill in matrix of all retail revenues from Prior Year in table on lines 95 to 106.</t>
  </si>
  <si>
    <t>7) Enter Total Sales to Ultimate Consumers on line 109 and verify that it equals the total on line 107.</t>
  </si>
  <si>
    <t>These are the 12 monthly values of the "True Up Adjustment Received/Returned" in Column 8, Lines 43 -54 from the previous Informational Filing,</t>
  </si>
  <si>
    <t>They are input into Column 4, lines 23-34 of this current Informational Filing, corresponding to the Rate Effective Period of the previous Informational Filing.</t>
  </si>
  <si>
    <t>8) The Interest Rate in Rate Effective Period is equal to average of interest rates in previous 12 months (lines 23-34).</t>
  </si>
  <si>
    <t>9) The "Month Beginning Balance"  is Month Ending Balance from previous month in Column 7 (January is from Column 9, Line 34).</t>
  </si>
  <si>
    <t>10) Amortization equals amount in Line 57 divided by 12 each month.  See Instruction #4 also for further detail.</t>
  </si>
  <si>
    <t>Amort of Debt Issuance Cost</t>
  </si>
  <si>
    <t>Executive Incentive Comp</t>
  </si>
  <si>
    <t>DIT - APS Right of Way</t>
  </si>
  <si>
    <t>Corp Name Change</t>
  </si>
  <si>
    <t>Bond Discount Amort</t>
  </si>
  <si>
    <t>Executive Incentive Plan</t>
  </si>
  <si>
    <t>Ins - Inj/Damages Prov</t>
  </si>
  <si>
    <t>Accrued Vacation</t>
  </si>
  <si>
    <t>Health Care - IBNR</t>
  </si>
  <si>
    <t>Def Tax - CCFT Base Rates - R.L.</t>
  </si>
  <si>
    <t>Ins Res/Casualty Loss</t>
  </si>
  <si>
    <t>Int Capitalized - AFUDC</t>
  </si>
  <si>
    <t>PBOP 401H Amortization</t>
  </si>
  <si>
    <t>STATE RATE ADJUSTMENT</t>
  </si>
  <si>
    <t>EMS</t>
  </si>
  <si>
    <t>Decommissioning</t>
  </si>
  <si>
    <t>Balancing Accounts</t>
  </si>
  <si>
    <t>CIAC/ITCC</t>
  </si>
  <si>
    <t>Pension &amp; PBOP</t>
  </si>
  <si>
    <t>Property/Non-ISO</t>
  </si>
  <si>
    <t>Regulatory Assets/Liab</t>
  </si>
  <si>
    <t>Temp-Other/Non-ISO</t>
  </si>
  <si>
    <t>Non-Rate Base FAS 109 Tax Flow-Thru - CIAC</t>
  </si>
  <si>
    <t>C: Relates to CIAC Non-ISO Property Costs</t>
  </si>
  <si>
    <t>Audit Rollforward</t>
  </si>
  <si>
    <t>Gas and Other Non-ISO Related Costs</t>
  </si>
  <si>
    <t>Reclass Acct 190 Credit and Acct 283 Debit Balances</t>
  </si>
  <si>
    <t xml:space="preserve">Fully Normalized Deferred Tax </t>
  </si>
  <si>
    <t>Property-Related FERC Costs</t>
  </si>
  <si>
    <t>Other - Non/ISO</t>
  </si>
  <si>
    <t>DPV2 ADIT - Abandonment</t>
  </si>
  <si>
    <t>Acc Def Inc Tax-AFUDC</t>
  </si>
  <si>
    <t>Repairs 3115 - FERC Deduction</t>
  </si>
  <si>
    <t>Fully Normalized Deferred Tax - Book</t>
  </si>
  <si>
    <t>Property-Related Def Tax Adjust</t>
  </si>
  <si>
    <t>Repair Deduction/Non-ISO</t>
  </si>
  <si>
    <t>Property-Related CPUC Costs - Repair</t>
  </si>
  <si>
    <t>Def Tax State - Other (GSI)</t>
  </si>
  <si>
    <t>Payroll Tax</t>
  </si>
  <si>
    <t>Ad Valorem Lien Date Adj-Electric</t>
  </si>
  <si>
    <t>Amortization of Debt Expense</t>
  </si>
  <si>
    <t>Refunding &amp; Retirement of Debt</t>
  </si>
  <si>
    <t>Capitalized Software</t>
  </si>
  <si>
    <t>Non-Rate Base FAS 109 Tax Flow-Thru - Software</t>
  </si>
  <si>
    <t>Repair-Deduction</t>
  </si>
  <si>
    <t>Property/Non-Electric</t>
  </si>
  <si>
    <t>Temp-Other/Non-Electric</t>
  </si>
  <si>
    <t>Capitalized Software/Non-ISO</t>
  </si>
  <si>
    <t>Other Reclass - FIN48</t>
  </si>
  <si>
    <t xml:space="preserve">1) Forecast Period is the calendar year two years after the Prior Year (i.e., PY+2).   </t>
  </si>
  <si>
    <t>2) Sum of project specific values from lines 55-79, 81-105, 107-131, 133-157, 159-183, 185-209, 211-235, 237-261, 263-287, 289-313,…</t>
  </si>
  <si>
    <t>2) Enter forecast project specific values on lines 55-79, 81-105, 107-131, 133-157, 159-183, 185-209, 211-235, 237-261, 263-287, 289-313,...</t>
  </si>
  <si>
    <t>= C1 * 
16-Plnt Add Line 74</t>
  </si>
  <si>
    <t>= (C4 - C5) *
16-Plnt Add Line 74</t>
  </si>
  <si>
    <t>C4 10-CWIP
L30-53</t>
  </si>
  <si>
    <t>C5 10-CWIP
L30-53</t>
  </si>
  <si>
    <t>C6 10-CWIP
L30-53</t>
  </si>
  <si>
    <t>= Prior Month C7 
* L91/12</t>
  </si>
  <si>
    <t>=C11* (1-L75)
* (1+L74+L76)</t>
  </si>
  <si>
    <t>2) Sum of Incentive Plant Calculations and Non-Incentive Calculations, lines 26-49 and lines 50-73</t>
  </si>
  <si>
    <t>present</t>
  </si>
  <si>
    <t>Schedule-28 Workpaper, line 3</t>
  </si>
  <si>
    <t>Schedule-28 Workpaper, line 4</t>
  </si>
  <si>
    <t>Column 8, Line 55</t>
  </si>
  <si>
    <t>Line 17, column 3</t>
  </si>
  <si>
    <t>Domestic</t>
  </si>
  <si>
    <t>GS-1</t>
  </si>
  <si>
    <t xml:space="preserve">       GS-1 continued</t>
  </si>
  <si>
    <t>TC-1</t>
  </si>
  <si>
    <t>GS-2</t>
  </si>
  <si>
    <t>TOU-GS-3</t>
  </si>
  <si>
    <t>TOU-8-SEC</t>
  </si>
  <si>
    <t>TOU-8-PRI</t>
  </si>
  <si>
    <t>TOU-8-SUB</t>
  </si>
  <si>
    <t>TOU-8-Standby-SEC</t>
  </si>
  <si>
    <t>TOU-8-Standby-PRI</t>
  </si>
  <si>
    <t>TOU-8-Standby-SUB</t>
  </si>
  <si>
    <t>TOU-PA-2</t>
  </si>
  <si>
    <t>TOU-PA-3</t>
  </si>
  <si>
    <t>Street Lighting</t>
  </si>
  <si>
    <t>Sales Forecast Billing Determinants:</t>
  </si>
  <si>
    <t>= Retail Base TRR * Line1:Col1</t>
  </si>
  <si>
    <t>Applies to supplemental kW demand charges</t>
  </si>
  <si>
    <t>Applies to contracted standby kW demand charges</t>
  </si>
  <si>
    <t>= Line1:Col2 / (Line1:Col3*10^6)</t>
  </si>
  <si>
    <t>= Line1:Col2 / ((Line1:Col 4 + Line1:Col5)*10^3)</t>
  </si>
  <si>
    <t>Recorded Billing Determinants: to be applied to the Supplemental kW demand charges, and the Contracted Standby kW demand charges</t>
  </si>
  <si>
    <t>GWh</t>
  </si>
  <si>
    <t>Maximum demand - MW</t>
  </si>
  <si>
    <t>Standby demand - MW</t>
  </si>
  <si>
    <t>Total energy rate - $/kWh</t>
  </si>
  <si>
    <t>Total demand rate - $/kW-month</t>
  </si>
  <si>
    <r>
      <t>1b</t>
    </r>
    <r>
      <rPr>
        <b/>
        <vertAlign val="subscript"/>
        <sz val="10"/>
        <rFont val="Arial"/>
        <family val="2"/>
      </rPr>
      <t>2</t>
    </r>
  </si>
  <si>
    <t>2) Determination of Standby Demand Rates for Rate Groups</t>
  </si>
  <si>
    <t>from Line1:Col2</t>
  </si>
  <si>
    <t>from Line44:Col3</t>
  </si>
  <si>
    <t>from Line44:Col4</t>
  </si>
  <si>
    <t>= Line9:Col2 / Line9:Col3</t>
  </si>
  <si>
    <t>= Line9:Col1 * Line9:Col4</t>
  </si>
  <si>
    <t>from Lin1:Col5</t>
  </si>
  <si>
    <t>= Line9:Col5 / Line9:Col6 / 10^3</t>
  </si>
  <si>
    <t>Adjusted 12-CP at backup load</t>
  </si>
  <si>
    <t>Adjusted 12-CP at total load</t>
  </si>
  <si>
    <t>Backup allocation factors</t>
  </si>
  <si>
    <t>Backup revenue requirement</t>
  </si>
  <si>
    <t>Contracted standby kW demand Charge - $/kW</t>
  </si>
  <si>
    <t>9a</t>
  </si>
  <si>
    <t>9b</t>
  </si>
  <si>
    <t>9c</t>
  </si>
  <si>
    <t>9d</t>
  </si>
  <si>
    <t>= Line16:Col1 - Line16:Col3</t>
  </si>
  <si>
    <t>= Line16:Col7 * Line1:Col5 *10^3</t>
  </si>
  <si>
    <t>= Line16:Col2 / (Line1:Col3 * 10^6)</t>
  </si>
  <si>
    <t>= Line16:Col2 / Line1:Col4 / 10^3</t>
  </si>
  <si>
    <t>from Line9:Col7</t>
  </si>
  <si>
    <t>= Line16:Col6 * 0.746</t>
  </si>
  <si>
    <t>= Line16:Col7 * 0.746</t>
  </si>
  <si>
    <t>Revenue associated with Supplemental Demand or Energy</t>
  </si>
  <si>
    <t>Standby Demand Revenue</t>
  </si>
  <si>
    <t>Supplemental Demand Charge - $/kW-month</t>
  </si>
  <si>
    <t>Contracted standby kW demand Charge - $/kW-month</t>
  </si>
  <si>
    <t>Supplemental Demand Charge - $/HP-month</t>
  </si>
  <si>
    <t>Contracted standby kW demand Charge - $/HP-month</t>
  </si>
  <si>
    <t>16a</t>
  </si>
  <si>
    <t>16b</t>
  </si>
  <si>
    <t>16c</t>
  </si>
  <si>
    <t>16d</t>
  </si>
  <si>
    <t>16e</t>
  </si>
  <si>
    <t>16f</t>
  </si>
  <si>
    <t>16g</t>
  </si>
  <si>
    <t>16h</t>
  </si>
  <si>
    <t>16i</t>
  </si>
  <si>
    <t>16j</t>
  </si>
  <si>
    <t>16k</t>
  </si>
  <si>
    <t>16l</t>
  </si>
  <si>
    <t>16m</t>
  </si>
  <si>
    <t>16n</t>
  </si>
  <si>
    <t>16o</t>
  </si>
  <si>
    <t>1) See Col 9 of Lines 35a, 35b, 35c, etc.</t>
  </si>
  <si>
    <t>2) Sales forecast in total Giga-watt hours usage - applies to non-demand charge schedules, represents the customers' total annual GWh usage</t>
  </si>
  <si>
    <t>3) Sales forecast pertaining to the sum of monthly maximum supplemental Mega-watt demand, applies to demand charge schedules</t>
  </si>
  <si>
    <t>4) Sales forecast pertaining to the sum of monthly contracted standby Mega-watt demand, applies to standby schedules</t>
  </si>
  <si>
    <t>5) Recorded sales from Sample meters adjusted for population - use to set the total demand rate for the optional time-of-use schedules within the GS-1 rate group</t>
  </si>
  <si>
    <r>
      <t>6) Total demand rate for the optional time-of-use schedules within the GS-1 rate group, = (Line1b:Col6 * Line1b:Col8 *10^6) / ((Line1b:Col9 + Line1b:Col10) * 10^3).  Line 1b</t>
    </r>
    <r>
      <rPr>
        <vertAlign val="subscript"/>
        <sz val="10"/>
        <rFont val="Arial"/>
        <family val="2"/>
      </rPr>
      <t>2</t>
    </r>
    <r>
      <rPr>
        <sz val="10"/>
        <rFont val="Arial"/>
        <family val="2"/>
      </rPr>
      <t>:Col8 = Line 1b:Col6 * Line 1b:Col8 * 10^6.</t>
    </r>
  </si>
  <si>
    <t>7) For optional time-of-use schedules within the GS-1 rate group, = (Line16:Col7 * Line1b:Col10 *10^3)</t>
  </si>
  <si>
    <r>
      <t>8) For optional time-of-use schedules within the GS-1 rate group (Line16b:Col6), = (Line1b</t>
    </r>
    <r>
      <rPr>
        <vertAlign val="subscript"/>
        <sz val="10"/>
        <rFont val="Arial"/>
        <family val="2"/>
      </rPr>
      <t>2</t>
    </r>
    <r>
      <rPr>
        <sz val="10"/>
        <rFont val="Arial"/>
        <family val="2"/>
      </rPr>
      <t>:Col8 - Line16:Col3) / Line1b:Col9 / 10^3</t>
    </r>
  </si>
  <si>
    <t>9) For the non TOU-8-Standby rate group, it is the minimum of Line16i:Col7, or the total demand rate in Line1:Col7</t>
  </si>
  <si>
    <t>10)  Applicable to time-of-use schedules within the GS-1 rate group</t>
  </si>
  <si>
    <t>11)  Applicable to the optional schedules that contain horse power charge such as PA-1</t>
  </si>
  <si>
    <t>26a</t>
  </si>
  <si>
    <t>Includes Schedules D, D-CARE, D-FERA,TOU-D-T, TOU-EV-1, TOU-D-TEV, DE, D-SDP, D-SDP-O, DM, DMS-1, DMS-2, DMS-3, and DS.</t>
  </si>
  <si>
    <t>26b</t>
  </si>
  <si>
    <t>Includes Schedules GS-1, TOU-EV-3, and TOU-GS-1 (Option A, B, RTP, CPP, Standby, GS-APS, and GS-APS-E).</t>
  </si>
  <si>
    <t>26c</t>
  </si>
  <si>
    <t>Includes Schedules TC-1, Wi-Fi-1, and WTR.</t>
  </si>
  <si>
    <t>26d</t>
  </si>
  <si>
    <t xml:space="preserve">Includes Schedules GS-2, TOU-EV-4, and TOU-GS-2 (Option A, B, R, RTP, CPP, Standby, GS-APS, and GS-APS-E). </t>
  </si>
  <si>
    <t>26e</t>
  </si>
  <si>
    <t>Includes Schedules TOU-GS-3-CPP, and TOU-GS-3 (Option A, B, R, RTP, SOP, Standby, TOU-BIP, GS-APS, and GS-APS-E).</t>
  </si>
  <si>
    <t>26f</t>
  </si>
  <si>
    <t>Includes Schedules TOU-8-CPP, TOU-8-RBU, and TOU-8 (Option A, B, R, RTP, TOU-BIP, GS-APS, and GS-APS-E).</t>
  </si>
  <si>
    <t>26g</t>
  </si>
  <si>
    <t>26h</t>
  </si>
  <si>
    <t>26i</t>
  </si>
  <si>
    <t>Includes Schedules TOU-8-Standby (Option B, RTP, TOU-BIP, GS-APS, and GS-APS-E).</t>
  </si>
  <si>
    <t>26j</t>
  </si>
  <si>
    <t>26k</t>
  </si>
  <si>
    <t>26l</t>
  </si>
  <si>
    <t>Includes Schedules  PA-1, PA-2, TOU-PA-ICE, and TOU-PA-2 (Option A, B, RTP, SOP-1, SOP-2, CPP, Standby, and AP-I).</t>
  </si>
  <si>
    <t>26m</t>
  </si>
  <si>
    <t>Includes Schedules  TOU-PA-3-CPP, and TOU-PA-3 (Option A, B, RTP, SOP-1, SOP-2, Standby, and AP-I).</t>
  </si>
  <si>
    <t>26n</t>
  </si>
  <si>
    <t>Includes Schedules AL-2, DWL, LS-1, LS-2, LS-3, and OL-1.</t>
  </si>
  <si>
    <t>26o</t>
  </si>
  <si>
    <t>= Line35:(Col1+Col2+Col3)/3</t>
  </si>
  <si>
    <t>from Line1:Col3</t>
  </si>
  <si>
    <t>= Line35:(Col4*Col5/Col6*Col7)</t>
  </si>
  <si>
    <t>= Line35:(Col8 / total of Col8)</t>
  </si>
  <si>
    <t>3-Year Average</t>
  </si>
  <si>
    <t>Recorded GWh (2009-2011 Average)</t>
  </si>
  <si>
    <t>12-CP Allocation factors</t>
  </si>
  <si>
    <t>35a</t>
  </si>
  <si>
    <t>35b</t>
  </si>
  <si>
    <t>35c</t>
  </si>
  <si>
    <t>35d</t>
  </si>
  <si>
    <t>35e</t>
  </si>
  <si>
    <t>35f</t>
  </si>
  <si>
    <t>35g</t>
  </si>
  <si>
    <t>35h</t>
  </si>
  <si>
    <t>35i</t>
  </si>
  <si>
    <t>35j</t>
  </si>
  <si>
    <t>35k</t>
  </si>
  <si>
    <t>35l</t>
  </si>
  <si>
    <t>35m</t>
  </si>
  <si>
    <t>35n</t>
  </si>
  <si>
    <t>35o</t>
  </si>
  <si>
    <t>=Line44:Col1 * Line44:Col2</t>
  </si>
  <si>
    <t>from Line35:Col8</t>
  </si>
  <si>
    <t>12 CP at Backup Load</t>
  </si>
  <si>
    <t>44a</t>
  </si>
  <si>
    <t>44b</t>
  </si>
  <si>
    <t>44c</t>
  </si>
  <si>
    <t>44d</t>
  </si>
  <si>
    <t>1-BaseTRR WS, Line 86</t>
  </si>
  <si>
    <t>2012-2014</t>
  </si>
  <si>
    <t>H:  Excludes shareholder funded costs.</t>
  </si>
  <si>
    <t>In the event that the Formula Rate timelines in effect during the previous Informational Filing differ from this Informational Filing, enter the Previous Period True Up Adjustment</t>
  </si>
  <si>
    <t>in this Informational Filing on the lines corrresponding to the Rate Effective Period from the previous Informational Filing.</t>
  </si>
  <si>
    <t>4) Cost Adjustment may be included as provided in the Tariff protocols.</t>
  </si>
  <si>
    <t>1/16 (O&amp;M + A&amp;G)</t>
  </si>
  <si>
    <t>Beginning of Year Amount</t>
  </si>
  <si>
    <t>End of Year Amount</t>
  </si>
  <si>
    <t>Income Taxes = [((RB * ER) + D) * (CTR/(1 – CTR))]  + CO/(1 – CTR)</t>
  </si>
  <si>
    <t>Actual non-capitalized NOIC Payouts:</t>
  </si>
  <si>
    <t>actual non-capitalized A&amp;G NOIC payout.</t>
  </si>
  <si>
    <t>Forecast 12-CP Retail Load:</t>
  </si>
  <si>
    <t>Series D Pref., 6.500%</t>
  </si>
  <si>
    <t>Series E Pref., 6.250%</t>
  </si>
  <si>
    <t>Series F Pref., 5.625%</t>
  </si>
  <si>
    <t>Full Development of Retail and Wholesale Base TRRs</t>
  </si>
  <si>
    <t>Presentation of Prior Year CWIP and Forecast Period Incremental CWIP</t>
  </si>
  <si>
    <t>True Up TRR without Franchise Fees and Uncollectibles Expense included:</t>
  </si>
  <si>
    <t>k</t>
  </si>
  <si>
    <t xml:space="preserve">b) EOY General and Intangible Depreciation Reserve </t>
  </si>
  <si>
    <t>Dividend rate is variable after 4/30/2010.  Fully amortized.</t>
  </si>
  <si>
    <t>Eleven months amortization in 2012</t>
  </si>
  <si>
    <t>Seven months amortization in 2012</t>
  </si>
  <si>
    <t>3) Devers to Col. River</t>
  </si>
  <si>
    <t>7, 17</t>
  </si>
  <si>
    <t>divided by total labor in these same accounts (column 3):</t>
  </si>
  <si>
    <t>Straddle Subs (Cross 200 kV boundary):</t>
  </si>
  <si>
    <t>G: Exclude any amount of ACE awards or Spot Bonuses in O&amp;M accounts 560-592.</t>
  </si>
  <si>
    <t>F:  Exclude amount of costs transfered to account from A&amp;G Account 920 pursuant to Order 668.</t>
  </si>
  <si>
    <t>E: Add NOIC annual payout.</t>
  </si>
  <si>
    <t>569.100 - Hardware</t>
  </si>
  <si>
    <t>569.200 - Software</t>
  </si>
  <si>
    <t>569.300 - Communication</t>
  </si>
  <si>
    <t>Gross Plant that can directly be determined to be HV or LV:</t>
  </si>
  <si>
    <t>Settlement in ER11-3697</t>
  </si>
  <si>
    <t>B) Return on Capital</t>
  </si>
  <si>
    <t>C) Income Taxes</t>
  </si>
  <si>
    <t>D) True Up TRR Calculation</t>
  </si>
  <si>
    <t>E) Calculation of final True Up TRR with Franchise Fees and Uncollectibles Expenses</t>
  </si>
  <si>
    <t xml:space="preserve">1) No change in Return on Common Equity will be made absent a Section 205 filing at the Commission. </t>
  </si>
  <si>
    <t>AFCRCWIP = CLTD  + (COS * (1/(1 - CTR)))</t>
  </si>
  <si>
    <t>Reacquired Bonds -- Account 222 (Note 2): enter - of FF1</t>
  </si>
  <si>
    <t>Unappropriated Undist. Sub. Earnings -- Acct. 216.1 (Note 12): enter - of FF1</t>
  </si>
  <si>
    <t>Accumulated Other Comprehensive Loss -- Account 219 (Note 13): enter - of FF1</t>
  </si>
  <si>
    <t xml:space="preserve">Unamortized Issuance Costs (Note 9): enter negative </t>
  </si>
  <si>
    <t>= Sum (Cols. 2-14)/13</t>
  </si>
  <si>
    <t>G,I</t>
  </si>
  <si>
    <t>I:  Excludes costs of towers written off related to TRTP Segment 8 FAA issue near Chino Airport.</t>
  </si>
  <si>
    <t>2014 TRBAA</t>
  </si>
  <si>
    <t>ER14-464</t>
  </si>
  <si>
    <t>J:  Add SWPPP costs for 2012 reversed from capital to expense.</t>
  </si>
  <si>
    <t xml:space="preserve">Change In </t>
  </si>
  <si>
    <t>TO8 TUTRR</t>
  </si>
  <si>
    <t xml:space="preserve">Filed TO8: </t>
  </si>
  <si>
    <t xml:space="preserve">Change: </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</si>
</sst>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0%"/>
    <numFmt numFmtId="166" formatCode="&quot;$&quot;#,##0.00"/>
    <numFmt numFmtId="167" formatCode="_(* #,##0_);_(* \(#,##0\);_(* &quot;-&quot;??_);_(@_)"/>
    <numFmt numFmtId="168" formatCode="0.000%"/>
    <numFmt numFmtId="169" formatCode="&quot;$&quot;#,##0.0000000"/>
    <numFmt numFmtId="170" formatCode="0.000"/>
    <numFmt numFmtId="171" formatCode="0.0%"/>
    <numFmt numFmtId="172" formatCode="#,##0.000"/>
    <numFmt numFmtId="173" formatCode="0.00000%"/>
    <numFmt numFmtId="174" formatCode="&quot;$&quot;#,##0.00000"/>
    <numFmt numFmtId="175" formatCode="0.0000"/>
    <numFmt numFmtId="176" formatCode="_(&quot;$&quot;* #,##0.00_);_(&quot;$&quot;* \(#,##0.00\);_(&quot;$&quot;* &quot;-&quot;_);_(@_)"/>
    <numFmt numFmtId="177" formatCode="_-* #,##0.00\ _D_M_-;\-* #,##0.00\ _D_M_-;_-* &quot;-&quot;??\ _D_M_-;_-@_-"/>
    <numFmt numFmtId="178" formatCode="_-* #,##0\ _D_M_-;\-* #,##0\ _D_M_-;_-* &quot;-&quot;??\ _D_M_-;_-@_-"/>
    <numFmt numFmtId="179" formatCode="_(&quot;$&quot;* #,##0_);_(&quot;$&quot;* \(#,##0\);_(&quot;$&quot;* &quot;-&quot;??_);_(@_)"/>
    <numFmt numFmtId="180" formatCode="#,##0.0_);[Red]\(#,##0.0\)"/>
    <numFmt numFmtId="181" formatCode="#,##0.0"/>
    <numFmt numFmtId="182" formatCode="m/d/yy;@"/>
    <numFmt numFmtId="183" formatCode="&quot;$&quot;#,##0.000000"/>
    <numFmt numFmtId="184" formatCode="&quot;$&quot;#,##0;[Red]&quot;$&quot;#,##0"/>
    <numFmt numFmtId="185" formatCode="mmm\ yyyy"/>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u/>
      <sz val="10"/>
      <name val="Arial"/>
      <family val="2"/>
    </font>
    <font>
      <b/>
      <sz val="10"/>
      <color indexed="13"/>
      <name val="Arial"/>
      <family val="2"/>
    </font>
    <font>
      <sz val="10"/>
      <color indexed="13"/>
      <name val="Arial"/>
      <family val="2"/>
    </font>
    <font>
      <u/>
      <sz val="10"/>
      <name val="Arial"/>
      <family val="2"/>
    </font>
    <font>
      <u/>
      <sz val="10"/>
      <name val="Arial"/>
      <family val="2"/>
    </font>
    <font>
      <u/>
      <sz val="10"/>
      <color indexed="12"/>
      <name val="Arial"/>
      <family val="2"/>
    </font>
    <font>
      <sz val="8"/>
      <name val="Times New Roman"/>
      <family val="1"/>
    </font>
    <font>
      <sz val="10"/>
      <name val="Calibri"/>
      <family val="2"/>
    </font>
    <font>
      <b/>
      <sz val="10"/>
      <name val="Calibri"/>
      <family val="2"/>
    </font>
    <font>
      <sz val="9"/>
      <name val="Arial"/>
      <family val="2"/>
    </font>
    <font>
      <u/>
      <sz val="9"/>
      <name val="Arial"/>
      <family val="2"/>
    </font>
    <font>
      <u val="singleAccounting"/>
      <sz val="10"/>
      <name val="Arial"/>
      <family val="2"/>
    </font>
    <font>
      <i/>
      <sz val="10"/>
      <name val="Arial"/>
      <family val="2"/>
    </font>
    <font>
      <sz val="11"/>
      <color indexed="8"/>
      <name val="Calibri"/>
      <family val="2"/>
    </font>
    <font>
      <sz val="11"/>
      <color indexed="9"/>
      <name val="Calibri"/>
      <family val="2"/>
    </font>
    <font>
      <b/>
      <sz val="11"/>
      <color indexed="8"/>
      <name val="Calibri"/>
      <family val="2"/>
    </font>
    <font>
      <sz val="10"/>
      <color indexed="8"/>
      <name val="Arial"/>
      <family val="2"/>
    </font>
    <font>
      <sz val="10"/>
      <color indexed="10"/>
      <name val="Arial"/>
      <family val="2"/>
    </font>
    <font>
      <b/>
      <sz val="10"/>
      <color indexed="8"/>
      <name val="Arial"/>
      <family val="2"/>
    </font>
    <font>
      <sz val="10"/>
      <name val="MS Sans Serif"/>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b/>
      <vertAlign val="subscript"/>
      <sz val="10"/>
      <name val="Arial"/>
      <family val="2"/>
    </font>
    <font>
      <b/>
      <sz val="16"/>
      <name val="Arial"/>
      <family val="2"/>
    </font>
    <font>
      <sz val="11"/>
      <color theme="1"/>
      <name val="Calibri"/>
      <family val="2"/>
      <scheme val="minor"/>
    </font>
    <font>
      <b/>
      <sz val="11"/>
      <color theme="1"/>
      <name val="Calibri"/>
      <family val="2"/>
      <scheme val="minor"/>
    </font>
    <font>
      <sz val="10"/>
      <color rgb="FFFF0000"/>
      <name val="Arial"/>
      <family val="2"/>
    </font>
    <font>
      <sz val="10"/>
      <color theme="1"/>
      <name val="Arial"/>
      <family val="2"/>
    </font>
    <font>
      <b/>
      <sz val="10"/>
      <color theme="1"/>
      <name val="Arial"/>
      <family val="2"/>
    </font>
    <font>
      <b/>
      <u/>
      <sz val="10"/>
      <color theme="1"/>
      <name val="Arial"/>
      <family val="2"/>
    </font>
    <font>
      <b/>
      <u/>
      <sz val="11"/>
      <color theme="1"/>
      <name val="Calibri"/>
      <family val="2"/>
      <scheme val="minor"/>
    </font>
    <font>
      <b/>
      <sz val="10"/>
      <color rgb="FFFF0000"/>
      <name val="Arial"/>
      <family val="2"/>
    </font>
    <font>
      <u/>
      <sz val="10"/>
      <color theme="1"/>
      <name val="Arial"/>
      <family val="2"/>
    </font>
    <font>
      <sz val="11"/>
      <name val="Calibri"/>
      <family val="2"/>
      <scheme val="minor"/>
    </font>
    <font>
      <b/>
      <sz val="11"/>
      <name val="Calibri"/>
      <family val="2"/>
      <scheme val="minor"/>
    </font>
    <font>
      <sz val="10"/>
      <color theme="1"/>
      <name val="Calibri"/>
      <family val="2"/>
      <scheme val="minor"/>
    </font>
    <font>
      <b/>
      <i/>
      <sz val="10"/>
      <name val="Arial"/>
      <family val="2"/>
    </font>
    <font>
      <sz val="10"/>
      <name val="Calibri"/>
      <family val="2"/>
      <scheme val="minor"/>
    </font>
    <font>
      <sz val="10"/>
      <name val="Arial"/>
      <family val="2"/>
    </font>
    <font>
      <strike/>
      <sz val="10"/>
      <name val="Arial"/>
      <family val="2"/>
    </font>
    <font>
      <sz val="10"/>
      <color rgb="FF000000"/>
      <name val="Arial"/>
      <family val="2"/>
    </font>
    <font>
      <sz val="10"/>
      <color theme="1"/>
      <name val="Calibri"/>
      <family val="2"/>
    </font>
    <font>
      <sz val="12"/>
      <name val="Times New Roman"/>
      <family val="1"/>
    </font>
    <font>
      <b/>
      <sz val="20"/>
      <name val="Arial"/>
      <family val="2"/>
    </font>
    <font>
      <u/>
      <sz val="11"/>
      <name val="Calibri"/>
      <family val="2"/>
      <scheme val="minor"/>
    </font>
    <font>
      <b/>
      <sz val="12"/>
      <name val="Arial"/>
      <family val="2"/>
    </font>
    <font>
      <vertAlign val="subscript"/>
      <sz val="10"/>
      <name val="Arial"/>
      <family val="2"/>
    </font>
    <font>
      <u/>
      <sz val="10"/>
      <color rgb="FFFF0000"/>
      <name val="Arial"/>
      <family val="2"/>
    </font>
    <font>
      <b/>
      <u/>
      <sz val="11"/>
      <name val="Calibri"/>
      <family val="2"/>
      <scheme val="minor"/>
    </font>
    <font>
      <u/>
      <sz val="10"/>
      <color rgb="FFFF0000"/>
      <name val="Calibri"/>
      <family val="2"/>
    </font>
    <font>
      <sz val="10"/>
      <color rgb="FFFF0000"/>
      <name val="Calibri"/>
      <family val="2"/>
    </font>
  </fonts>
  <fills count="39">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3"/>
        <bgColor indexed="64"/>
      </patternFill>
    </fill>
    <fill>
      <patternFill patternType="solid">
        <fgColor indexed="8"/>
        <bgColor indexed="64"/>
      </patternFill>
    </fill>
    <fill>
      <patternFill patternType="solid">
        <fgColor rgb="FFFFFF00"/>
        <bgColor indexed="64"/>
      </patternFill>
    </fill>
    <fill>
      <patternFill patternType="solid">
        <fgColor theme="1"/>
        <bgColor indexed="64"/>
      </patternFill>
    </fill>
    <fill>
      <patternFill patternType="solid">
        <fgColor rgb="FFFFCCCC"/>
        <bgColor indexed="64"/>
      </patternFill>
    </fill>
  </fills>
  <borders count="35">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medium">
        <color rgb="FFFF0000"/>
      </left>
      <right/>
      <top/>
      <bottom/>
      <diagonal/>
    </border>
    <border>
      <left/>
      <right style="medium">
        <color rgb="FFFF0000"/>
      </right>
      <top/>
      <bottom/>
      <diagonal/>
    </border>
  </borders>
  <cellStyleXfs count="162">
    <xf numFmtId="0" fontId="0" fillId="0" borderId="0"/>
    <xf numFmtId="0" fontId="27" fillId="8" borderId="0" applyNumberFormat="0" applyBorder="0" applyAlignment="0" applyProtection="0"/>
    <xf numFmtId="0" fontId="27" fillId="9" borderId="0" applyNumberFormat="0" applyBorder="0" applyAlignment="0" applyProtection="0"/>
    <xf numFmtId="0" fontId="28"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8" fillId="1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7" fillId="20" borderId="0" applyNumberFormat="0" applyBorder="0" applyAlignment="0" applyProtection="0"/>
    <xf numFmtId="0" fontId="27" fillId="13" borderId="0" applyNumberFormat="0" applyBorder="0" applyAlignment="0" applyProtection="0"/>
    <xf numFmtId="0" fontId="28" fillId="21" borderId="0" applyNumberFormat="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xf numFmtId="44" fontId="10" fillId="0" borderId="0" applyFont="0" applyFill="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19"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38" fontId="20" fillId="0" borderId="0"/>
    <xf numFmtId="9" fontId="10"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4" fontId="32" fillId="25" borderId="1" applyNumberFormat="0" applyProtection="0">
      <alignment vertical="center"/>
    </xf>
    <xf numFmtId="4" fontId="34" fillId="25" borderId="1" applyNumberFormat="0" applyProtection="0">
      <alignment vertical="center"/>
    </xf>
    <xf numFmtId="4" fontId="32" fillId="25" borderId="1" applyNumberFormat="0" applyProtection="0">
      <alignment horizontal="left" vertical="center" indent="1"/>
    </xf>
    <xf numFmtId="0" fontId="32" fillId="25" borderId="1" applyNumberFormat="0" applyProtection="0">
      <alignment horizontal="left" vertical="top" indent="1"/>
    </xf>
    <xf numFmtId="4" fontId="32" fillId="27" borderId="0" applyNumberFormat="0" applyProtection="0">
      <alignment horizontal="left" vertical="center" indent="1"/>
    </xf>
    <xf numFmtId="4" fontId="30" fillId="2" borderId="1" applyNumberFormat="0" applyProtection="0">
      <alignment horizontal="right" vertical="center"/>
    </xf>
    <xf numFmtId="4" fontId="30" fillId="4" borderId="1" applyNumberFormat="0" applyProtection="0">
      <alignment horizontal="right" vertical="center"/>
    </xf>
    <xf numFmtId="4" fontId="30" fillId="11" borderId="1" applyNumberFormat="0" applyProtection="0">
      <alignment horizontal="right" vertical="center"/>
    </xf>
    <xf numFmtId="4" fontId="30" fillId="6" borderId="1" applyNumberFormat="0" applyProtection="0">
      <alignment horizontal="right" vertical="center"/>
    </xf>
    <xf numFmtId="4" fontId="30" fillId="7" borderId="1" applyNumberFormat="0" applyProtection="0">
      <alignment horizontal="right" vertical="center"/>
    </xf>
    <xf numFmtId="4" fontId="30" fillId="19" borderId="1" applyNumberFormat="0" applyProtection="0">
      <alignment horizontal="right" vertical="center"/>
    </xf>
    <xf numFmtId="4" fontId="30" fillId="15" borderId="1" applyNumberFormat="0" applyProtection="0">
      <alignment horizontal="right" vertical="center"/>
    </xf>
    <xf numFmtId="4" fontId="30" fillId="28" borderId="1" applyNumberFormat="0" applyProtection="0">
      <alignment horizontal="right" vertical="center"/>
    </xf>
    <xf numFmtId="4" fontId="30" fillId="5" borderId="1" applyNumberFormat="0" applyProtection="0">
      <alignment horizontal="right" vertical="center"/>
    </xf>
    <xf numFmtId="4" fontId="32" fillId="29" borderId="2" applyNumberFormat="0" applyProtection="0">
      <alignment horizontal="left" vertical="center" indent="1"/>
    </xf>
    <xf numFmtId="4" fontId="30" fillId="30" borderId="0" applyNumberFormat="0" applyProtection="0">
      <alignment horizontal="left" vertical="center" indent="1"/>
    </xf>
    <xf numFmtId="4" fontId="35" fillId="31" borderId="0" applyNumberFormat="0" applyProtection="0">
      <alignment horizontal="left" vertical="center" indent="1"/>
    </xf>
    <xf numFmtId="4" fontId="30" fillId="27" borderId="1" applyNumberFormat="0" applyProtection="0">
      <alignment horizontal="right" vertical="center"/>
    </xf>
    <xf numFmtId="4" fontId="30" fillId="30" borderId="0" applyNumberFormat="0" applyProtection="0">
      <alignment horizontal="left" vertical="center" indent="1"/>
    </xf>
    <xf numFmtId="4" fontId="30" fillId="27" borderId="0" applyNumberFormat="0" applyProtection="0">
      <alignment horizontal="left" vertical="center" indent="1"/>
    </xf>
    <xf numFmtId="0" fontId="13" fillId="31" borderId="1" applyNumberFormat="0" applyProtection="0">
      <alignment horizontal="left" vertical="center" indent="1"/>
    </xf>
    <xf numFmtId="0" fontId="13" fillId="31" borderId="1" applyNumberFormat="0" applyProtection="0">
      <alignment horizontal="left" vertical="top" indent="1"/>
    </xf>
    <xf numFmtId="0" fontId="13" fillId="27" borderId="1" applyNumberFormat="0" applyProtection="0">
      <alignment horizontal="left" vertical="center" indent="1"/>
    </xf>
    <xf numFmtId="0" fontId="13" fillId="27" borderId="1" applyNumberFormat="0" applyProtection="0">
      <alignment horizontal="left" vertical="top" indent="1"/>
    </xf>
    <xf numFmtId="0" fontId="13" fillId="3" borderId="1" applyNumberFormat="0" applyProtection="0">
      <alignment horizontal="left" vertical="center" indent="1"/>
    </xf>
    <xf numFmtId="0" fontId="13" fillId="3" borderId="1" applyNumberFormat="0" applyProtection="0">
      <alignment horizontal="left" vertical="top" indent="1"/>
    </xf>
    <xf numFmtId="0" fontId="13" fillId="30" borderId="1" applyNumberFormat="0" applyProtection="0">
      <alignment horizontal="left" vertical="center" indent="1"/>
    </xf>
    <xf numFmtId="0" fontId="13" fillId="30" borderId="1" applyNumberFormat="0" applyProtection="0">
      <alignment horizontal="left" vertical="top" indent="1"/>
    </xf>
    <xf numFmtId="0" fontId="13" fillId="32" borderId="3" applyNumberFormat="0">
      <protection locked="0"/>
    </xf>
    <xf numFmtId="4" fontId="30" fillId="26" borderId="1" applyNumberFormat="0" applyProtection="0">
      <alignment vertical="center"/>
    </xf>
    <xf numFmtId="4" fontId="36" fillId="26" borderId="1" applyNumberFormat="0" applyProtection="0">
      <alignment vertical="center"/>
    </xf>
    <xf numFmtId="4" fontId="30" fillId="26" borderId="1" applyNumberFormat="0" applyProtection="0">
      <alignment horizontal="left" vertical="center" indent="1"/>
    </xf>
    <xf numFmtId="0" fontId="30" fillId="26" borderId="1" applyNumberFormat="0" applyProtection="0">
      <alignment horizontal="left" vertical="top" indent="1"/>
    </xf>
    <xf numFmtId="4" fontId="30" fillId="30" borderId="1" applyNumberFormat="0" applyProtection="0">
      <alignment horizontal="right" vertical="center"/>
    </xf>
    <xf numFmtId="4" fontId="36" fillId="30" borderId="1" applyNumberFormat="0" applyProtection="0">
      <alignment horizontal="right" vertical="center"/>
    </xf>
    <xf numFmtId="4" fontId="30" fillId="27" borderId="1" applyNumberFormat="0" applyProtection="0">
      <alignment horizontal="left" vertical="center" indent="1"/>
    </xf>
    <xf numFmtId="0" fontId="30" fillId="27" borderId="1" applyNumberFormat="0" applyProtection="0">
      <alignment horizontal="left" vertical="top" indent="1"/>
    </xf>
    <xf numFmtId="4" fontId="37" fillId="33" borderId="0" applyNumberFormat="0" applyProtection="0">
      <alignment horizontal="left" vertical="center" indent="1"/>
    </xf>
    <xf numFmtId="4" fontId="31" fillId="30" borderId="1" applyNumberFormat="0" applyProtection="0">
      <alignment horizontal="right" vertical="center"/>
    </xf>
    <xf numFmtId="0" fontId="38" fillId="0" borderId="0" applyNumberFormat="0" applyFill="0" applyBorder="0" applyAlignment="0" applyProtection="0"/>
    <xf numFmtId="0" fontId="10" fillId="0" borderId="0"/>
    <xf numFmtId="0" fontId="8" fillId="0" borderId="0"/>
    <xf numFmtId="0" fontId="8" fillId="0" borderId="0"/>
    <xf numFmtId="177" fontId="10" fillId="0" borderId="0" applyFont="0" applyFill="0" applyBorder="0" applyAlignment="0" applyProtection="0"/>
    <xf numFmtId="0" fontId="10" fillId="31" borderId="1" applyNumberFormat="0" applyProtection="0">
      <alignment horizontal="left" vertical="center" indent="1"/>
    </xf>
    <xf numFmtId="0" fontId="10" fillId="31" borderId="1" applyNumberFormat="0" applyProtection="0">
      <alignment horizontal="left" vertical="top" indent="1"/>
    </xf>
    <xf numFmtId="0" fontId="10" fillId="27" borderId="1" applyNumberFormat="0" applyProtection="0">
      <alignment horizontal="left" vertical="center" indent="1"/>
    </xf>
    <xf numFmtId="0" fontId="10" fillId="27" borderId="1" applyNumberFormat="0" applyProtection="0">
      <alignment horizontal="left" vertical="top" indent="1"/>
    </xf>
    <xf numFmtId="0" fontId="10" fillId="3" borderId="1" applyNumberFormat="0" applyProtection="0">
      <alignment horizontal="left" vertical="center" indent="1"/>
    </xf>
    <xf numFmtId="0" fontId="10" fillId="3" borderId="1" applyNumberFormat="0" applyProtection="0">
      <alignment horizontal="left" vertical="top" indent="1"/>
    </xf>
    <xf numFmtId="0" fontId="10" fillId="30" borderId="1" applyNumberFormat="0" applyProtection="0">
      <alignment horizontal="left" vertical="center" indent="1"/>
    </xf>
    <xf numFmtId="0" fontId="10" fillId="30" borderId="1" applyNumberFormat="0" applyProtection="0">
      <alignment horizontal="left" vertical="top" indent="1"/>
    </xf>
    <xf numFmtId="0" fontId="10" fillId="32" borderId="3" applyNumberFormat="0">
      <protection locked="0"/>
    </xf>
    <xf numFmtId="0" fontId="55"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3" fillId="0" borderId="0"/>
    <xf numFmtId="0" fontId="33" fillId="0" borderId="0"/>
    <xf numFmtId="0" fontId="33" fillId="0" borderId="0"/>
    <xf numFmtId="0" fontId="33" fillId="0" borderId="0"/>
    <xf numFmtId="0" fontId="33" fillId="0" borderId="0"/>
    <xf numFmtId="43" fontId="44" fillId="0" borderId="0" applyFont="0" applyFill="0" applyBorder="0" applyAlignment="0" applyProtection="0"/>
    <xf numFmtId="9" fontId="10" fillId="0" borderId="0" applyFont="0" applyFill="0" applyBorder="0" applyAlignment="0" applyProtection="0"/>
    <xf numFmtId="0" fontId="10" fillId="0" borderId="0"/>
    <xf numFmtId="0" fontId="1" fillId="0" borderId="0"/>
    <xf numFmtId="0" fontId="1" fillId="0" borderId="0"/>
    <xf numFmtId="0" fontId="1"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61">
    <xf numFmtId="0" fontId="0" fillId="0" borderId="0" xfId="0"/>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quotePrefix="1" applyFont="1" applyAlignment="1">
      <alignment horizontal="center"/>
    </xf>
    <xf numFmtId="0" fontId="13" fillId="0" borderId="0" xfId="0" applyFont="1" applyFill="1" applyBorder="1" applyAlignment="1">
      <alignment horizontal="left" indent="1"/>
    </xf>
    <xf numFmtId="164" fontId="0" fillId="34" borderId="0" xfId="0" applyNumberFormat="1" applyFill="1"/>
    <xf numFmtId="164" fontId="0" fillId="0" borderId="0" xfId="0" applyNumberFormat="1"/>
    <xf numFmtId="165" fontId="0" fillId="0" borderId="0" xfId="0" applyNumberFormat="1"/>
    <xf numFmtId="0" fontId="0" fillId="35" borderId="0" xfId="0" applyFill="1"/>
    <xf numFmtId="0" fontId="15" fillId="35" borderId="0" xfId="0" applyFont="1" applyFill="1"/>
    <xf numFmtId="0" fontId="16" fillId="35" borderId="0" xfId="0" applyFont="1" applyFill="1"/>
    <xf numFmtId="0" fontId="13" fillId="0" borderId="0" xfId="0" applyFont="1"/>
    <xf numFmtId="0" fontId="13" fillId="0" borderId="0" xfId="0" applyFont="1" applyAlignment="1">
      <alignment horizontal="left" indent="1"/>
    </xf>
    <xf numFmtId="0" fontId="0" fillId="0" borderId="0" xfId="0" applyFill="1"/>
    <xf numFmtId="0" fontId="13" fillId="0" borderId="0" xfId="0" applyFont="1" applyFill="1"/>
    <xf numFmtId="0" fontId="0" fillId="0" borderId="0" xfId="0" applyAlignment="1">
      <alignment horizontal="left" indent="1"/>
    </xf>
    <xf numFmtId="0" fontId="13" fillId="0" borderId="0" xfId="28" applyFont="1"/>
    <xf numFmtId="0" fontId="13" fillId="0" borderId="0" xfId="28" applyFont="1" applyBorder="1" applyAlignment="1"/>
    <xf numFmtId="0" fontId="13" fillId="0" borderId="0" xfId="28" applyFont="1" applyBorder="1"/>
    <xf numFmtId="0" fontId="13" fillId="0" borderId="0" xfId="28" applyFont="1" applyBorder="1" applyAlignment="1">
      <alignment horizontal="left"/>
    </xf>
    <xf numFmtId="0" fontId="13" fillId="0" borderId="0" xfId="28" applyNumberFormat="1" applyFont="1" applyFill="1" applyBorder="1" applyAlignment="1">
      <alignment horizontal="left"/>
    </xf>
    <xf numFmtId="0" fontId="11" fillId="0" borderId="0" xfId="28" applyNumberFormat="1" applyFont="1" applyFill="1" applyBorder="1" applyAlignment="1">
      <alignment horizontal="left"/>
    </xf>
    <xf numFmtId="3" fontId="13" fillId="0" borderId="0" xfId="28" applyNumberFormat="1" applyFont="1" applyFill="1" applyBorder="1" applyAlignment="1"/>
    <xf numFmtId="1" fontId="13" fillId="0" borderId="0" xfId="28" applyNumberFormat="1" applyFont="1" applyFill="1" applyBorder="1" applyAlignment="1">
      <alignment horizontal="center"/>
    </xf>
    <xf numFmtId="0" fontId="14" fillId="0" borderId="0" xfId="28" applyFont="1" applyBorder="1" applyAlignment="1">
      <alignment horizontal="center"/>
    </xf>
    <xf numFmtId="0" fontId="11" fillId="0" borderId="0" xfId="28" applyFont="1" applyAlignment="1">
      <alignment horizontal="center"/>
    </xf>
    <xf numFmtId="167" fontId="13" fillId="0" borderId="0" xfId="28" applyNumberFormat="1" applyFont="1" applyFill="1" applyBorder="1" applyAlignment="1">
      <alignment horizontal="right"/>
    </xf>
    <xf numFmtId="167" fontId="13" fillId="0" borderId="0" xfId="20" applyNumberFormat="1" applyFont="1" applyFill="1" applyBorder="1" applyAlignment="1">
      <alignment horizontal="right"/>
    </xf>
    <xf numFmtId="0" fontId="14" fillId="0" borderId="0" xfId="28" applyFont="1" applyFill="1" applyBorder="1" applyAlignment="1">
      <alignment horizontal="center"/>
    </xf>
    <xf numFmtId="3" fontId="13" fillId="0" borderId="0" xfId="28" applyNumberFormat="1" applyFont="1" applyFill="1" applyBorder="1" applyAlignment="1">
      <alignment horizontal="left" indent="1"/>
    </xf>
    <xf numFmtId="0" fontId="14" fillId="0" borderId="0" xfId="28" applyFont="1" applyAlignment="1">
      <alignment horizontal="center"/>
    </xf>
    <xf numFmtId="0" fontId="13" fillId="0" borderId="0" xfId="28" applyFont="1" applyBorder="1" applyAlignment="1">
      <alignment horizontal="right"/>
    </xf>
    <xf numFmtId="164" fontId="13" fillId="0" borderId="0" xfId="20" applyNumberFormat="1" applyFont="1" applyFill="1" applyBorder="1" applyAlignment="1">
      <alignment horizontal="right"/>
    </xf>
    <xf numFmtId="0" fontId="13" fillId="0" borderId="0" xfId="28" applyNumberFormat="1" applyFont="1" applyFill="1" applyBorder="1" applyAlignment="1">
      <alignment horizontal="right"/>
    </xf>
    <xf numFmtId="167" fontId="13" fillId="0" borderId="0" xfId="28" quotePrefix="1" applyNumberFormat="1" applyFont="1" applyFill="1" applyBorder="1" applyAlignment="1">
      <alignment horizontal="left" indent="1"/>
    </xf>
    <xf numFmtId="0" fontId="0" fillId="0" borderId="0" xfId="0" applyAlignment="1">
      <alignment horizontal="right"/>
    </xf>
    <xf numFmtId="0" fontId="15" fillId="35" borderId="0" xfId="0" applyFont="1" applyFill="1" applyBorder="1"/>
    <xf numFmtId="0" fontId="16" fillId="35" borderId="0" xfId="0" applyFont="1" applyFill="1" applyBorder="1"/>
    <xf numFmtId="0" fontId="11" fillId="0" borderId="0" xfId="0" applyFont="1" applyFill="1" applyBorder="1"/>
    <xf numFmtId="0" fontId="13" fillId="0" borderId="0" xfId="0" applyFont="1" applyFill="1" applyBorder="1"/>
    <xf numFmtId="3" fontId="13" fillId="0" borderId="0" xfId="28" applyNumberFormat="1" applyFont="1" applyFill="1" applyBorder="1" applyAlignment="1">
      <alignment horizontal="left"/>
    </xf>
    <xf numFmtId="10" fontId="0" fillId="0" borderId="0" xfId="0" applyNumberFormat="1"/>
    <xf numFmtId="0" fontId="0" fillId="34" borderId="0" xfId="0" applyFill="1"/>
    <xf numFmtId="0" fontId="11" fillId="0" borderId="0" xfId="0" applyFont="1" applyFill="1"/>
    <xf numFmtId="0" fontId="17" fillId="0" borderId="0" xfId="0" applyFont="1" applyFill="1"/>
    <xf numFmtId="0" fontId="13" fillId="0" borderId="0" xfId="0" applyFont="1" applyFill="1" applyAlignment="1">
      <alignment horizontal="left" indent="1"/>
    </xf>
    <xf numFmtId="164" fontId="13" fillId="0" borderId="0" xfId="0" applyNumberFormat="1" applyFont="1" applyFill="1"/>
    <xf numFmtId="165" fontId="13" fillId="0" borderId="0" xfId="0" applyNumberFormat="1" applyFont="1" applyFill="1"/>
    <xf numFmtId="165" fontId="17" fillId="0" borderId="0" xfId="0" applyNumberFormat="1" applyFont="1" applyFill="1"/>
    <xf numFmtId="165" fontId="0" fillId="34" borderId="0" xfId="0" applyNumberFormat="1" applyFill="1"/>
    <xf numFmtId="0" fontId="13" fillId="0" borderId="0" xfId="0" applyFont="1" applyAlignment="1">
      <alignment horizontal="left"/>
    </xf>
    <xf numFmtId="0" fontId="14" fillId="0" borderId="0" xfId="0" applyFont="1"/>
    <xf numFmtId="0" fontId="0" fillId="0" borderId="0" xfId="0" quotePrefix="1"/>
    <xf numFmtId="0" fontId="14" fillId="0" borderId="0" xfId="0" applyFont="1" applyAlignment="1">
      <alignment horizontal="left"/>
    </xf>
    <xf numFmtId="0" fontId="0" fillId="0" borderId="0" xfId="0" quotePrefix="1" applyAlignment="1">
      <alignment horizontal="center"/>
    </xf>
    <xf numFmtId="0" fontId="11" fillId="0" borderId="0" xfId="0" applyFont="1" applyAlignment="1">
      <alignment horizontal="left" indent="2"/>
    </xf>
    <xf numFmtId="0" fontId="0" fillId="0" borderId="0" xfId="0" applyAlignment="1">
      <alignment horizontal="right" indent="1"/>
    </xf>
    <xf numFmtId="164" fontId="18" fillId="0" borderId="0" xfId="0" applyNumberFormat="1" applyFont="1"/>
    <xf numFmtId="164" fontId="17" fillId="0" borderId="0" xfId="0" applyNumberFormat="1" applyFont="1" applyAlignment="1">
      <alignment horizontal="right"/>
    </xf>
    <xf numFmtId="164" fontId="13" fillId="0" borderId="0" xfId="0" applyNumberFormat="1" applyFont="1" applyAlignment="1">
      <alignment horizontal="right"/>
    </xf>
    <xf numFmtId="0" fontId="0" fillId="0" borderId="0" xfId="0" applyBorder="1"/>
    <xf numFmtId="0" fontId="0" fillId="0" borderId="0" xfId="0" applyAlignment="1">
      <alignment horizontal="center"/>
    </xf>
    <xf numFmtId="0" fontId="14" fillId="0" borderId="0" xfId="0" applyFont="1" applyBorder="1" applyAlignment="1">
      <alignment horizontal="center"/>
    </xf>
    <xf numFmtId="164" fontId="0" fillId="0" borderId="0" xfId="0" applyNumberFormat="1" applyFill="1"/>
    <xf numFmtId="3" fontId="13" fillId="0" borderId="0" xfId="0" applyNumberFormat="1" applyFont="1" applyFill="1"/>
    <xf numFmtId="0" fontId="0" fillId="0" borderId="0" xfId="0" applyAlignment="1">
      <alignment horizontal="left"/>
    </xf>
    <xf numFmtId="164" fontId="13" fillId="34" borderId="0" xfId="20" applyNumberFormat="1" applyFont="1" applyFill="1" applyBorder="1" applyAlignment="1">
      <alignment horizontal="right"/>
    </xf>
    <xf numFmtId="0" fontId="13" fillId="0" borderId="0" xfId="0" applyFont="1" applyFill="1" applyBorder="1" applyAlignment="1">
      <alignment horizontal="left"/>
    </xf>
    <xf numFmtId="168" fontId="0" fillId="0" borderId="0" xfId="0" applyNumberFormat="1"/>
    <xf numFmtId="168" fontId="18" fillId="0" borderId="0" xfId="0" applyNumberFormat="1" applyFont="1"/>
    <xf numFmtId="165" fontId="0" fillId="0" borderId="0" xfId="0" applyNumberFormat="1" applyFill="1"/>
    <xf numFmtId="168" fontId="0" fillId="0" borderId="0" xfId="0" applyNumberFormat="1" applyAlignment="1">
      <alignment horizontal="left" indent="1"/>
    </xf>
    <xf numFmtId="0" fontId="11" fillId="0" borderId="0" xfId="0" applyFont="1" applyAlignment="1">
      <alignment horizontal="right"/>
    </xf>
    <xf numFmtId="0" fontId="13" fillId="0" borderId="0" xfId="0" quotePrefix="1" applyFont="1" applyFill="1" applyAlignment="1">
      <alignment horizontal="left" indent="1"/>
    </xf>
    <xf numFmtId="0" fontId="11" fillId="0" borderId="0" xfId="0" applyFont="1" applyAlignment="1">
      <alignment horizontal="left" indent="1"/>
    </xf>
    <xf numFmtId="166" fontId="0" fillId="0" borderId="0" xfId="0" applyNumberFormat="1"/>
    <xf numFmtId="0" fontId="13" fillId="0" borderId="0" xfId="0" applyFont="1" applyFill="1" applyBorder="1" applyAlignment="1">
      <alignment vertical="top"/>
    </xf>
    <xf numFmtId="164" fontId="11" fillId="0" borderId="0" xfId="0" applyNumberFormat="1" applyFont="1"/>
    <xf numFmtId="167" fontId="11" fillId="0" borderId="0" xfId="20" applyNumberFormat="1" applyFont="1" applyFill="1" applyBorder="1" applyAlignment="1">
      <alignment horizontal="center"/>
    </xf>
    <xf numFmtId="0" fontId="17" fillId="0" borderId="0" xfId="0" applyFont="1"/>
    <xf numFmtId="0" fontId="17" fillId="0" borderId="0" xfId="0" applyFont="1" applyAlignment="1">
      <alignment horizontal="left"/>
    </xf>
    <xf numFmtId="0" fontId="13" fillId="0" borderId="0" xfId="28" applyFont="1" applyBorder="1" applyAlignment="1">
      <alignment horizontal="left" indent="1"/>
    </xf>
    <xf numFmtId="10" fontId="0" fillId="0" borderId="0" xfId="0" applyNumberFormat="1" applyFill="1"/>
    <xf numFmtId="0" fontId="0" fillId="0" borderId="0" xfId="0" applyFill="1" applyAlignment="1">
      <alignment horizontal="right"/>
    </xf>
    <xf numFmtId="164" fontId="0" fillId="34" borderId="0" xfId="0" applyNumberFormat="1" applyFill="1" applyAlignment="1"/>
    <xf numFmtId="164" fontId="18" fillId="34" borderId="0" xfId="0" applyNumberFormat="1" applyFont="1" applyFill="1" applyAlignment="1"/>
    <xf numFmtId="165" fontId="18" fillId="0" borderId="0" xfId="0" applyNumberFormat="1" applyFont="1"/>
    <xf numFmtId="3" fontId="0" fillId="0" borderId="0" xfId="0" applyNumberFormat="1" applyAlignment="1">
      <alignment horizontal="center"/>
    </xf>
    <xf numFmtId="0" fontId="11" fillId="0" borderId="0" xfId="0" applyFont="1" applyAlignment="1">
      <alignment horizontal="left"/>
    </xf>
    <xf numFmtId="0" fontId="14" fillId="0" borderId="0" xfId="0" quotePrefix="1" applyFont="1" applyAlignment="1">
      <alignment horizontal="center"/>
    </xf>
    <xf numFmtId="1" fontId="13" fillId="0" borderId="0" xfId="28" applyNumberFormat="1" applyFont="1" applyFill="1" applyBorder="1" applyAlignment="1">
      <alignment horizontal="right"/>
    </xf>
    <xf numFmtId="0" fontId="13" fillId="0" borderId="0" xfId="0" applyFont="1" applyBorder="1" applyAlignment="1">
      <alignment vertical="top"/>
    </xf>
    <xf numFmtId="0" fontId="13" fillId="0" borderId="0" xfId="0" applyFont="1" applyAlignment="1">
      <alignment horizontal="center"/>
    </xf>
    <xf numFmtId="173" fontId="0" fillId="34" borderId="0" xfId="0" applyNumberFormat="1" applyFill="1"/>
    <xf numFmtId="164" fontId="13" fillId="0" borderId="0" xfId="0" applyNumberFormat="1" applyFont="1" applyAlignment="1">
      <alignment horizontal="center"/>
    </xf>
    <xf numFmtId="0" fontId="11" fillId="0" borderId="0" xfId="0" applyFont="1" applyAlignment="1">
      <alignment wrapText="1"/>
    </xf>
    <xf numFmtId="164" fontId="17" fillId="0" borderId="0" xfId="0" applyNumberFormat="1" applyFont="1"/>
    <xf numFmtId="174" fontId="0" fillId="0" borderId="0" xfId="0" applyNumberFormat="1"/>
    <xf numFmtId="0" fontId="13" fillId="0" borderId="0" xfId="0" applyFont="1" applyAlignment="1">
      <alignment horizontal="right"/>
    </xf>
    <xf numFmtId="0" fontId="13" fillId="36" borderId="0" xfId="0" applyFont="1" applyFill="1" applyAlignment="1">
      <alignment horizontal="left" indent="1"/>
    </xf>
    <xf numFmtId="0" fontId="13" fillId="0" borderId="0" xfId="0" quotePrefix="1" applyFont="1" applyAlignment="1">
      <alignment horizontal="center"/>
    </xf>
    <xf numFmtId="0" fontId="0" fillId="36" borderId="0" xfId="0" applyFill="1"/>
    <xf numFmtId="2" fontId="0" fillId="0" borderId="0" xfId="0" applyNumberFormat="1"/>
    <xf numFmtId="0" fontId="13" fillId="0" borderId="0" xfId="0" applyFont="1" applyAlignment="1">
      <alignment horizontal="left" indent="2"/>
    </xf>
    <xf numFmtId="3" fontId="0" fillId="36" borderId="0" xfId="0" applyNumberFormat="1" applyFill="1"/>
    <xf numFmtId="3" fontId="0" fillId="0" borderId="0" xfId="0" applyNumberFormat="1"/>
    <xf numFmtId="3" fontId="17" fillId="36" borderId="0" xfId="0" applyNumberFormat="1" applyFont="1" applyFill="1"/>
    <xf numFmtId="164" fontId="13" fillId="0" borderId="0" xfId="0" applyNumberFormat="1" applyFont="1"/>
    <xf numFmtId="164" fontId="18" fillId="0" borderId="0" xfId="0" applyNumberFormat="1" applyFont="1" applyFill="1"/>
    <xf numFmtId="0" fontId="11" fillId="0" borderId="0" xfId="0" applyFont="1" applyAlignment="1">
      <alignment horizontal="left" indent="3"/>
    </xf>
    <xf numFmtId="164" fontId="13" fillId="0" borderId="0" xfId="0" quotePrefix="1" applyNumberFormat="1" applyFont="1" applyFill="1" applyAlignment="1">
      <alignment horizontal="right"/>
    </xf>
    <xf numFmtId="164" fontId="13" fillId="0" borderId="0" xfId="0" applyNumberFormat="1" applyFont="1" applyFill="1" applyAlignment="1">
      <alignment horizontal="right"/>
    </xf>
    <xf numFmtId="0" fontId="13" fillId="0" borderId="0" xfId="0" applyFont="1" applyFill="1" applyAlignment="1">
      <alignment horizontal="center"/>
    </xf>
    <xf numFmtId="164" fontId="0" fillId="36" borderId="0" xfId="0" applyNumberFormat="1" applyFill="1"/>
    <xf numFmtId="164" fontId="17" fillId="34" borderId="0" xfId="0" applyNumberFormat="1" applyFont="1" applyFill="1"/>
    <xf numFmtId="0" fontId="13" fillId="0" borderId="0" xfId="0" applyFont="1" applyFill="1" applyAlignment="1">
      <alignment horizontal="left"/>
    </xf>
    <xf numFmtId="0" fontId="11" fillId="0" borderId="0" xfId="0" applyFont="1" applyFill="1" applyAlignment="1">
      <alignment horizontal="center"/>
    </xf>
    <xf numFmtId="164" fontId="17" fillId="0" borderId="0" xfId="0" applyNumberFormat="1" applyFont="1" applyFill="1"/>
    <xf numFmtId="3" fontId="0" fillId="0" borderId="0" xfId="0" applyNumberFormat="1" applyFill="1"/>
    <xf numFmtId="0" fontId="0" fillId="0" borderId="0" xfId="0" applyFill="1" applyAlignment="1">
      <alignment horizontal="left" indent="1"/>
    </xf>
    <xf numFmtId="0" fontId="13" fillId="0" borderId="0" xfId="0" quotePrefix="1" applyFont="1" applyAlignment="1">
      <alignment horizontal="left" indent="1"/>
    </xf>
    <xf numFmtId="0" fontId="13" fillId="36" borderId="0" xfId="0" applyFont="1" applyFill="1"/>
    <xf numFmtId="164" fontId="17" fillId="36" borderId="0" xfId="0" applyNumberFormat="1" applyFont="1" applyFill="1"/>
    <xf numFmtId="166" fontId="13" fillId="0" borderId="0" xfId="0" applyNumberFormat="1" applyFont="1" applyAlignment="1">
      <alignment horizontal="left" indent="1"/>
    </xf>
    <xf numFmtId="0" fontId="17" fillId="0" borderId="0" xfId="0" applyFont="1" applyAlignment="1">
      <alignment horizontal="center"/>
    </xf>
    <xf numFmtId="164" fontId="18" fillId="36" borderId="0" xfId="0" applyNumberFormat="1" applyFont="1" applyFill="1"/>
    <xf numFmtId="0" fontId="0" fillId="37" borderId="0" xfId="0" applyFill="1"/>
    <xf numFmtId="0" fontId="14" fillId="0" borderId="0" xfId="0" applyFont="1" applyFill="1" applyBorder="1" applyAlignment="1">
      <alignment horizontal="center"/>
    </xf>
    <xf numFmtId="0" fontId="15" fillId="0" borderId="0" xfId="0" applyFont="1" applyFill="1" applyBorder="1"/>
    <xf numFmtId="0" fontId="16" fillId="0" borderId="0" xfId="0" applyFont="1" applyFill="1" applyBorder="1"/>
    <xf numFmtId="0" fontId="14" fillId="0" borderId="0" xfId="0" applyFont="1" applyFill="1" applyAlignment="1">
      <alignment horizontal="center"/>
    </xf>
    <xf numFmtId="168" fontId="13" fillId="0" borderId="0" xfId="0" applyNumberFormat="1" applyFont="1"/>
    <xf numFmtId="0" fontId="21" fillId="0" borderId="0" xfId="34" applyFont="1"/>
    <xf numFmtId="167" fontId="21" fillId="0" borderId="0" xfId="19" applyNumberFormat="1" applyFont="1" applyBorder="1"/>
    <xf numFmtId="0" fontId="21" fillId="0" borderId="0" xfId="34" applyFont="1" applyBorder="1" applyAlignment="1">
      <alignment horizontal="left"/>
    </xf>
    <xf numFmtId="0" fontId="21" fillId="0" borderId="0" xfId="34" applyFont="1" applyBorder="1"/>
    <xf numFmtId="10" fontId="21" fillId="0" borderId="0" xfId="37" applyNumberFormat="1" applyFont="1" applyBorder="1" applyAlignment="1">
      <alignment horizontal="left" indent="3"/>
    </xf>
    <xf numFmtId="0" fontId="21" fillId="0" borderId="0" xfId="34" applyFont="1" applyBorder="1" applyAlignment="1">
      <alignment horizontal="right" wrapText="1"/>
    </xf>
    <xf numFmtId="42" fontId="21" fillId="0" borderId="0" xfId="34" applyNumberFormat="1" applyFont="1"/>
    <xf numFmtId="176" fontId="21" fillId="0" borderId="0" xfId="34" applyNumberFormat="1" applyFont="1"/>
    <xf numFmtId="0" fontId="22" fillId="0" borderId="0" xfId="34" applyFont="1"/>
    <xf numFmtId="0" fontId="22" fillId="0" borderId="0" xfId="34" applyFont="1" applyBorder="1" applyAlignment="1">
      <alignment vertical="center" wrapText="1"/>
    </xf>
    <xf numFmtId="42" fontId="22" fillId="0" borderId="0" xfId="19" applyNumberFormat="1" applyFont="1" applyBorder="1" applyAlignment="1">
      <alignment vertical="center"/>
    </xf>
    <xf numFmtId="171" fontId="22" fillId="0" borderId="0" xfId="37" applyNumberFormat="1" applyFont="1" applyBorder="1" applyAlignment="1">
      <alignment horizontal="center" vertical="center"/>
    </xf>
    <xf numFmtId="42" fontId="0" fillId="0" borderId="0" xfId="0" applyNumberFormat="1"/>
    <xf numFmtId="164" fontId="21" fillId="0" borderId="0" xfId="19" applyNumberFormat="1" applyFont="1" applyBorder="1"/>
    <xf numFmtId="3" fontId="13" fillId="0" borderId="0" xfId="0" applyNumberFormat="1" applyFont="1"/>
    <xf numFmtId="0" fontId="21" fillId="0" borderId="0" xfId="28" applyFont="1"/>
    <xf numFmtId="164" fontId="0" fillId="0" borderId="0" xfId="0" applyNumberFormat="1" applyAlignment="1">
      <alignment horizontal="right" indent="1"/>
    </xf>
    <xf numFmtId="164" fontId="0" fillId="0" borderId="0" xfId="0" applyNumberFormat="1" applyAlignment="1"/>
    <xf numFmtId="164" fontId="17" fillId="36" borderId="0" xfId="0" applyNumberFormat="1" applyFont="1" applyFill="1" applyAlignment="1"/>
    <xf numFmtId="165" fontId="23" fillId="0" borderId="0" xfId="0" applyNumberFormat="1" applyFont="1"/>
    <xf numFmtId="165" fontId="24" fillId="0" borderId="0" xfId="0" applyNumberFormat="1" applyFont="1"/>
    <xf numFmtId="166" fontId="0" fillId="0" borderId="0" xfId="0" applyNumberFormat="1" applyFill="1"/>
    <xf numFmtId="166" fontId="13" fillId="0" borderId="0" xfId="0" applyNumberFormat="1" applyFont="1" applyFill="1" applyAlignment="1">
      <alignment horizontal="left" indent="1"/>
    </xf>
    <xf numFmtId="1" fontId="13" fillId="36" borderId="0" xfId="28" applyNumberFormat="1" applyFont="1" applyFill="1" applyBorder="1" applyAlignment="1">
      <alignment horizontal="center"/>
    </xf>
    <xf numFmtId="0" fontId="13" fillId="0" borderId="0" xfId="28" applyNumberFormat="1" applyFont="1" applyFill="1" applyBorder="1" applyAlignment="1">
      <alignment horizontal="left" indent="1"/>
    </xf>
    <xf numFmtId="168" fontId="13" fillId="0" borderId="0" xfId="0" applyNumberFormat="1" applyFont="1" applyAlignment="1">
      <alignment horizontal="left" indent="1"/>
    </xf>
    <xf numFmtId="165" fontId="13" fillId="0" borderId="0" xfId="0" applyNumberFormat="1" applyFont="1" applyAlignment="1">
      <alignment horizontal="left" indent="1"/>
    </xf>
    <xf numFmtId="0" fontId="0" fillId="36" borderId="0" xfId="0" quotePrefix="1" applyFill="1" applyAlignment="1">
      <alignment horizontal="center"/>
    </xf>
    <xf numFmtId="0" fontId="0" fillId="36" borderId="0" xfId="0" applyFill="1" applyAlignment="1">
      <alignment horizontal="center"/>
    </xf>
    <xf numFmtId="0" fontId="13" fillId="0" borderId="0" xfId="28" applyNumberFormat="1" applyFont="1" applyFill="1" applyBorder="1" applyAlignment="1">
      <alignment horizontal="left" indent="2"/>
    </xf>
    <xf numFmtId="0" fontId="11" fillId="0" borderId="0" xfId="0" quotePrefix="1" applyFont="1" applyAlignment="1">
      <alignment horizontal="right"/>
    </xf>
    <xf numFmtId="165" fontId="17" fillId="0" borderId="0" xfId="0" applyNumberFormat="1" applyFont="1"/>
    <xf numFmtId="164" fontId="13" fillId="36" borderId="0" xfId="19" applyNumberFormat="1" applyFont="1" applyFill="1" applyBorder="1"/>
    <xf numFmtId="164" fontId="13" fillId="0" borderId="0" xfId="19" applyNumberFormat="1" applyFont="1" applyBorder="1"/>
    <xf numFmtId="164" fontId="17" fillId="36" borderId="0" xfId="19" applyNumberFormat="1" applyFont="1" applyFill="1" applyBorder="1"/>
    <xf numFmtId="164" fontId="13" fillId="0" borderId="0" xfId="0" applyNumberFormat="1" applyFont="1" applyAlignment="1">
      <alignment horizontal="left" indent="1"/>
    </xf>
    <xf numFmtId="164" fontId="13" fillId="0" borderId="0" xfId="19" applyNumberFormat="1" applyFont="1" applyBorder="1" applyAlignment="1">
      <alignment horizontal="left" indent="1"/>
    </xf>
    <xf numFmtId="10" fontId="13" fillId="0" borderId="0" xfId="37" applyNumberFormat="1" applyFont="1" applyBorder="1" applyAlignment="1">
      <alignment horizontal="center"/>
    </xf>
    <xf numFmtId="10" fontId="17" fillId="0" borderId="0" xfId="37" applyNumberFormat="1" applyFont="1" applyBorder="1" applyAlignment="1">
      <alignment horizontal="center"/>
    </xf>
    <xf numFmtId="164" fontId="11" fillId="0" borderId="0" xfId="19" applyNumberFormat="1" applyFont="1" applyBorder="1" applyAlignment="1">
      <alignment vertical="center"/>
    </xf>
    <xf numFmtId="10" fontId="11" fillId="0" borderId="0" xfId="37" applyNumberFormat="1" applyFont="1" applyBorder="1" applyAlignment="1">
      <alignment horizontal="center" vertical="center"/>
    </xf>
    <xf numFmtId="0" fontId="14" fillId="0" borderId="0" xfId="34" applyFont="1" applyAlignment="1">
      <alignment horizontal="center"/>
    </xf>
    <xf numFmtId="0" fontId="11" fillId="0" borderId="0" xfId="34" applyFont="1" applyBorder="1"/>
    <xf numFmtId="0" fontId="13" fillId="0" borderId="0" xfId="34" applyFont="1" applyBorder="1" applyAlignment="1">
      <alignment horizontal="left" indent="2"/>
    </xf>
    <xf numFmtId="0" fontId="11" fillId="0" borderId="0" xfId="34" applyFont="1" applyBorder="1" applyAlignment="1">
      <alignment horizontal="left"/>
    </xf>
    <xf numFmtId="0" fontId="11" fillId="0" borderId="0" xfId="34" applyFont="1" applyBorder="1" applyAlignment="1">
      <alignment horizontal="left" wrapText="1"/>
    </xf>
    <xf numFmtId="0" fontId="13" fillId="0" borderId="0" xfId="34" applyFont="1" applyBorder="1" applyAlignment="1">
      <alignment horizontal="left" wrapText="1"/>
    </xf>
    <xf numFmtId="0" fontId="11" fillId="0" borderId="0" xfId="34" applyFont="1" applyBorder="1" applyAlignment="1">
      <alignment vertical="center" wrapText="1"/>
    </xf>
    <xf numFmtId="0" fontId="11" fillId="0" borderId="0" xfId="34" applyFont="1"/>
    <xf numFmtId="0" fontId="11" fillId="0" borderId="0" xfId="34" applyFont="1" applyAlignment="1">
      <alignment horizontal="center"/>
    </xf>
    <xf numFmtId="0" fontId="13" fillId="0" borderId="0" xfId="34" applyFont="1"/>
    <xf numFmtId="0" fontId="13" fillId="36" borderId="0" xfId="34" applyFont="1" applyFill="1"/>
    <xf numFmtId="0" fontId="14" fillId="0" borderId="0" xfId="34" applyFont="1" applyFill="1" applyAlignment="1">
      <alignment horizontal="center"/>
    </xf>
    <xf numFmtId="167" fontId="13" fillId="0" borderId="0" xfId="19" applyNumberFormat="1" applyFont="1" applyBorder="1"/>
    <xf numFmtId="171" fontId="13" fillId="0" borderId="0" xfId="37" applyNumberFormat="1" applyFont="1" applyBorder="1" applyAlignment="1">
      <alignment horizontal="left" indent="3"/>
    </xf>
    <xf numFmtId="164" fontId="13" fillId="36" borderId="0" xfId="0" applyNumberFormat="1" applyFont="1" applyFill="1"/>
    <xf numFmtId="0" fontId="13" fillId="0" borderId="0" xfId="34" applyFont="1" applyBorder="1" applyAlignment="1">
      <alignment horizontal="left"/>
    </xf>
    <xf numFmtId="41" fontId="13" fillId="0" borderId="0" xfId="19" applyNumberFormat="1" applyFont="1" applyBorder="1"/>
    <xf numFmtId="41" fontId="13" fillId="0" borderId="0" xfId="34" applyNumberFormat="1" applyFont="1" applyBorder="1"/>
    <xf numFmtId="10" fontId="13" fillId="0" borderId="0" xfId="34" applyNumberFormat="1" applyFont="1" applyBorder="1" applyAlignment="1">
      <alignment horizontal="center"/>
    </xf>
    <xf numFmtId="5" fontId="13" fillId="36" borderId="0" xfId="19" applyNumberFormat="1" applyFont="1" applyFill="1" applyBorder="1"/>
    <xf numFmtId="10" fontId="13" fillId="0" borderId="0" xfId="37" applyNumberFormat="1" applyFont="1" applyFill="1" applyBorder="1" applyAlignment="1">
      <alignment horizontal="center"/>
    </xf>
    <xf numFmtId="5" fontId="17" fillId="36" borderId="0" xfId="19" applyNumberFormat="1" applyFont="1" applyFill="1" applyBorder="1"/>
    <xf numFmtId="10" fontId="17" fillId="0" borderId="0" xfId="37" applyNumberFormat="1" applyFont="1" applyFill="1" applyBorder="1" applyAlignment="1">
      <alignment horizontal="center"/>
    </xf>
    <xf numFmtId="0" fontId="13" fillId="0" borderId="0" xfId="34" applyFont="1" applyBorder="1" applyAlignment="1">
      <alignment horizontal="right" wrapText="1"/>
    </xf>
    <xf numFmtId="0" fontId="11" fillId="0" borderId="0" xfId="34" applyFont="1" applyBorder="1" applyAlignment="1">
      <alignment horizontal="left" vertical="center" wrapText="1"/>
    </xf>
    <xf numFmtId="0" fontId="43" fillId="36" borderId="0" xfId="34" applyFont="1" applyFill="1"/>
    <xf numFmtId="0" fontId="13" fillId="36" borderId="0" xfId="28" applyFont="1" applyFill="1" applyBorder="1" applyAlignment="1">
      <alignment horizontal="center"/>
    </xf>
    <xf numFmtId="0" fontId="13" fillId="36" borderId="0" xfId="0" applyFont="1" applyFill="1" applyAlignment="1"/>
    <xf numFmtId="0" fontId="13" fillId="0" borderId="0" xfId="0" quotePrefix="1" applyFont="1" applyAlignment="1">
      <alignment horizontal="center" vertical="justify"/>
    </xf>
    <xf numFmtId="0" fontId="11" fillId="36" borderId="0" xfId="0" applyFont="1" applyFill="1" applyAlignment="1">
      <alignment horizontal="center"/>
    </xf>
    <xf numFmtId="0" fontId="14" fillId="36" borderId="0" xfId="0" applyFont="1" applyFill="1" applyAlignment="1">
      <alignment horizontal="center"/>
    </xf>
    <xf numFmtId="0" fontId="11" fillId="0" borderId="0" xfId="28" applyFont="1" applyFill="1" applyBorder="1" applyAlignment="1">
      <alignment horizontal="left"/>
    </xf>
    <xf numFmtId="1" fontId="13" fillId="0" borderId="0" xfId="28" quotePrefix="1" applyNumberFormat="1" applyFont="1" applyFill="1" applyBorder="1" applyAlignment="1">
      <alignment horizontal="right"/>
    </xf>
    <xf numFmtId="164" fontId="13" fillId="0" borderId="0" xfId="0" quotePrefix="1" applyNumberFormat="1" applyFont="1" applyAlignment="1">
      <alignment horizontal="center"/>
    </xf>
    <xf numFmtId="0" fontId="11" fillId="0" borderId="0" xfId="0" applyFont="1" applyBorder="1" applyAlignment="1">
      <alignment horizontal="center"/>
    </xf>
    <xf numFmtId="0" fontId="11" fillId="0" borderId="3" xfId="0" applyFont="1" applyBorder="1" applyAlignment="1">
      <alignment horizontal="center"/>
    </xf>
    <xf numFmtId="0" fontId="11" fillId="0" borderId="3" xfId="0" applyFont="1" applyFill="1" applyBorder="1" applyAlignment="1">
      <alignment horizontal="center"/>
    </xf>
    <xf numFmtId="0" fontId="11" fillId="0" borderId="3" xfId="0" applyNumberFormat="1" applyFont="1" applyBorder="1" applyAlignment="1">
      <alignment horizontal="center" wrapText="1"/>
    </xf>
    <xf numFmtId="0" fontId="11" fillId="0" borderId="3" xfId="0" applyNumberFormat="1" applyFont="1" applyFill="1" applyBorder="1" applyAlignment="1">
      <alignment wrapText="1"/>
    </xf>
    <xf numFmtId="0" fontId="11" fillId="0" borderId="3" xfId="0" applyNumberFormat="1" applyFont="1" applyBorder="1" applyAlignment="1">
      <alignment wrapText="1"/>
    </xf>
    <xf numFmtId="0" fontId="11" fillId="0" borderId="3" xfId="0" applyFont="1" applyFill="1" applyBorder="1" applyAlignment="1">
      <alignment horizontal="center" wrapText="1"/>
    </xf>
    <xf numFmtId="0" fontId="11" fillId="0" borderId="3" xfId="0" applyFont="1" applyBorder="1" applyAlignment="1">
      <alignment horizontal="center" wrapText="1"/>
    </xf>
    <xf numFmtId="0" fontId="13" fillId="0" borderId="3" xfId="0" quotePrefix="1" applyNumberFormat="1" applyFont="1" applyFill="1" applyBorder="1" applyAlignment="1">
      <alignment horizontal="center"/>
    </xf>
    <xf numFmtId="0" fontId="13" fillId="0" borderId="3" xfId="0" quotePrefix="1" applyNumberFormat="1" applyFont="1" applyFill="1" applyBorder="1" applyAlignment="1">
      <alignment horizontal="left"/>
    </xf>
    <xf numFmtId="0" fontId="13" fillId="0" borderId="3" xfId="0" quotePrefix="1" applyNumberFormat="1" applyFont="1" applyFill="1" applyBorder="1"/>
    <xf numFmtId="0" fontId="13" fillId="0" borderId="3" xfId="0" applyFont="1" applyFill="1" applyBorder="1" applyAlignment="1">
      <alignment horizontal="center"/>
    </xf>
    <xf numFmtId="37" fontId="13" fillId="0" borderId="3" xfId="0" applyNumberFormat="1" applyFont="1" applyFill="1" applyBorder="1" applyAlignment="1">
      <alignment horizontal="center"/>
    </xf>
    <xf numFmtId="37" fontId="13" fillId="0" borderId="3" xfId="0" applyNumberFormat="1" applyFont="1" applyBorder="1" applyAlignment="1">
      <alignment horizontal="center"/>
    </xf>
    <xf numFmtId="0" fontId="13" fillId="0" borderId="3" xfId="0" quotePrefix="1" applyNumberFormat="1" applyFont="1" applyBorder="1" applyAlignment="1">
      <alignment horizontal="center"/>
    </xf>
    <xf numFmtId="0" fontId="13" fillId="0" borderId="3" xfId="0" quotePrefix="1" applyNumberFormat="1" applyFont="1" applyBorder="1"/>
    <xf numFmtId="0" fontId="13" fillId="0" borderId="3" xfId="0" applyFont="1" applyBorder="1" applyAlignment="1">
      <alignment horizontal="center"/>
    </xf>
    <xf numFmtId="0" fontId="11" fillId="0" borderId="0" xfId="0" quotePrefix="1" applyNumberFormat="1" applyFont="1" applyBorder="1" applyAlignment="1">
      <alignment horizontal="center"/>
    </xf>
    <xf numFmtId="0" fontId="11" fillId="0" borderId="0" xfId="0" applyNumberFormat="1" applyFont="1" applyFill="1" applyBorder="1"/>
    <xf numFmtId="0" fontId="11" fillId="0" borderId="0" xfId="0" quotePrefix="1" applyNumberFormat="1" applyFont="1" applyBorder="1"/>
    <xf numFmtId="0" fontId="11" fillId="0" borderId="0" xfId="0" quotePrefix="1" applyNumberFormat="1" applyFont="1" applyFill="1" applyBorder="1"/>
    <xf numFmtId="37" fontId="13" fillId="0" borderId="0" xfId="0" applyNumberFormat="1" applyFont="1" applyFill="1" applyBorder="1" applyAlignment="1">
      <alignment horizontal="center"/>
    </xf>
    <xf numFmtId="0" fontId="13" fillId="0" borderId="0" xfId="0" applyFont="1" applyBorder="1" applyAlignment="1">
      <alignment horizontal="center"/>
    </xf>
    <xf numFmtId="0" fontId="13" fillId="0" borderId="0" xfId="0" quotePrefix="1" applyNumberFormat="1" applyFont="1" applyBorder="1" applyAlignment="1">
      <alignment horizontal="center"/>
    </xf>
    <xf numFmtId="0" fontId="13" fillId="0" borderId="3" xfId="0" applyFont="1" applyFill="1" applyBorder="1"/>
    <xf numFmtId="37" fontId="11" fillId="0" borderId="0" xfId="0" applyNumberFormat="1" applyFont="1" applyFill="1" applyBorder="1" applyAlignment="1">
      <alignment horizontal="center"/>
    </xf>
    <xf numFmtId="0" fontId="13" fillId="0" borderId="3" xfId="0" quotePrefix="1" applyNumberFormat="1" applyFont="1" applyBorder="1" applyAlignment="1">
      <alignment horizontal="left"/>
    </xf>
    <xf numFmtId="0" fontId="13" fillId="0" borderId="3" xfId="0" applyNumberFormat="1" applyFont="1" applyFill="1" applyBorder="1"/>
    <xf numFmtId="0" fontId="13" fillId="0" borderId="3" xfId="0" applyNumberFormat="1" applyFont="1" applyFill="1" applyBorder="1" applyAlignment="1">
      <alignment horizontal="left"/>
    </xf>
    <xf numFmtId="39" fontId="13" fillId="0" borderId="0" xfId="19" applyNumberFormat="1" applyFont="1" applyBorder="1" applyAlignment="1">
      <alignment horizontal="center"/>
    </xf>
    <xf numFmtId="0" fontId="13" fillId="0" borderId="0" xfId="0" applyFont="1" applyFill="1" applyBorder="1" applyAlignment="1">
      <alignment horizontal="center"/>
    </xf>
    <xf numFmtId="39" fontId="13" fillId="0" borderId="0" xfId="19" applyNumberFormat="1" applyFont="1" applyFill="1" applyBorder="1" applyAlignment="1">
      <alignment horizontal="center"/>
    </xf>
    <xf numFmtId="0" fontId="13" fillId="0" borderId="0" xfId="0" applyFont="1" applyBorder="1"/>
    <xf numFmtId="0" fontId="11" fillId="0" borderId="3" xfId="0" applyNumberFormat="1" applyFont="1" applyFill="1" applyBorder="1" applyAlignment="1">
      <alignment horizontal="right"/>
    </xf>
    <xf numFmtId="0" fontId="13" fillId="0" borderId="0" xfId="0" quotePrefix="1" applyNumberFormat="1" applyFont="1" applyBorder="1"/>
    <xf numFmtId="0" fontId="13" fillId="0" borderId="0" xfId="0" quotePrefix="1" applyNumberFormat="1" applyFont="1" applyFill="1" applyBorder="1"/>
    <xf numFmtId="164" fontId="13" fillId="0" borderId="0" xfId="19" applyNumberFormat="1" applyFont="1" applyBorder="1" applyAlignment="1">
      <alignment horizontal="right"/>
    </xf>
    <xf numFmtId="0" fontId="17" fillId="0" borderId="0" xfId="0" applyFont="1" applyBorder="1" applyAlignment="1">
      <alignment horizontal="center"/>
    </xf>
    <xf numFmtId="49" fontId="13" fillId="0" borderId="0" xfId="19" applyNumberFormat="1" applyFont="1" applyBorder="1" applyAlignment="1">
      <alignment horizontal="left" indent="1"/>
    </xf>
    <xf numFmtId="0" fontId="44" fillId="0" borderId="0" xfId="0" applyFont="1"/>
    <xf numFmtId="0" fontId="44" fillId="0" borderId="0" xfId="0" applyFont="1" applyAlignment="1">
      <alignment horizontal="right"/>
    </xf>
    <xf numFmtId="164" fontId="44" fillId="0" borderId="0" xfId="0" applyNumberFormat="1" applyFont="1"/>
    <xf numFmtId="0" fontId="45" fillId="0" borderId="0" xfId="0" applyFont="1" applyAlignment="1">
      <alignment horizontal="center"/>
    </xf>
    <xf numFmtId="164" fontId="44" fillId="0" borderId="0" xfId="0" applyNumberFormat="1" applyFont="1" applyFill="1"/>
    <xf numFmtId="164" fontId="44" fillId="36" borderId="0" xfId="0" applyNumberFormat="1" applyFont="1" applyFill="1"/>
    <xf numFmtId="10" fontId="44" fillId="34" borderId="0" xfId="0" applyNumberFormat="1" applyFont="1" applyFill="1"/>
    <xf numFmtId="164" fontId="44" fillId="0" borderId="0" xfId="0" applyNumberFormat="1" applyFont="1" applyAlignment="1">
      <alignment horizontal="right"/>
    </xf>
    <xf numFmtId="164" fontId="44" fillId="0" borderId="0" xfId="0" quotePrefix="1" applyNumberFormat="1" applyFont="1" applyAlignment="1">
      <alignment horizontal="center"/>
    </xf>
    <xf numFmtId="164" fontId="44" fillId="0" borderId="0" xfId="0" quotePrefix="1" applyNumberFormat="1" applyFont="1" applyFill="1" applyAlignment="1">
      <alignment horizontal="center"/>
    </xf>
    <xf numFmtId="0" fontId="44" fillId="0" borderId="0" xfId="0" applyFont="1" applyFill="1"/>
    <xf numFmtId="10" fontId="44" fillId="0" borderId="0" xfId="0" applyNumberFormat="1" applyFont="1" applyFill="1"/>
    <xf numFmtId="164" fontId="45" fillId="0" borderId="0" xfId="0" applyNumberFormat="1" applyFont="1" applyAlignment="1">
      <alignment horizontal="center"/>
    </xf>
    <xf numFmtId="0" fontId="42" fillId="0" borderId="0" xfId="0" applyFont="1" applyAlignment="1">
      <alignment horizontal="center"/>
    </xf>
    <xf numFmtId="164" fontId="46" fillId="0" borderId="0" xfId="0" applyNumberFormat="1" applyFont="1" applyAlignment="1">
      <alignment horizontal="center"/>
    </xf>
    <xf numFmtId="0" fontId="47" fillId="0" borderId="0" xfId="0" applyFont="1" applyAlignment="1">
      <alignment horizontal="center"/>
    </xf>
    <xf numFmtId="164" fontId="44" fillId="0" borderId="0" xfId="0" applyNumberFormat="1" applyFont="1" applyFill="1" applyAlignment="1">
      <alignment horizontal="right"/>
    </xf>
    <xf numFmtId="166" fontId="44" fillId="0" borderId="0" xfId="0" applyNumberFormat="1" applyFont="1"/>
    <xf numFmtId="164" fontId="44" fillId="34" borderId="0" xfId="0" applyNumberFormat="1" applyFont="1" applyFill="1"/>
    <xf numFmtId="0" fontId="44" fillId="0" borderId="0" xfId="0" applyFont="1" applyAlignment="1">
      <alignment horizontal="left" indent="1"/>
    </xf>
    <xf numFmtId="165" fontId="44" fillId="0" borderId="0" xfId="0" applyNumberFormat="1" applyFont="1"/>
    <xf numFmtId="0" fontId="44" fillId="0" borderId="0" xfId="0" applyFont="1" applyAlignment="1">
      <alignment horizontal="center"/>
    </xf>
    <xf numFmtId="0" fontId="13" fillId="0" borderId="0" xfId="0" quotePrefix="1" applyFont="1" applyAlignment="1">
      <alignment horizontal="right"/>
    </xf>
    <xf numFmtId="0" fontId="11" fillId="36" borderId="0" xfId="0" quotePrefix="1" applyFont="1" applyFill="1" applyAlignment="1">
      <alignment horizontal="center"/>
    </xf>
    <xf numFmtId="0" fontId="11" fillId="0" borderId="0" xfId="28" applyFont="1"/>
    <xf numFmtId="0" fontId="13" fillId="36" borderId="0" xfId="28" applyFont="1" applyFill="1"/>
    <xf numFmtId="0" fontId="11" fillId="0" borderId="0" xfId="28" applyFont="1" applyFill="1" applyBorder="1" applyAlignment="1">
      <alignment horizontal="left" vertical="center"/>
    </xf>
    <xf numFmtId="0" fontId="11" fillId="0" borderId="0" xfId="28" applyFont="1" applyFill="1" applyBorder="1" applyAlignment="1">
      <alignment horizontal="center" vertical="center" wrapText="1"/>
    </xf>
    <xf numFmtId="0" fontId="11" fillId="0" borderId="0" xfId="28" applyFont="1" applyFill="1" applyBorder="1" applyAlignment="1">
      <alignment horizontal="center" vertical="center"/>
    </xf>
    <xf numFmtId="0" fontId="11" fillId="0" borderId="0" xfId="28" applyFont="1" applyFill="1" applyBorder="1" applyAlignment="1">
      <alignment horizontal="center"/>
    </xf>
    <xf numFmtId="0" fontId="11" fillId="0" borderId="0" xfId="28" applyFont="1" applyBorder="1" applyAlignment="1">
      <alignment horizontal="center" vertical="center" wrapText="1"/>
    </xf>
    <xf numFmtId="0" fontId="13" fillId="0" borderId="0" xfId="28" applyFont="1" applyFill="1" applyBorder="1" applyAlignment="1">
      <alignment horizontal="left" vertical="center" indent="1"/>
    </xf>
    <xf numFmtId="164" fontId="13" fillId="0" borderId="0" xfId="28" applyNumberFormat="1" applyFont="1" applyFill="1" applyBorder="1" applyAlignment="1">
      <alignment horizontal="right" vertical="center" wrapText="1"/>
    </xf>
    <xf numFmtId="164" fontId="13" fillId="0" borderId="0" xfId="20" applyNumberFormat="1" applyFont="1" applyFill="1"/>
    <xf numFmtId="164" fontId="13" fillId="0" borderId="0" xfId="28" applyNumberFormat="1" applyFont="1" applyFill="1" applyBorder="1" applyAlignment="1">
      <alignment horizontal="right"/>
    </xf>
    <xf numFmtId="164" fontId="17" fillId="0" borderId="0" xfId="28" applyNumberFormat="1" applyFont="1" applyFill="1" applyBorder="1" applyAlignment="1">
      <alignment horizontal="right" vertical="center" wrapText="1"/>
    </xf>
    <xf numFmtId="164" fontId="17" fillId="0" borderId="0" xfId="20" applyNumberFormat="1" applyFont="1" applyFill="1"/>
    <xf numFmtId="164" fontId="17" fillId="0" borderId="0" xfId="28" applyNumberFormat="1" applyFont="1" applyFill="1" applyBorder="1" applyAlignment="1">
      <alignment horizontal="right"/>
    </xf>
    <xf numFmtId="164" fontId="17" fillId="36" borderId="0" xfId="28" applyNumberFormat="1" applyFont="1" applyFill="1" applyBorder="1" applyAlignment="1">
      <alignment horizontal="right" vertical="center" wrapText="1"/>
    </xf>
    <xf numFmtId="164" fontId="13" fillId="0" borderId="0" xfId="28" applyNumberFormat="1" applyFont="1" applyFill="1" applyAlignment="1">
      <alignment vertical="center"/>
    </xf>
    <xf numFmtId="0" fontId="13" fillId="0" borderId="0" xfId="28" applyFont="1" applyFill="1"/>
    <xf numFmtId="41" fontId="13" fillId="0" borderId="0" xfId="20" applyNumberFormat="1" applyFont="1" applyFill="1"/>
    <xf numFmtId="41" fontId="13" fillId="0" borderId="0" xfId="28" applyNumberFormat="1" applyFont="1" applyFill="1"/>
    <xf numFmtId="41" fontId="13" fillId="0" borderId="0" xfId="20" applyNumberFormat="1" applyFont="1"/>
    <xf numFmtId="41" fontId="13" fillId="0" borderId="0" xfId="20" applyNumberFormat="1" applyFont="1" applyAlignment="1" applyProtection="1">
      <alignment horizontal="right" indent="2"/>
    </xf>
    <xf numFmtId="0" fontId="11" fillId="0" borderId="0" xfId="28" applyFont="1" applyFill="1"/>
    <xf numFmtId="0" fontId="13" fillId="0" borderId="0" xfId="28" applyFont="1" applyFill="1" applyAlignment="1">
      <alignment horizontal="left" wrapText="1" indent="1"/>
    </xf>
    <xf numFmtId="164" fontId="13" fillId="0" borderId="0" xfId="28" applyNumberFormat="1" applyFont="1" applyFill="1"/>
    <xf numFmtId="41" fontId="25" fillId="0" borderId="0" xfId="20" applyNumberFormat="1" applyFont="1" applyFill="1"/>
    <xf numFmtId="164" fontId="25" fillId="0" borderId="0" xfId="20" applyNumberFormat="1" applyFont="1" applyFill="1"/>
    <xf numFmtId="42" fontId="25" fillId="0" borderId="0" xfId="28" applyNumberFormat="1" applyFont="1"/>
    <xf numFmtId="164" fontId="25" fillId="36" borderId="0" xfId="20" applyNumberFormat="1" applyFont="1" applyFill="1"/>
    <xf numFmtId="42" fontId="13" fillId="0" borderId="0" xfId="28" applyNumberFormat="1" applyFont="1"/>
    <xf numFmtId="42" fontId="13" fillId="0" borderId="0" xfId="20" applyNumberFormat="1" applyFont="1" applyBorder="1"/>
    <xf numFmtId="42" fontId="13" fillId="0" borderId="0" xfId="28" applyNumberFormat="1" applyFont="1" applyBorder="1"/>
    <xf numFmtId="164" fontId="13" fillId="0" borderId="0" xfId="20" applyNumberFormat="1" applyFont="1" applyBorder="1"/>
    <xf numFmtId="43" fontId="13" fillId="0" borderId="0" xfId="28" applyNumberFormat="1" applyFont="1"/>
    <xf numFmtId="41" fontId="13" fillId="0" borderId="0" xfId="28" applyNumberFormat="1" applyFont="1"/>
    <xf numFmtId="0" fontId="11" fillId="0" borderId="0" xfId="28" applyFont="1" applyAlignment="1">
      <alignment horizontal="center" wrapText="1"/>
    </xf>
    <xf numFmtId="0" fontId="14" fillId="0" borderId="0" xfId="28" applyFont="1"/>
    <xf numFmtId="164" fontId="13" fillId="0" borderId="0" xfId="28" applyNumberFormat="1" applyFont="1" applyBorder="1"/>
    <xf numFmtId="0" fontId="13" fillId="0" borderId="0" xfId="28" applyFont="1" applyFill="1" applyBorder="1" applyAlignment="1">
      <alignment horizontal="right" vertical="center"/>
    </xf>
    <xf numFmtId="168" fontId="13" fillId="0" borderId="0" xfId="39" applyNumberFormat="1" applyFont="1" applyFill="1" applyBorder="1" applyAlignment="1">
      <alignment vertical="center"/>
    </xf>
    <xf numFmtId="10" fontId="13" fillId="0" borderId="0" xfId="39" applyNumberFormat="1" applyFont="1" applyFill="1" applyBorder="1" applyAlignment="1">
      <alignment vertical="center"/>
    </xf>
    <xf numFmtId="0" fontId="13" fillId="0" borderId="0" xfId="28" applyFont="1" applyFill="1" applyBorder="1"/>
    <xf numFmtId="10" fontId="13" fillId="0" borderId="0" xfId="39" applyNumberFormat="1" applyFont="1" applyFill="1" applyBorder="1"/>
    <xf numFmtId="42" fontId="13" fillId="0" borderId="0" xfId="20" applyNumberFormat="1" applyFont="1" applyFill="1"/>
    <xf numFmtId="39" fontId="11" fillId="0" borderId="3" xfId="22" quotePrefix="1" applyNumberFormat="1" applyFont="1" applyBorder="1" applyAlignment="1">
      <alignment horizontal="center" wrapText="1"/>
    </xf>
    <xf numFmtId="39" fontId="11" fillId="0" borderId="3" xfId="22" applyNumberFormat="1" applyFont="1" applyBorder="1" applyAlignment="1">
      <alignment horizontal="center" wrapText="1"/>
    </xf>
    <xf numFmtId="39" fontId="13" fillId="0" borderId="3" xfId="22" quotePrefix="1" applyNumberFormat="1" applyFont="1" applyFill="1" applyBorder="1" applyAlignment="1">
      <alignment horizontal="center"/>
    </xf>
    <xf numFmtId="177" fontId="11" fillId="0" borderId="3" xfId="22" applyNumberFormat="1" applyFont="1" applyBorder="1" applyAlignment="1">
      <alignment horizontal="center" wrapText="1"/>
    </xf>
    <xf numFmtId="39" fontId="11" fillId="0" borderId="0" xfId="22" quotePrefix="1" applyNumberFormat="1" applyFont="1" applyBorder="1" applyAlignment="1">
      <alignment horizontal="center"/>
    </xf>
    <xf numFmtId="37" fontId="11" fillId="0" borderId="3" xfId="22" quotePrefix="1" applyNumberFormat="1" applyFont="1" applyBorder="1" applyAlignment="1">
      <alignment horizontal="center"/>
    </xf>
    <xf numFmtId="37" fontId="11" fillId="0" borderId="0" xfId="22" quotePrefix="1" applyNumberFormat="1" applyFont="1" applyBorder="1" applyAlignment="1">
      <alignment horizontal="center"/>
    </xf>
    <xf numFmtId="37" fontId="13" fillId="0" borderId="3" xfId="22" quotePrefix="1" applyNumberFormat="1" applyFont="1" applyBorder="1" applyAlignment="1">
      <alignment horizontal="center"/>
    </xf>
    <xf numFmtId="37" fontId="13" fillId="0" borderId="3" xfId="22" quotePrefix="1" applyNumberFormat="1" applyFont="1" applyFill="1" applyBorder="1" applyAlignment="1">
      <alignment horizontal="center"/>
    </xf>
    <xf numFmtId="39" fontId="13" fillId="0" borderId="0" xfId="22" quotePrefix="1" applyNumberFormat="1" applyFont="1" applyBorder="1" applyAlignment="1">
      <alignment horizontal="center"/>
    </xf>
    <xf numFmtId="177" fontId="13" fillId="0" borderId="0" xfId="22" applyNumberFormat="1" applyFont="1" applyBorder="1" applyAlignment="1">
      <alignment horizontal="center"/>
    </xf>
    <xf numFmtId="0" fontId="13" fillId="0" borderId="3" xfId="22" applyNumberFormat="1" applyFont="1" applyFill="1" applyBorder="1" applyAlignment="1">
      <alignment horizontal="left"/>
    </xf>
    <xf numFmtId="37" fontId="13" fillId="36" borderId="3" xfId="22" quotePrefix="1" applyNumberFormat="1" applyFont="1" applyFill="1" applyBorder="1" applyAlignment="1">
      <alignment horizontal="center"/>
    </xf>
    <xf numFmtId="0" fontId="13" fillId="36" borderId="3" xfId="0" applyFont="1" applyFill="1" applyBorder="1" applyAlignment="1">
      <alignment horizontal="center"/>
    </xf>
    <xf numFmtId="37" fontId="13" fillId="36" borderId="3" xfId="0" applyNumberFormat="1" applyFont="1" applyFill="1" applyBorder="1" applyAlignment="1">
      <alignment horizontal="center"/>
    </xf>
    <xf numFmtId="37" fontId="13" fillId="36" borderId="3" xfId="22" applyNumberFormat="1" applyFont="1" applyFill="1" applyBorder="1" applyAlignment="1">
      <alignment horizontal="center"/>
    </xf>
    <xf numFmtId="39" fontId="13" fillId="36" borderId="3" xfId="22" quotePrefix="1" applyNumberFormat="1" applyFont="1" applyFill="1" applyBorder="1" applyAlignment="1">
      <alignment horizontal="center"/>
    </xf>
    <xf numFmtId="39" fontId="13" fillId="36" borderId="4" xfId="22" quotePrefix="1" applyNumberFormat="1" applyFont="1" applyFill="1" applyBorder="1" applyAlignment="1">
      <alignment horizontal="center"/>
    </xf>
    <xf numFmtId="37" fontId="11" fillId="36" borderId="3" xfId="22" quotePrefix="1" applyNumberFormat="1" applyFont="1" applyFill="1" applyBorder="1" applyAlignment="1">
      <alignment horizontal="center"/>
    </xf>
    <xf numFmtId="178" fontId="13" fillId="36" borderId="3" xfId="22" applyNumberFormat="1" applyFont="1" applyFill="1" applyBorder="1"/>
    <xf numFmtId="37" fontId="11" fillId="0" borderId="0" xfId="22" quotePrefix="1" applyNumberFormat="1" applyFont="1" applyFill="1" applyBorder="1" applyAlignment="1">
      <alignment horizontal="center"/>
    </xf>
    <xf numFmtId="37" fontId="11" fillId="0" borderId="3" xfId="22" quotePrefix="1" applyNumberFormat="1" applyFont="1" applyFill="1" applyBorder="1" applyAlignment="1">
      <alignment horizontal="center"/>
    </xf>
    <xf numFmtId="39" fontId="11" fillId="0" borderId="0" xfId="22" quotePrefix="1" applyNumberFormat="1" applyFont="1" applyFill="1" applyBorder="1" applyAlignment="1">
      <alignment horizontal="center"/>
    </xf>
    <xf numFmtId="39" fontId="11" fillId="0" borderId="3" xfId="22" applyNumberFormat="1" applyFont="1" applyFill="1" applyBorder="1" applyAlignment="1">
      <alignment horizontal="center" wrapText="1"/>
    </xf>
    <xf numFmtId="39" fontId="13" fillId="0" borderId="0" xfId="22" applyNumberFormat="1" applyFont="1" applyFill="1" applyBorder="1" applyAlignment="1">
      <alignment horizontal="center"/>
    </xf>
    <xf numFmtId="39" fontId="13" fillId="0" borderId="0" xfId="22" quotePrefix="1" applyNumberFormat="1" applyFont="1" applyFill="1" applyBorder="1" applyAlignment="1">
      <alignment horizontal="center"/>
    </xf>
    <xf numFmtId="39" fontId="43" fillId="0" borderId="0" xfId="22" quotePrefix="1" applyNumberFormat="1" applyFont="1" applyBorder="1" applyAlignment="1">
      <alignment horizontal="center"/>
    </xf>
    <xf numFmtId="39" fontId="13" fillId="0" borderId="3" xfId="22" applyNumberFormat="1" applyFont="1" applyBorder="1" applyAlignment="1">
      <alignment horizontal="center" wrapText="1"/>
    </xf>
    <xf numFmtId="178" fontId="43" fillId="0" borderId="0" xfId="22" applyNumberFormat="1" applyFont="1" applyBorder="1" applyAlignment="1">
      <alignment horizontal="center"/>
    </xf>
    <xf numFmtId="39" fontId="43" fillId="0" borderId="0" xfId="22" applyNumberFormat="1" applyFont="1" applyBorder="1" applyAlignment="1">
      <alignment horizontal="left"/>
    </xf>
    <xf numFmtId="37" fontId="11" fillId="37" borderId="3" xfId="22" quotePrefix="1" applyNumberFormat="1" applyFont="1" applyFill="1" applyBorder="1" applyAlignment="1">
      <alignment horizontal="center"/>
    </xf>
    <xf numFmtId="39" fontId="11" fillId="37" borderId="3" xfId="22" applyNumberFormat="1" applyFont="1" applyFill="1" applyBorder="1" applyAlignment="1">
      <alignment horizontal="center"/>
    </xf>
    <xf numFmtId="39" fontId="48" fillId="0" borderId="0" xfId="22" quotePrefix="1" applyNumberFormat="1" applyFont="1" applyBorder="1" applyAlignment="1">
      <alignment horizontal="center"/>
    </xf>
    <xf numFmtId="37" fontId="11" fillId="36" borderId="5" xfId="22" quotePrefix="1" applyNumberFormat="1" applyFont="1" applyFill="1" applyBorder="1" applyAlignment="1">
      <alignment horizontal="center"/>
    </xf>
    <xf numFmtId="0" fontId="11" fillId="37" borderId="0" xfId="0" quotePrefix="1" applyNumberFormat="1" applyFont="1" applyFill="1" applyBorder="1"/>
    <xf numFmtId="0" fontId="11" fillId="37" borderId="0" xfId="0" applyFont="1" applyFill="1" applyBorder="1"/>
    <xf numFmtId="37" fontId="48" fillId="0" borderId="0" xfId="22" quotePrefix="1" applyNumberFormat="1" applyFont="1" applyBorder="1" applyAlignment="1">
      <alignment horizontal="center"/>
    </xf>
    <xf numFmtId="0" fontId="13" fillId="36" borderId="3" xfId="0" quotePrefix="1" applyNumberFormat="1" applyFont="1" applyFill="1" applyBorder="1"/>
    <xf numFmtId="0" fontId="13" fillId="36" borderId="3" xfId="0" quotePrefix="1" applyNumberFormat="1" applyFont="1" applyFill="1" applyBorder="1" applyAlignment="1">
      <alignment horizontal="left"/>
    </xf>
    <xf numFmtId="0" fontId="13" fillId="36" borderId="3" xfId="0" applyNumberFormat="1" applyFont="1" applyFill="1" applyBorder="1"/>
    <xf numFmtId="0" fontId="13" fillId="36" borderId="3" xfId="0" applyNumberFormat="1" applyFont="1" applyFill="1" applyBorder="1" applyAlignment="1">
      <alignment horizontal="left"/>
    </xf>
    <xf numFmtId="0" fontId="13" fillId="36" borderId="3" xfId="22" applyNumberFormat="1" applyFont="1" applyFill="1" applyBorder="1" applyAlignment="1">
      <alignment horizontal="left"/>
    </xf>
    <xf numFmtId="0" fontId="13" fillId="36" borderId="3" xfId="0" quotePrefix="1" applyNumberFormat="1" applyFont="1" applyFill="1" applyBorder="1" applyAlignment="1">
      <alignment horizontal="center"/>
    </xf>
    <xf numFmtId="0" fontId="13" fillId="37" borderId="3" xfId="0" applyFont="1" applyFill="1" applyBorder="1" applyAlignment="1">
      <alignment horizontal="center"/>
    </xf>
    <xf numFmtId="0" fontId="13" fillId="37" borderId="3" xfId="0" applyFont="1" applyFill="1" applyBorder="1"/>
    <xf numFmtId="39" fontId="13" fillId="37" borderId="3" xfId="22" applyNumberFormat="1" applyFont="1" applyFill="1" applyBorder="1" applyAlignment="1">
      <alignment horizontal="center"/>
    </xf>
    <xf numFmtId="0" fontId="11" fillId="37" borderId="3" xfId="0" applyFont="1" applyFill="1" applyBorder="1" applyAlignment="1">
      <alignment horizontal="center"/>
    </xf>
    <xf numFmtId="37" fontId="13" fillId="0" borderId="3" xfId="22" applyNumberFormat="1" applyFont="1" applyFill="1" applyBorder="1" applyAlignment="1">
      <alignment horizontal="center"/>
    </xf>
    <xf numFmtId="39" fontId="13" fillId="0" borderId="3" xfId="22" applyNumberFormat="1" applyFont="1" applyFill="1" applyBorder="1" applyAlignment="1">
      <alignment horizontal="center"/>
    </xf>
    <xf numFmtId="49" fontId="13" fillId="0" borderId="0" xfId="22" applyNumberFormat="1" applyFont="1" applyBorder="1" applyAlignment="1">
      <alignment horizontal="left"/>
    </xf>
    <xf numFmtId="39" fontId="13" fillId="0" borderId="3" xfId="22" applyNumberFormat="1" applyFont="1" applyBorder="1" applyAlignment="1">
      <alignment horizontal="right"/>
    </xf>
    <xf numFmtId="10" fontId="13" fillId="0" borderId="3" xfId="38" applyNumberFormat="1" applyFont="1" applyFill="1" applyBorder="1" applyAlignment="1">
      <alignment horizontal="center"/>
    </xf>
    <xf numFmtId="39" fontId="13" fillId="0" borderId="3" xfId="22" quotePrefix="1" applyNumberFormat="1" applyFont="1" applyBorder="1" applyAlignment="1">
      <alignment horizontal="center"/>
    </xf>
    <xf numFmtId="39" fontId="11" fillId="0" borderId="3" xfId="22" applyNumberFormat="1" applyFont="1" applyFill="1" applyBorder="1" applyAlignment="1">
      <alignment horizontal="right" wrapText="1"/>
    </xf>
    <xf numFmtId="0" fontId="13" fillId="37" borderId="3" xfId="0" quotePrefix="1" applyNumberFormat="1" applyFont="1" applyFill="1" applyBorder="1"/>
    <xf numFmtId="0" fontId="13" fillId="36" borderId="6" xfId="0" applyFont="1" applyFill="1" applyBorder="1" applyAlignment="1"/>
    <xf numFmtId="0" fontId="13" fillId="36" borderId="4" xfId="0" applyFont="1" applyFill="1" applyBorder="1" applyAlignment="1"/>
    <xf numFmtId="0" fontId="13" fillId="36" borderId="3" xfId="0" applyFont="1" applyFill="1" applyBorder="1"/>
    <xf numFmtId="39" fontId="13" fillId="36" borderId="3" xfId="22" applyNumberFormat="1" applyFont="1" applyFill="1" applyBorder="1" applyAlignment="1">
      <alignment horizontal="center"/>
    </xf>
    <xf numFmtId="39" fontId="13" fillId="36" borderId="3" xfId="0" applyNumberFormat="1" applyFont="1" applyFill="1" applyBorder="1" applyAlignment="1">
      <alignment horizontal="center"/>
    </xf>
    <xf numFmtId="0" fontId="11" fillId="36" borderId="3" xfId="0" quotePrefix="1" applyNumberFormat="1" applyFont="1" applyFill="1" applyBorder="1"/>
    <xf numFmtId="39" fontId="11" fillId="36" borderId="3" xfId="22" quotePrefix="1" applyNumberFormat="1" applyFont="1" applyFill="1" applyBorder="1" applyAlignment="1">
      <alignment horizontal="center"/>
    </xf>
    <xf numFmtId="0" fontId="11" fillId="36" borderId="3" xfId="0" applyNumberFormat="1" applyFont="1" applyFill="1" applyBorder="1"/>
    <xf numFmtId="37" fontId="11" fillId="0" borderId="0" xfId="22" applyNumberFormat="1" applyFont="1" applyFill="1" applyBorder="1" applyAlignment="1">
      <alignment horizontal="center"/>
    </xf>
    <xf numFmtId="0" fontId="0" fillId="36" borderId="0" xfId="0" applyFill="1" applyAlignment="1">
      <alignment horizontal="left" vertical="top" wrapText="1"/>
    </xf>
    <xf numFmtId="39" fontId="11" fillId="0" borderId="0" xfId="22" applyNumberFormat="1" applyFont="1" applyBorder="1" applyAlignment="1">
      <alignment horizontal="center"/>
    </xf>
    <xf numFmtId="39" fontId="11" fillId="0" borderId="0" xfId="22" applyNumberFormat="1" applyFont="1" applyFill="1" applyBorder="1" applyAlignment="1">
      <alignment horizontal="center"/>
    </xf>
    <xf numFmtId="39" fontId="11" fillId="37" borderId="7" xfId="22" applyNumberFormat="1" applyFont="1" applyFill="1" applyBorder="1" applyAlignment="1">
      <alignment horizontal="center"/>
    </xf>
    <xf numFmtId="39" fontId="11" fillId="37" borderId="0" xfId="22" quotePrefix="1" applyNumberFormat="1" applyFont="1" applyFill="1" applyBorder="1" applyAlignment="1">
      <alignment horizontal="center"/>
    </xf>
    <xf numFmtId="39" fontId="13" fillId="0" borderId="0" xfId="22" applyNumberFormat="1" applyFont="1" applyBorder="1" applyAlignment="1">
      <alignment horizontal="center"/>
    </xf>
    <xf numFmtId="0" fontId="14" fillId="0" borderId="0" xfId="0" quotePrefix="1" applyFont="1" applyFill="1" applyAlignment="1">
      <alignment horizontal="center"/>
    </xf>
    <xf numFmtId="164" fontId="11" fillId="0" borderId="0" xfId="0" applyNumberFormat="1" applyFont="1" applyFill="1" applyAlignment="1">
      <alignment horizontal="center"/>
    </xf>
    <xf numFmtId="164" fontId="14" fillId="0" borderId="0" xfId="0" applyNumberFormat="1" applyFont="1" applyFill="1" applyAlignment="1">
      <alignment horizontal="center"/>
    </xf>
    <xf numFmtId="164" fontId="14" fillId="36" borderId="0" xfId="0" applyNumberFormat="1" applyFont="1" applyFill="1" applyAlignment="1">
      <alignment horizontal="center"/>
    </xf>
    <xf numFmtId="0" fontId="13" fillId="0" borderId="0" xfId="0" quotePrefix="1" applyFont="1" applyFill="1" applyAlignment="1">
      <alignment horizontal="center"/>
    </xf>
    <xf numFmtId="0" fontId="13" fillId="0" borderId="0" xfId="0" applyFont="1" applyFill="1" applyAlignment="1">
      <alignment horizontal="right"/>
    </xf>
    <xf numFmtId="164" fontId="17" fillId="0" borderId="0" xfId="0" applyNumberFormat="1" applyFont="1" applyFill="1" applyAlignment="1">
      <alignment horizontal="right"/>
    </xf>
    <xf numFmtId="164" fontId="13" fillId="36" borderId="0" xfId="0" applyNumberFormat="1" applyFont="1" applyFill="1" applyAlignment="1">
      <alignment horizontal="right"/>
    </xf>
    <xf numFmtId="10" fontId="44" fillId="0" borderId="0" xfId="0" applyNumberFormat="1" applyFont="1"/>
    <xf numFmtId="164" fontId="49" fillId="0" borderId="0" xfId="0" applyNumberFormat="1" applyFont="1"/>
    <xf numFmtId="0" fontId="46" fillId="0" borderId="0" xfId="0" applyFont="1" applyAlignment="1">
      <alignment horizontal="center"/>
    </xf>
    <xf numFmtId="3" fontId="44" fillId="36" borderId="0" xfId="0" applyNumberFormat="1" applyFont="1" applyFill="1"/>
    <xf numFmtId="3" fontId="44" fillId="0" borderId="0" xfId="0" applyNumberFormat="1" applyFont="1"/>
    <xf numFmtId="0" fontId="42" fillId="0" borderId="0" xfId="0" applyFont="1"/>
    <xf numFmtId="0" fontId="50" fillId="0" borderId="0" xfId="0" applyFont="1" applyAlignment="1">
      <alignment horizontal="left" indent="1"/>
    </xf>
    <xf numFmtId="10" fontId="50" fillId="0" borderId="0" xfId="0" applyNumberFormat="1" applyFont="1"/>
    <xf numFmtId="0" fontId="50" fillId="0" borderId="0" xfId="0" applyFont="1"/>
    <xf numFmtId="0" fontId="50" fillId="0" borderId="0" xfId="0" applyFont="1" applyAlignment="1">
      <alignment horizontal="right"/>
    </xf>
    <xf numFmtId="0" fontId="19" fillId="0" borderId="0" xfId="27" applyAlignment="1" applyProtection="1"/>
    <xf numFmtId="0" fontId="17" fillId="0" borderId="0" xfId="0" applyFont="1" applyFill="1" applyAlignment="1">
      <alignment horizontal="center"/>
    </xf>
    <xf numFmtId="168" fontId="13" fillId="0" borderId="0" xfId="0" applyNumberFormat="1" applyFont="1" applyFill="1" applyAlignment="1">
      <alignment horizontal="right"/>
    </xf>
    <xf numFmtId="0" fontId="13" fillId="0" borderId="0" xfId="0" applyFont="1" applyFill="1" applyAlignment="1">
      <alignment horizontal="left" indent="2"/>
    </xf>
    <xf numFmtId="0" fontId="0" fillId="0" borderId="0" xfId="0" applyFill="1" applyAlignment="1">
      <alignment horizontal="left" indent="2"/>
    </xf>
    <xf numFmtId="0" fontId="13" fillId="0" borderId="0" xfId="0" applyFont="1" applyFill="1" applyAlignment="1">
      <alignment horizontal="left" indent="3"/>
    </xf>
    <xf numFmtId="164" fontId="44" fillId="36" borderId="0" xfId="0" applyNumberFormat="1" applyFont="1" applyFill="1" applyAlignment="1">
      <alignment horizontal="right"/>
    </xf>
    <xf numFmtId="166" fontId="44" fillId="0" borderId="0" xfId="0" quotePrefix="1" applyNumberFormat="1" applyFont="1" applyAlignment="1">
      <alignment horizontal="right"/>
    </xf>
    <xf numFmtId="168" fontId="17" fillId="0" borderId="0" xfId="0" applyNumberFormat="1" applyFont="1"/>
    <xf numFmtId="49" fontId="0" fillId="0" borderId="0" xfId="0" applyNumberFormat="1" applyAlignment="1">
      <alignment horizontal="center"/>
    </xf>
    <xf numFmtId="49" fontId="47" fillId="0" borderId="0" xfId="0" applyNumberFormat="1" applyFont="1" applyAlignment="1">
      <alignment horizontal="center"/>
    </xf>
    <xf numFmtId="0" fontId="0" fillId="0" borderId="0" xfId="0" applyFont="1"/>
    <xf numFmtId="164" fontId="13" fillId="36" borderId="0" xfId="23" applyNumberFormat="1" applyFont="1" applyFill="1" applyAlignment="1">
      <alignment horizontal="right"/>
    </xf>
    <xf numFmtId="49" fontId="0" fillId="0" borderId="0" xfId="0" applyNumberFormat="1" applyAlignment="1">
      <alignment horizontal="left" indent="1"/>
    </xf>
    <xf numFmtId="0" fontId="51" fillId="0" borderId="0" xfId="0" applyFont="1" applyAlignment="1">
      <alignment horizontal="center" vertical="top"/>
    </xf>
    <xf numFmtId="0" fontId="13" fillId="0" borderId="0" xfId="0" applyFont="1" applyAlignment="1">
      <alignment horizontal="left" wrapText="1"/>
    </xf>
    <xf numFmtId="49" fontId="50" fillId="0" borderId="0" xfId="0" applyNumberFormat="1" applyFont="1" applyAlignment="1">
      <alignment horizontal="left" indent="1"/>
    </xf>
    <xf numFmtId="0" fontId="50" fillId="0" borderId="0" xfId="0" applyFont="1" applyAlignment="1">
      <alignment horizontal="left" wrapText="1"/>
    </xf>
    <xf numFmtId="164" fontId="13" fillId="0" borderId="0" xfId="23" applyNumberFormat="1" applyFont="1" applyFill="1" applyAlignment="1">
      <alignment horizontal="right"/>
    </xf>
    <xf numFmtId="0" fontId="51" fillId="0" borderId="0" xfId="0" applyFont="1" applyAlignment="1">
      <alignment horizontal="center"/>
    </xf>
    <xf numFmtId="179" fontId="0" fillId="0" borderId="0" xfId="23" applyNumberFormat="1" applyFont="1"/>
    <xf numFmtId="0" fontId="0" fillId="0" borderId="0" xfId="0" applyFont="1" applyBorder="1"/>
    <xf numFmtId="164" fontId="31" fillId="0" borderId="0" xfId="0" applyNumberFormat="1" applyFont="1" applyBorder="1"/>
    <xf numFmtId="164" fontId="0" fillId="0" borderId="0" xfId="0" applyNumberFormat="1" applyFont="1" applyAlignment="1">
      <alignment horizontal="right"/>
    </xf>
    <xf numFmtId="164" fontId="41" fillId="36" borderId="0" xfId="23" applyNumberFormat="1" applyFont="1" applyFill="1" applyAlignment="1">
      <alignment horizontal="right"/>
    </xf>
    <xf numFmtId="164" fontId="0" fillId="0" borderId="0" xfId="0" applyNumberFormat="1" applyFont="1" applyFill="1" applyAlignment="1">
      <alignment horizontal="right"/>
    </xf>
    <xf numFmtId="3" fontId="0" fillId="0" borderId="0" xfId="23" applyNumberFormat="1" applyFont="1" applyBorder="1" applyAlignment="1">
      <alignment horizontal="right"/>
    </xf>
    <xf numFmtId="49" fontId="50" fillId="0" borderId="0" xfId="0" quotePrefix="1" applyNumberFormat="1" applyFont="1" applyAlignment="1">
      <alignment horizontal="left" indent="1"/>
    </xf>
    <xf numFmtId="49" fontId="13" fillId="0" borderId="0" xfId="0" applyNumberFormat="1" applyFont="1" applyAlignment="1">
      <alignment horizontal="left" indent="1"/>
    </xf>
    <xf numFmtId="0" fontId="0" fillId="36" borderId="0" xfId="0" applyFill="1" applyAlignment="1">
      <alignment horizontal="left" indent="1"/>
    </xf>
    <xf numFmtId="0" fontId="0" fillId="36" borderId="0" xfId="0" applyFill="1" applyAlignment="1">
      <alignment horizontal="left"/>
    </xf>
    <xf numFmtId="10" fontId="0" fillId="36" borderId="0" xfId="0" applyNumberFormat="1" applyFill="1" applyAlignment="1">
      <alignment horizontal="left"/>
    </xf>
    <xf numFmtId="0" fontId="0" fillId="36" borderId="0" xfId="0" applyFill="1" applyAlignment="1"/>
    <xf numFmtId="0" fontId="11" fillId="36" borderId="0" xfId="0" applyFont="1" applyFill="1" applyAlignment="1">
      <alignment horizontal="left"/>
    </xf>
    <xf numFmtId="0" fontId="0" fillId="0" borderId="0" xfId="0" quotePrefix="1" applyFont="1" applyFill="1" applyAlignment="1">
      <alignment horizontal="left" indent="1"/>
    </xf>
    <xf numFmtId="0" fontId="11" fillId="0" borderId="0" xfId="0" applyFont="1" applyFill="1" applyAlignment="1">
      <alignment horizontal="left"/>
    </xf>
    <xf numFmtId="0" fontId="43" fillId="0" borderId="0" xfId="0" applyFont="1" applyAlignment="1">
      <alignment horizontal="left" indent="1"/>
    </xf>
    <xf numFmtId="0" fontId="14" fillId="0" borderId="0" xfId="0" applyFont="1" applyAlignment="1">
      <alignment horizontal="left" indent="1"/>
    </xf>
    <xf numFmtId="0" fontId="11" fillId="36" borderId="0" xfId="0" applyFont="1" applyFill="1"/>
    <xf numFmtId="0" fontId="0" fillId="36" borderId="0" xfId="0" applyFill="1" applyAlignment="1">
      <alignment horizontal="right"/>
    </xf>
    <xf numFmtId="10" fontId="0" fillId="36" borderId="0" xfId="0" applyNumberFormat="1" applyFill="1" applyAlignment="1">
      <alignment horizontal="right"/>
    </xf>
    <xf numFmtId="168" fontId="44" fillId="0" borderId="0" xfId="0" applyNumberFormat="1" applyFont="1"/>
    <xf numFmtId="0" fontId="0" fillId="0" borderId="8" xfId="0" applyBorder="1" applyAlignment="1">
      <alignment horizontal="center"/>
    </xf>
    <xf numFmtId="164" fontId="0" fillId="0" borderId="0" xfId="0" applyNumberFormat="1" applyAlignment="1">
      <alignment horizontal="right"/>
    </xf>
    <xf numFmtId="0" fontId="45" fillId="0" borderId="0" xfId="0" applyFont="1"/>
    <xf numFmtId="0" fontId="44" fillId="36" borderId="0" xfId="0" applyFont="1" applyFill="1"/>
    <xf numFmtId="0" fontId="14" fillId="0" borderId="0" xfId="28" applyNumberFormat="1" applyFont="1" applyFill="1" applyBorder="1" applyAlignment="1">
      <alignment horizontal="left"/>
    </xf>
    <xf numFmtId="0" fontId="14" fillId="0" borderId="0" xfId="28" applyNumberFormat="1" applyFont="1" applyFill="1" applyBorder="1" applyAlignment="1">
      <alignment horizontal="center"/>
    </xf>
    <xf numFmtId="3" fontId="14" fillId="0" borderId="0" xfId="28" applyNumberFormat="1" applyFont="1" applyFill="1" applyBorder="1" applyAlignment="1">
      <alignment horizontal="center"/>
    </xf>
    <xf numFmtId="164" fontId="49" fillId="36" borderId="0" xfId="0" applyNumberFormat="1" applyFont="1" applyFill="1"/>
    <xf numFmtId="0" fontId="46" fillId="0" borderId="0" xfId="0" applyFont="1"/>
    <xf numFmtId="0" fontId="11" fillId="36" borderId="0" xfId="0" quotePrefix="1" applyFont="1" applyFill="1" applyAlignment="1">
      <alignment vertical="center"/>
    </xf>
    <xf numFmtId="164" fontId="13" fillId="36" borderId="8" xfId="0" applyNumberFormat="1" applyFont="1" applyFill="1" applyBorder="1"/>
    <xf numFmtId="164" fontId="47" fillId="0" borderId="0" xfId="0" applyNumberFormat="1" applyFont="1" applyAlignment="1">
      <alignment horizontal="center"/>
    </xf>
    <xf numFmtId="165" fontId="10" fillId="34" borderId="0" xfId="0" applyNumberFormat="1" applyFont="1" applyFill="1"/>
    <xf numFmtId="165" fontId="10" fillId="0" borderId="0" xfId="0" applyNumberFormat="1" applyFont="1" applyFill="1"/>
    <xf numFmtId="168" fontId="11" fillId="0" borderId="0" xfId="0" applyNumberFormat="1" applyFont="1" applyFill="1" applyAlignment="1">
      <alignment horizontal="center"/>
    </xf>
    <xf numFmtId="37" fontId="11" fillId="0" borderId="3" xfId="22" applyNumberFormat="1" applyFont="1" applyBorder="1" applyAlignment="1">
      <alignment horizontal="center"/>
    </xf>
    <xf numFmtId="37" fontId="11" fillId="36" borderId="3" xfId="22" applyNumberFormat="1" applyFont="1" applyFill="1" applyBorder="1" applyAlignment="1">
      <alignment horizontal="center"/>
    </xf>
    <xf numFmtId="37" fontId="11" fillId="0" borderId="3" xfId="22" applyNumberFormat="1" applyFont="1" applyFill="1" applyBorder="1" applyAlignment="1">
      <alignment horizontal="center"/>
    </xf>
    <xf numFmtId="37" fontId="11" fillId="0" borderId="3" xfId="0" applyNumberFormat="1" applyFont="1" applyBorder="1" applyAlignment="1">
      <alignment horizontal="center"/>
    </xf>
    <xf numFmtId="37" fontId="11" fillId="37" borderId="3" xfId="0" applyNumberFormat="1" applyFont="1" applyFill="1" applyBorder="1" applyAlignment="1">
      <alignment horizontal="center"/>
    </xf>
    <xf numFmtId="164" fontId="13" fillId="0" borderId="0" xfId="19" applyNumberFormat="1" applyFont="1" applyBorder="1" applyAlignment="1">
      <alignment horizontal="center"/>
    </xf>
    <xf numFmtId="37" fontId="11" fillId="0" borderId="0" xfId="0" applyNumberFormat="1" applyFont="1" applyBorder="1" applyAlignment="1">
      <alignment horizontal="center"/>
    </xf>
    <xf numFmtId="164" fontId="17" fillId="36" borderId="0" xfId="0" applyNumberFormat="1" applyFont="1" applyFill="1" applyAlignment="1">
      <alignment horizontal="right"/>
    </xf>
    <xf numFmtId="0" fontId="13" fillId="36" borderId="0" xfId="0" applyFont="1" applyFill="1" applyAlignment="1">
      <alignment horizontal="right"/>
    </xf>
    <xf numFmtId="164" fontId="0" fillId="0" borderId="0" xfId="0" applyNumberFormat="1" applyAlignment="1">
      <alignment horizontal="center"/>
    </xf>
    <xf numFmtId="0" fontId="11" fillId="0" borderId="0" xfId="28" applyFont="1" applyAlignment="1">
      <alignment horizontal="left" vertical="center"/>
    </xf>
    <xf numFmtId="0" fontId="40" fillId="0" borderId="0" xfId="28" applyFont="1" applyFill="1" applyAlignment="1">
      <alignment horizontal="left"/>
    </xf>
    <xf numFmtId="0" fontId="40" fillId="0" borderId="0" xfId="28" applyFont="1" applyFill="1" applyAlignment="1">
      <alignment horizontal="center"/>
    </xf>
    <xf numFmtId="0" fontId="40" fillId="0" borderId="0" xfId="28" applyNumberFormat="1" applyFont="1" applyFill="1" applyAlignment="1">
      <alignment horizontal="center"/>
    </xf>
    <xf numFmtId="0" fontId="40" fillId="0" borderId="0" xfId="28" applyFont="1" applyAlignment="1">
      <alignment horizontal="center"/>
    </xf>
    <xf numFmtId="0" fontId="11" fillId="0" borderId="0" xfId="28" applyFont="1" applyAlignment="1">
      <alignment horizontal="left"/>
    </xf>
    <xf numFmtId="0" fontId="40" fillId="36" borderId="0" xfId="28" applyNumberFormat="1" applyFont="1" applyFill="1" applyAlignment="1">
      <alignment horizontal="center"/>
    </xf>
    <xf numFmtId="0" fontId="11" fillId="0" borderId="0" xfId="28" applyFont="1" applyAlignment="1">
      <alignment vertical="top"/>
    </xf>
    <xf numFmtId="0" fontId="11" fillId="0" borderId="0" xfId="28" applyFont="1" applyAlignment="1">
      <alignment horizontal="left" vertical="top"/>
    </xf>
    <xf numFmtId="0" fontId="11" fillId="0" borderId="0" xfId="28" applyFont="1" applyAlignment="1">
      <alignment horizontal="center" vertical="top"/>
    </xf>
    <xf numFmtId="0" fontId="11" fillId="0" borderId="0" xfId="28" applyFont="1" applyFill="1" applyAlignment="1">
      <alignment horizontal="center" vertical="top"/>
    </xf>
    <xf numFmtId="0" fontId="11" fillId="0" borderId="0" xfId="28" applyNumberFormat="1" applyFont="1" applyFill="1" applyAlignment="1">
      <alignment horizontal="center" vertical="top"/>
    </xf>
    <xf numFmtId="0" fontId="40" fillId="0" borderId="0" xfId="28" applyFont="1" applyAlignment="1">
      <alignment horizontal="center" vertical="top"/>
    </xf>
    <xf numFmtId="0" fontId="11" fillId="0" borderId="0" xfId="28" applyFont="1" applyAlignment="1"/>
    <xf numFmtId="0" fontId="11" fillId="0" borderId="0" xfId="28" applyFont="1" applyFill="1" applyAlignment="1">
      <alignment horizontal="center"/>
    </xf>
    <xf numFmtId="0" fontId="11" fillId="0" borderId="0" xfId="28" applyNumberFormat="1" applyFont="1" applyFill="1" applyAlignment="1">
      <alignment horizontal="center"/>
    </xf>
    <xf numFmtId="0" fontId="14" fillId="0" borderId="0" xfId="0" quotePrefix="1" applyFont="1" applyAlignment="1">
      <alignment horizontal="center" vertical="top"/>
    </xf>
    <xf numFmtId="0" fontId="14" fillId="0" borderId="0" xfId="0" quotePrefix="1" applyNumberFormat="1" applyFont="1" applyAlignment="1">
      <alignment horizontal="center" vertical="top"/>
    </xf>
    <xf numFmtId="0" fontId="11" fillId="0" borderId="0" xfId="28" applyFont="1" applyAlignment="1">
      <alignment horizontal="center" vertical="center"/>
    </xf>
    <xf numFmtId="0" fontId="11" fillId="0" borderId="0" xfId="28" applyFont="1" applyBorder="1" applyAlignment="1"/>
    <xf numFmtId="0" fontId="11" fillId="0" borderId="6" xfId="28" applyNumberFormat="1" applyFont="1" applyFill="1" applyBorder="1" applyAlignment="1">
      <alignment horizontal="center"/>
    </xf>
    <xf numFmtId="0" fontId="11" fillId="0" borderId="3" xfId="28" applyFont="1" applyBorder="1" applyAlignment="1">
      <alignment horizontal="center"/>
    </xf>
    <xf numFmtId="0" fontId="11" fillId="0" borderId="3" xfId="28" applyNumberFormat="1" applyFont="1" applyBorder="1" applyAlignment="1">
      <alignment horizontal="center"/>
    </xf>
    <xf numFmtId="0" fontId="14" fillId="0" borderId="0" xfId="28" applyFont="1" applyBorder="1" applyAlignment="1"/>
    <xf numFmtId="0" fontId="11" fillId="0" borderId="0" xfId="28" applyFont="1" applyBorder="1" applyAlignment="1">
      <alignment horizontal="center"/>
    </xf>
    <xf numFmtId="0" fontId="11" fillId="0" borderId="0" xfId="28" applyNumberFormat="1" applyFont="1" applyBorder="1" applyAlignment="1">
      <alignment horizontal="center"/>
    </xf>
    <xf numFmtId="0" fontId="25" fillId="36" borderId="0" xfId="22" applyNumberFormat="1" applyFont="1" applyFill="1" applyBorder="1" applyAlignment="1">
      <alignment horizontal="center"/>
    </xf>
    <xf numFmtId="167" fontId="25" fillId="0" borderId="0" xfId="28" applyNumberFormat="1" applyFont="1" applyFill="1" applyBorder="1"/>
    <xf numFmtId="0" fontId="11" fillId="0" borderId="0" xfId="28" applyFont="1" applyBorder="1"/>
    <xf numFmtId="0" fontId="11" fillId="0" borderId="0" xfId="28" applyFont="1" applyFill="1" applyBorder="1"/>
    <xf numFmtId="0" fontId="14" fillId="0" borderId="0" xfId="28" applyFont="1" applyBorder="1"/>
    <xf numFmtId="167" fontId="11" fillId="0" borderId="0" xfId="28" applyNumberFormat="1" applyFont="1" applyBorder="1" applyAlignment="1">
      <alignment horizontal="center"/>
    </xf>
    <xf numFmtId="167" fontId="11" fillId="0" borderId="0" xfId="28" applyNumberFormat="1" applyFont="1" applyBorder="1"/>
    <xf numFmtId="0" fontId="11" fillId="0" borderId="0" xfId="28" applyFont="1" applyBorder="1" applyAlignment="1">
      <alignment horizontal="right"/>
    </xf>
    <xf numFmtId="0" fontId="11" fillId="0" borderId="0" xfId="28" applyFont="1" applyFill="1" applyBorder="1" applyAlignment="1">
      <alignment horizontal="right"/>
    </xf>
    <xf numFmtId="167" fontId="11" fillId="0" borderId="3" xfId="22" applyNumberFormat="1" applyFont="1" applyFill="1" applyBorder="1" applyAlignment="1">
      <alignment horizontal="center" wrapText="1"/>
    </xf>
    <xf numFmtId="171" fontId="11" fillId="0" borderId="0" xfId="37" applyNumberFormat="1" applyFont="1" applyFill="1" applyBorder="1" applyAlignment="1">
      <alignment horizontal="center" wrapText="1"/>
    </xf>
    <xf numFmtId="167" fontId="11" fillId="0" borderId="0" xfId="22" applyNumberFormat="1" applyFont="1" applyFill="1" applyBorder="1"/>
    <xf numFmtId="0" fontId="11" fillId="0" borderId="0" xfId="39" applyNumberFormat="1" applyFont="1" applyFill="1" applyBorder="1" applyAlignment="1">
      <alignment horizontal="center" wrapText="1"/>
    </xf>
    <xf numFmtId="171" fontId="11" fillId="0" borderId="0" xfId="39" applyNumberFormat="1" applyFont="1" applyFill="1" applyBorder="1" applyAlignment="1">
      <alignment horizontal="center" wrapText="1"/>
    </xf>
    <xf numFmtId="167" fontId="25" fillId="0" borderId="0" xfId="22" applyNumberFormat="1" applyFont="1" applyFill="1" applyBorder="1" applyAlignment="1">
      <alignment horizontal="center" wrapText="1"/>
    </xf>
    <xf numFmtId="167" fontId="11" fillId="0" borderId="0" xfId="22" applyNumberFormat="1" applyFont="1" applyBorder="1"/>
    <xf numFmtId="0" fontId="14" fillId="0" borderId="0" xfId="28" applyFont="1" applyBorder="1" applyAlignment="1">
      <alignment vertical="top" wrapText="1"/>
    </xf>
    <xf numFmtId="164" fontId="25" fillId="36" borderId="0" xfId="22" applyNumberFormat="1" applyFont="1" applyFill="1" applyBorder="1"/>
    <xf numFmtId="168" fontId="13" fillId="0" borderId="0" xfId="0" applyNumberFormat="1" applyFont="1" applyFill="1" applyAlignment="1">
      <alignment horizontal="left" indent="1"/>
    </xf>
    <xf numFmtId="0" fontId="44" fillId="34" borderId="0" xfId="0" applyFont="1" applyFill="1"/>
    <xf numFmtId="0" fontId="45" fillId="0" borderId="0" xfId="0" applyFont="1" applyFill="1" applyAlignment="1">
      <alignment horizontal="center"/>
    </xf>
    <xf numFmtId="0" fontId="46" fillId="0" borderId="0" xfId="0" applyFont="1" applyFill="1" applyAlignment="1">
      <alignment horizontal="center"/>
    </xf>
    <xf numFmtId="0" fontId="44" fillId="0" borderId="0" xfId="0" applyFont="1" applyFill="1" applyAlignment="1">
      <alignment horizontal="center"/>
    </xf>
    <xf numFmtId="0" fontId="44" fillId="0" borderId="0" xfId="0" applyFont="1" applyFill="1" applyAlignment="1">
      <alignment horizontal="left" indent="2"/>
    </xf>
    <xf numFmtId="0" fontId="45" fillId="0" borderId="0" xfId="0" applyFont="1" applyAlignment="1">
      <alignment horizontal="left" indent="1"/>
    </xf>
    <xf numFmtId="0" fontId="45" fillId="0" borderId="0" xfId="0" quotePrefix="1" applyFont="1" applyAlignment="1">
      <alignment horizontal="center"/>
    </xf>
    <xf numFmtId="0" fontId="46" fillId="0" borderId="0" xfId="0" quotePrefix="1" applyFont="1" applyAlignment="1">
      <alignment horizontal="center"/>
    </xf>
    <xf numFmtId="164" fontId="49" fillId="0" borderId="0" xfId="0" applyNumberFormat="1" applyFont="1" applyFill="1"/>
    <xf numFmtId="0" fontId="44" fillId="0" borderId="0" xfId="0" quotePrefix="1" applyFont="1"/>
    <xf numFmtId="0" fontId="46" fillId="0" borderId="0" xfId="0" applyFont="1" applyAlignment="1">
      <alignment horizontal="left"/>
    </xf>
    <xf numFmtId="1" fontId="44" fillId="36" borderId="0" xfId="0" applyNumberFormat="1" applyFont="1" applyFill="1"/>
    <xf numFmtId="175" fontId="44" fillId="0" borderId="0" xfId="0" applyNumberFormat="1" applyFont="1"/>
    <xf numFmtId="0" fontId="44" fillId="0" borderId="0" xfId="0" applyFont="1" applyFill="1" applyAlignment="1">
      <alignment horizontal="left" indent="1"/>
    </xf>
    <xf numFmtId="0" fontId="45" fillId="0" borderId="0" xfId="0" applyFont="1" applyAlignment="1">
      <alignment horizontal="left"/>
    </xf>
    <xf numFmtId="37" fontId="13" fillId="36" borderId="4" xfId="22" quotePrefix="1" applyNumberFormat="1" applyFont="1" applyFill="1" applyBorder="1" applyAlignment="1">
      <alignment horizontal="center"/>
    </xf>
    <xf numFmtId="164" fontId="0" fillId="0" borderId="0" xfId="0" quotePrefix="1" applyNumberFormat="1" applyAlignment="1">
      <alignment horizontal="center"/>
    </xf>
    <xf numFmtId="164" fontId="42" fillId="0" borderId="0" xfId="0" applyNumberFormat="1" applyFont="1" applyAlignment="1">
      <alignment horizontal="center"/>
    </xf>
    <xf numFmtId="164" fontId="13" fillId="0" borderId="0" xfId="0" applyNumberFormat="1" applyFont="1" applyAlignment="1"/>
    <xf numFmtId="164" fontId="13" fillId="0" borderId="0" xfId="0" applyNumberFormat="1" applyFont="1" applyAlignment="1">
      <alignment horizontal="right" indent="1"/>
    </xf>
    <xf numFmtId="0" fontId="11" fillId="0" borderId="0" xfId="0" applyFont="1" applyAlignment="1">
      <alignment horizontal="center"/>
    </xf>
    <xf numFmtId="0" fontId="0" fillId="0" borderId="0" xfId="0" applyAlignment="1">
      <alignment horizontal="center"/>
    </xf>
    <xf numFmtId="0" fontId="14" fillId="0" borderId="0" xfId="28" applyFont="1" applyFill="1" applyAlignment="1">
      <alignment horizontal="center"/>
    </xf>
    <xf numFmtId="0" fontId="13" fillId="0" borderId="0" xfId="0" applyNumberFormat="1" applyFont="1" applyFill="1"/>
    <xf numFmtId="0" fontId="13" fillId="0" borderId="0" xfId="0" applyNumberFormat="1" applyFont="1" applyFill="1" applyAlignment="1">
      <alignment horizontal="left"/>
    </xf>
    <xf numFmtId="0" fontId="11" fillId="0" borderId="0" xfId="0" applyFont="1" applyAlignment="1">
      <alignment horizontal="center"/>
    </xf>
    <xf numFmtId="0" fontId="11" fillId="0" borderId="0" xfId="0" applyFont="1" applyAlignment="1">
      <alignment horizontal="center"/>
    </xf>
    <xf numFmtId="164" fontId="9" fillId="0" borderId="0" xfId="0" applyNumberFormat="1" applyFont="1"/>
    <xf numFmtId="0" fontId="11" fillId="0" borderId="0" xfId="0" applyFont="1" applyAlignment="1">
      <alignment horizontal="center"/>
    </xf>
    <xf numFmtId="164" fontId="0" fillId="0" borderId="0" xfId="0" applyNumberFormat="1" applyFill="1" applyAlignment="1"/>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xf>
    <xf numFmtId="0" fontId="10" fillId="0" borderId="0" xfId="0" applyFont="1" applyFill="1" applyAlignment="1">
      <alignment horizontal="left" indent="1"/>
    </xf>
    <xf numFmtId="0" fontId="10" fillId="0" borderId="0" xfId="0" applyFont="1"/>
    <xf numFmtId="0" fontId="10" fillId="0" borderId="0" xfId="0" applyFont="1" applyAlignment="1">
      <alignment horizontal="center"/>
    </xf>
    <xf numFmtId="0" fontId="10" fillId="0" borderId="0" xfId="0" applyFont="1" applyFill="1"/>
    <xf numFmtId="164" fontId="10" fillId="0" borderId="0" xfId="0" applyNumberFormat="1" applyFont="1" applyFill="1" applyBorder="1"/>
    <xf numFmtId="0" fontId="10" fillId="0" borderId="0" xfId="0" applyFont="1" applyAlignment="1">
      <alignment horizontal="left" indent="1"/>
    </xf>
    <xf numFmtId="180" fontId="10" fillId="34" borderId="0" xfId="35" applyNumberFormat="1" applyFont="1" applyFill="1" applyAlignment="1">
      <alignment horizontal="left"/>
    </xf>
    <xf numFmtId="180" fontId="10" fillId="0" borderId="0" xfId="35" applyNumberFormat="1" applyFont="1" applyFill="1" applyAlignment="1">
      <alignment horizontal="left"/>
    </xf>
    <xf numFmtId="164" fontId="10" fillId="0" borderId="0" xfId="0" applyNumberFormat="1" applyFont="1"/>
    <xf numFmtId="180" fontId="10" fillId="0" borderId="0" xfId="35" applyNumberFormat="1" applyFont="1" applyFill="1" applyAlignment="1">
      <alignment horizontal="right"/>
    </xf>
    <xf numFmtId="0" fontId="10" fillId="0" borderId="0" xfId="0" quotePrefix="1" applyFont="1" applyAlignment="1">
      <alignment horizontal="center"/>
    </xf>
    <xf numFmtId="0" fontId="10" fillId="36" borderId="0" xfId="0" applyFont="1" applyFill="1"/>
    <xf numFmtId="0" fontId="10" fillId="0" borderId="0" xfId="28" applyFont="1" applyFill="1"/>
    <xf numFmtId="10" fontId="0" fillId="0" borderId="0" xfId="37" applyNumberFormat="1" applyFont="1"/>
    <xf numFmtId="0" fontId="10" fillId="0" borderId="0" xfId="28" applyFont="1"/>
    <xf numFmtId="164" fontId="10" fillId="36" borderId="0" xfId="22" applyNumberFormat="1" applyFont="1" applyFill="1" applyBorder="1"/>
    <xf numFmtId="164" fontId="10" fillId="0" borderId="0" xfId="0" applyNumberFormat="1" applyFont="1" applyFill="1"/>
    <xf numFmtId="164" fontId="10" fillId="34" borderId="0" xfId="0" applyNumberFormat="1" applyFont="1" applyFill="1"/>
    <xf numFmtId="164" fontId="10" fillId="0" borderId="14" xfId="0" applyNumberFormat="1" applyFont="1" applyFill="1" applyBorder="1"/>
    <xf numFmtId="164" fontId="10" fillId="0" borderId="8" xfId="0" applyNumberFormat="1" applyFont="1" applyFill="1" applyBorder="1"/>
    <xf numFmtId="3" fontId="10" fillId="0" borderId="0" xfId="0" applyNumberFormat="1" applyFont="1" applyFill="1"/>
    <xf numFmtId="0" fontId="10" fillId="0" borderId="0" xfId="0" quotePrefix="1" applyFont="1"/>
    <xf numFmtId="17" fontId="10" fillId="0" borderId="0" xfId="0" quotePrefix="1" applyNumberFormat="1" applyFont="1" applyAlignment="1">
      <alignment horizontal="center"/>
    </xf>
    <xf numFmtId="0" fontId="10" fillId="0" borderId="0" xfId="0" applyFont="1" applyAlignment="1">
      <alignment wrapText="1"/>
    </xf>
    <xf numFmtId="0" fontId="0" fillId="0" borderId="0" xfId="0" applyAlignment="1">
      <alignment horizontal="center"/>
    </xf>
    <xf numFmtId="0" fontId="11"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indent="1"/>
    </xf>
    <xf numFmtId="0" fontId="10" fillId="0" borderId="0" xfId="0" applyFont="1" applyAlignment="1">
      <alignment horizontal="left" indent="2"/>
    </xf>
    <xf numFmtId="0" fontId="10" fillId="0" borderId="0" xfId="28" applyNumberFormat="1" applyFont="1" applyFill="1" applyBorder="1" applyAlignment="1">
      <alignment horizontal="left" indent="1"/>
    </xf>
    <xf numFmtId="37" fontId="10" fillId="36" borderId="3" xfId="22" quotePrefix="1" applyNumberFormat="1" applyFont="1" applyFill="1" applyBorder="1" applyAlignment="1">
      <alignment horizontal="center"/>
    </xf>
    <xf numFmtId="0" fontId="11" fillId="0" borderId="0" xfId="0" applyFont="1" applyAlignment="1">
      <alignment horizontal="center"/>
    </xf>
    <xf numFmtId="0" fontId="10" fillId="0" borderId="0" xfId="0" quotePrefix="1" applyFont="1" applyAlignment="1">
      <alignment horizontal="center" vertical="justify"/>
    </xf>
    <xf numFmtId="10" fontId="17" fillId="0" borderId="0" xfId="0" applyNumberFormat="1" applyFont="1"/>
    <xf numFmtId="0" fontId="11" fillId="0" borderId="0" xfId="0" applyFont="1" applyAlignment="1">
      <alignment horizontal="center"/>
    </xf>
    <xf numFmtId="166" fontId="10" fillId="0" borderId="0" xfId="0" applyNumberFormat="1" applyFont="1" applyAlignment="1">
      <alignment horizontal="left" indent="1"/>
    </xf>
    <xf numFmtId="166" fontId="14" fillId="0" borderId="0" xfId="0" applyNumberFormat="1" applyFont="1" applyAlignment="1">
      <alignment horizontal="center"/>
    </xf>
    <xf numFmtId="0" fontId="11" fillId="0" borderId="0" xfId="0" applyFont="1" applyAlignment="1">
      <alignment horizontal="center"/>
    </xf>
    <xf numFmtId="0" fontId="10" fillId="0" borderId="0" xfId="28" applyNumberFormat="1" applyFont="1" applyFill="1" applyBorder="1" applyAlignment="1">
      <alignment horizontal="left"/>
    </xf>
    <xf numFmtId="164" fontId="10" fillId="36" borderId="0" xfId="0" applyNumberFormat="1" applyFont="1" applyFill="1"/>
    <xf numFmtId="0" fontId="10" fillId="0" borderId="0" xfId="28" applyFont="1" applyBorder="1" applyAlignment="1">
      <alignment horizontal="left"/>
    </xf>
    <xf numFmtId="0" fontId="10" fillId="0" borderId="0" xfId="28" quotePrefix="1" applyNumberFormat="1" applyFont="1" applyFill="1" applyBorder="1" applyAlignment="1">
      <alignment horizontal="left"/>
    </xf>
    <xf numFmtId="0" fontId="10" fillId="0" borderId="0" xfId="28" applyNumberFormat="1" applyFont="1" applyFill="1" applyBorder="1" applyAlignment="1">
      <alignment horizontal="right"/>
    </xf>
    <xf numFmtId="164" fontId="10" fillId="0" borderId="0" xfId="20" applyNumberFormat="1" applyFont="1" applyFill="1" applyBorder="1" applyAlignment="1">
      <alignment horizontal="right"/>
    </xf>
    <xf numFmtId="167" fontId="10" fillId="0" borderId="0" xfId="28" quotePrefix="1" applyNumberFormat="1" applyFont="1" applyFill="1" applyBorder="1" applyAlignment="1">
      <alignment horizontal="left" indent="1"/>
    </xf>
    <xf numFmtId="167" fontId="10" fillId="0" borderId="0" xfId="28" applyNumberFormat="1" applyFont="1" applyFill="1" applyBorder="1" applyAlignment="1">
      <alignment horizontal="left" indent="1"/>
    </xf>
    <xf numFmtId="0" fontId="10" fillId="0" borderId="0" xfId="28" applyFont="1" applyBorder="1" applyAlignment="1"/>
    <xf numFmtId="167" fontId="10" fillId="0" borderId="0" xfId="20" applyNumberFormat="1" applyFont="1" applyFill="1" applyBorder="1" applyAlignment="1">
      <alignment horizontal="right"/>
    </xf>
    <xf numFmtId="167" fontId="10" fillId="0" borderId="0" xfId="28" applyNumberFormat="1" applyFont="1" applyFill="1" applyBorder="1" applyAlignment="1">
      <alignment horizontal="right"/>
    </xf>
    <xf numFmtId="0" fontId="10" fillId="0" borderId="0" xfId="28" applyFont="1" applyBorder="1"/>
    <xf numFmtId="3" fontId="10" fillId="0" borderId="0" xfId="28" applyNumberFormat="1" applyFont="1" applyFill="1" applyBorder="1" applyAlignment="1">
      <alignment horizontal="left" indent="1"/>
    </xf>
    <xf numFmtId="1" fontId="10" fillId="0" borderId="0" xfId="28" applyNumberFormat="1" applyFont="1" applyFill="1" applyBorder="1" applyAlignment="1">
      <alignment horizontal="center"/>
    </xf>
    <xf numFmtId="3" fontId="10" fillId="0" borderId="0" xfId="28" applyNumberFormat="1" applyFont="1" applyFill="1" applyBorder="1" applyAlignment="1"/>
    <xf numFmtId="37" fontId="10" fillId="0" borderId="0" xfId="36" applyNumberFormat="1" applyFont="1" applyFill="1" applyAlignment="1">
      <alignment horizontal="left" indent="1"/>
    </xf>
    <xf numFmtId="0" fontId="10" fillId="0" borderId="0" xfId="28" applyFont="1" applyBorder="1" applyAlignment="1">
      <alignment horizontal="right"/>
    </xf>
    <xf numFmtId="10" fontId="10" fillId="0" borderId="0" xfId="0" applyNumberFormat="1" applyFont="1" applyFill="1"/>
    <xf numFmtId="0" fontId="10" fillId="36" borderId="0" xfId="34" applyFont="1" applyFill="1"/>
    <xf numFmtId="0" fontId="10" fillId="0" borderId="0" xfId="0" quotePrefix="1" applyFont="1" applyAlignment="1"/>
    <xf numFmtId="165" fontId="10" fillId="0" borderId="0" xfId="20" applyNumberFormat="1" applyFont="1" applyFill="1" applyBorder="1" applyAlignment="1">
      <alignment horizontal="right"/>
    </xf>
    <xf numFmtId="0" fontId="46" fillId="0" borderId="0" xfId="0" applyFont="1" applyFill="1"/>
    <xf numFmtId="0" fontId="13" fillId="0" borderId="0" xfId="28" applyFont="1" applyFill="1" applyBorder="1" applyAlignment="1"/>
    <xf numFmtId="0" fontId="11" fillId="0" borderId="0" xfId="0" applyFont="1" applyAlignment="1">
      <alignment horizontal="center"/>
    </xf>
    <xf numFmtId="0" fontId="11" fillId="0" borderId="0" xfId="28" applyFont="1" applyBorder="1" applyAlignment="1">
      <alignment horizontal="left"/>
    </xf>
    <xf numFmtId="1" fontId="10" fillId="0" borderId="0" xfId="28" quotePrefix="1" applyNumberFormat="1" applyFont="1" applyFill="1" applyBorder="1" applyAlignment="1">
      <alignment horizontal="right"/>
    </xf>
    <xf numFmtId="164" fontId="10" fillId="0" borderId="0" xfId="0" applyNumberFormat="1" applyFont="1" applyFill="1" applyAlignment="1">
      <alignment horizontal="right"/>
    </xf>
    <xf numFmtId="164" fontId="11" fillId="0" borderId="0" xfId="0" applyNumberFormat="1" applyFont="1" applyFill="1" applyAlignment="1">
      <alignment horizontal="right"/>
    </xf>
    <xf numFmtId="0" fontId="10" fillId="36" borderId="0" xfId="28" applyFont="1" applyFill="1" applyBorder="1" applyAlignment="1">
      <alignment horizontal="center"/>
    </xf>
    <xf numFmtId="164" fontId="10" fillId="36" borderId="0" xfId="0" applyNumberFormat="1" applyFont="1" applyFill="1" applyAlignment="1">
      <alignment horizontal="right"/>
    </xf>
    <xf numFmtId="1" fontId="10" fillId="36" borderId="0" xfId="28" applyNumberFormat="1" applyFont="1" applyFill="1" applyBorder="1" applyAlignment="1">
      <alignment horizontal="center"/>
    </xf>
    <xf numFmtId="0" fontId="10" fillId="36" borderId="0" xfId="0" applyFont="1" applyFill="1" applyAlignment="1">
      <alignment horizontal="left" indent="1"/>
    </xf>
    <xf numFmtId="0" fontId="10" fillId="36" borderId="0" xfId="0" applyFont="1" applyFill="1" applyAlignment="1">
      <alignment horizontal="left"/>
    </xf>
    <xf numFmtId="0" fontId="10" fillId="36" borderId="0" xfId="0" applyFont="1" applyFill="1" applyAlignment="1">
      <alignment horizontal="left" vertical="center"/>
    </xf>
    <xf numFmtId="0" fontId="10" fillId="36" borderId="0" xfId="0" quotePrefix="1" applyFont="1" applyFill="1"/>
    <xf numFmtId="164" fontId="10" fillId="0" borderId="0" xfId="0" applyNumberFormat="1" applyFont="1" applyFill="1" applyAlignment="1">
      <alignment horizontal="left" indent="1"/>
    </xf>
    <xf numFmtId="0" fontId="0" fillId="0" borderId="0" xfId="0" applyFill="1" applyBorder="1"/>
    <xf numFmtId="0" fontId="52" fillId="0" borderId="0" xfId="0" applyFont="1"/>
    <xf numFmtId="37" fontId="44" fillId="0" borderId="0" xfId="0" applyNumberFormat="1" applyFont="1" applyFill="1"/>
    <xf numFmtId="165" fontId="44" fillId="0" borderId="0" xfId="0" applyNumberFormat="1" applyFont="1" applyFill="1"/>
    <xf numFmtId="165" fontId="44" fillId="0" borderId="0" xfId="0" applyNumberFormat="1" applyFont="1" applyFill="1" applyAlignment="1">
      <alignment horizontal="left" indent="1"/>
    </xf>
    <xf numFmtId="164" fontId="46" fillId="0" borderId="0" xfId="0" applyNumberFormat="1" applyFont="1" applyFill="1"/>
    <xf numFmtId="39" fontId="44" fillId="0" borderId="0" xfId="0" applyNumberFormat="1" applyFont="1" applyAlignment="1">
      <alignment horizontal="left" indent="1"/>
    </xf>
    <xf numFmtId="39" fontId="44" fillId="0" borderId="0" xfId="0" applyNumberFormat="1" applyFont="1"/>
    <xf numFmtId="0" fontId="10" fillId="36" borderId="0" xfId="0" quotePrefix="1" applyFont="1" applyFill="1" applyAlignment="1">
      <alignment horizontal="center"/>
    </xf>
    <xf numFmtId="0" fontId="10" fillId="0" borderId="0" xfId="0" quotePrefix="1" applyFont="1" applyFill="1" applyAlignment="1">
      <alignment horizontal="center"/>
    </xf>
    <xf numFmtId="170" fontId="10" fillId="36" borderId="0" xfId="0" applyNumberFormat="1" applyFont="1" applyFill="1" applyBorder="1" applyAlignment="1" applyProtection="1">
      <alignment horizontal="center"/>
    </xf>
    <xf numFmtId="0" fontId="10" fillId="36" borderId="0" xfId="0" applyFont="1" applyFill="1" applyBorder="1" applyProtection="1"/>
    <xf numFmtId="164" fontId="10" fillId="36" borderId="0" xfId="0" applyNumberFormat="1" applyFont="1" applyFill="1" applyBorder="1" applyProtection="1"/>
    <xf numFmtId="170" fontId="10" fillId="0" borderId="0" xfId="0" applyNumberFormat="1" applyFont="1" applyFill="1" applyBorder="1" applyAlignment="1" applyProtection="1">
      <alignment horizontal="center"/>
    </xf>
    <xf numFmtId="0" fontId="10" fillId="0" borderId="0" xfId="0" applyFont="1" applyFill="1" applyBorder="1" applyProtection="1"/>
    <xf numFmtId="164" fontId="10" fillId="0" borderId="0" xfId="0" applyNumberFormat="1" applyFont="1" applyFill="1" applyBorder="1" applyProtection="1"/>
    <xf numFmtId="0" fontId="10" fillId="0" borderId="0" xfId="0" quotePrefix="1" applyFont="1" applyFill="1" applyBorder="1"/>
    <xf numFmtId="0" fontId="10" fillId="0" borderId="0" xfId="0" applyFont="1" applyFill="1" applyBorder="1"/>
    <xf numFmtId="170" fontId="10" fillId="36" borderId="0" xfId="0" quotePrefix="1" applyNumberFormat="1" applyFont="1" applyFill="1" applyBorder="1" applyAlignment="1" applyProtection="1">
      <alignment horizontal="center"/>
    </xf>
    <xf numFmtId="0" fontId="11" fillId="0" borderId="0" xfId="0" applyFont="1" applyAlignment="1">
      <alignment horizontal="center"/>
    </xf>
    <xf numFmtId="0" fontId="10" fillId="0" borderId="0" xfId="0" applyFont="1" applyAlignment="1">
      <alignment horizontal="left"/>
    </xf>
    <xf numFmtId="164" fontId="17" fillId="0" borderId="0" xfId="28" applyNumberFormat="1" applyFont="1" applyFill="1"/>
    <xf numFmtId="0" fontId="11" fillId="0" borderId="0" xfId="0" applyFont="1" applyAlignment="1">
      <alignment horizontal="center"/>
    </xf>
    <xf numFmtId="0" fontId="11" fillId="0" borderId="0" xfId="0" applyFont="1" applyFill="1" applyBorder="1" applyAlignment="1">
      <alignment horizontal="center"/>
    </xf>
    <xf numFmtId="37" fontId="10" fillId="0" borderId="0" xfId="0" applyNumberFormat="1" applyFont="1" applyFill="1" applyAlignment="1">
      <alignment horizontal="left" indent="1"/>
    </xf>
    <xf numFmtId="39" fontId="10" fillId="0" borderId="0" xfId="0" applyNumberFormat="1" applyFont="1" applyAlignment="1">
      <alignment horizontal="left" indent="1"/>
    </xf>
    <xf numFmtId="0" fontId="54" fillId="0" borderId="0" xfId="0" applyFont="1"/>
    <xf numFmtId="0" fontId="11" fillId="0" borderId="0" xfId="0" applyFont="1" applyAlignment="1">
      <alignment horizontal="center"/>
    </xf>
    <xf numFmtId="0" fontId="11" fillId="0" borderId="0" xfId="0" applyFont="1" applyAlignment="1">
      <alignment horizontal="center"/>
    </xf>
    <xf numFmtId="0" fontId="15" fillId="0" borderId="0" xfId="0" applyFont="1" applyFill="1"/>
    <xf numFmtId="0" fontId="16" fillId="0" borderId="0" xfId="0" applyFont="1" applyFill="1"/>
    <xf numFmtId="0" fontId="14" fillId="0" borderId="0" xfId="0" applyFont="1" applyFill="1" applyAlignment="1">
      <alignment horizontal="left"/>
    </xf>
    <xf numFmtId="17" fontId="10" fillId="0" borderId="0" xfId="0" quotePrefix="1" applyNumberFormat="1" applyFont="1" applyFill="1" applyAlignment="1">
      <alignment horizontal="center"/>
    </xf>
    <xf numFmtId="0" fontId="54" fillId="0" borderId="0" xfId="0" applyFont="1" applyFill="1" applyAlignment="1">
      <alignment horizontal="center"/>
    </xf>
    <xf numFmtId="0" fontId="10" fillId="0" borderId="0" xfId="0" applyFont="1" applyBorder="1"/>
    <xf numFmtId="0" fontId="10" fillId="0" borderId="0" xfId="0" applyFont="1" applyAlignment="1"/>
    <xf numFmtId="0" fontId="11" fillId="0" borderId="0" xfId="0" applyFont="1" applyAlignment="1">
      <alignment horizontal="center"/>
    </xf>
    <xf numFmtId="0" fontId="10" fillId="0" borderId="0" xfId="0" quotePrefix="1" applyFont="1" applyAlignment="1">
      <alignment horizontal="left" indent="1"/>
    </xf>
    <xf numFmtId="0" fontId="10" fillId="0" borderId="0" xfId="28" quotePrefix="1" applyFont="1" applyFill="1" applyAlignment="1">
      <alignment horizontal="center" vertical="center"/>
    </xf>
    <xf numFmtId="0" fontId="10" fillId="0" borderId="0" xfId="28" quotePrefix="1" applyFont="1" applyFill="1" applyAlignment="1">
      <alignment horizontal="center"/>
    </xf>
    <xf numFmtId="0" fontId="10" fillId="0" borderId="0" xfId="28" quotePrefix="1" applyFont="1" applyBorder="1" applyAlignment="1">
      <alignment horizontal="center"/>
    </xf>
    <xf numFmtId="0" fontId="10" fillId="0" borderId="3" xfId="0" applyFont="1" applyBorder="1" applyAlignment="1">
      <alignment horizontal="center"/>
    </xf>
    <xf numFmtId="0" fontId="10" fillId="0" borderId="3" xfId="0" applyFont="1" applyFill="1" applyBorder="1" applyAlignment="1">
      <alignment horizontal="center"/>
    </xf>
    <xf numFmtId="0" fontId="10" fillId="0" borderId="3" xfId="0" applyFont="1" applyFill="1" applyBorder="1"/>
    <xf numFmtId="37" fontId="10" fillId="0" borderId="3" xfId="22" quotePrefix="1" applyNumberFormat="1" applyFont="1" applyFill="1" applyBorder="1" applyAlignment="1">
      <alignment horizontal="center"/>
    </xf>
    <xf numFmtId="39" fontId="10" fillId="0" borderId="3" xfId="22" applyNumberFormat="1" applyFont="1" applyFill="1" applyBorder="1" applyAlignment="1">
      <alignment horizontal="center"/>
    </xf>
    <xf numFmtId="0" fontId="10" fillId="0" borderId="0" xfId="0" applyFont="1" applyFill="1" applyBorder="1" applyAlignment="1">
      <alignment vertical="top"/>
    </xf>
    <xf numFmtId="0" fontId="11" fillId="0" borderId="0" xfId="0" applyFont="1" applyAlignment="1">
      <alignment horizontal="center"/>
    </xf>
    <xf numFmtId="168" fontId="10" fillId="36" borderId="0" xfId="0" applyNumberFormat="1" applyFont="1" applyFill="1" applyAlignment="1">
      <alignment horizontal="left"/>
    </xf>
    <xf numFmtId="182" fontId="0" fillId="36" borderId="0" xfId="0" applyNumberFormat="1" applyFill="1" applyAlignment="1">
      <alignment horizontal="center"/>
    </xf>
    <xf numFmtId="17" fontId="0" fillId="36" borderId="0" xfId="0" quotePrefix="1" applyNumberFormat="1" applyFill="1" applyAlignment="1">
      <alignment horizontal="center"/>
    </xf>
    <xf numFmtId="182" fontId="0" fillId="36" borderId="0" xfId="0" quotePrefix="1" applyNumberFormat="1" applyFill="1" applyAlignment="1">
      <alignment horizontal="center"/>
    </xf>
    <xf numFmtId="0" fontId="11" fillId="0" borderId="8" xfId="0" applyFont="1" applyBorder="1"/>
    <xf numFmtId="0" fontId="11" fillId="0" borderId="0" xfId="0" applyFont="1" applyAlignment="1">
      <alignment horizontal="center"/>
    </xf>
    <xf numFmtId="6" fontId="0" fillId="0" borderId="0" xfId="0" applyNumberFormat="1"/>
    <xf numFmtId="0" fontId="10" fillId="0" borderId="8" xfId="0" applyFont="1" applyBorder="1"/>
    <xf numFmtId="0" fontId="11" fillId="0" borderId="0" xfId="0" applyFont="1" applyAlignment="1">
      <alignment horizontal="center"/>
    </xf>
    <xf numFmtId="0" fontId="11" fillId="0" borderId="0" xfId="0" applyFont="1" applyAlignment="1">
      <alignment horizontal="center"/>
    </xf>
    <xf numFmtId="183" fontId="0" fillId="0" borderId="0" xfId="0" applyNumberFormat="1"/>
    <xf numFmtId="0" fontId="11" fillId="0" borderId="0" xfId="0" quotePrefix="1" applyFont="1" applyFill="1" applyAlignment="1">
      <alignment horizontal="right"/>
    </xf>
    <xf numFmtId="0" fontId="10" fillId="0" borderId="0" xfId="0" quotePrefix="1" applyFont="1" applyAlignment="1">
      <alignment horizontal="center" vertical="center"/>
    </xf>
    <xf numFmtId="0" fontId="11" fillId="0" borderId="0" xfId="108" applyFont="1"/>
    <xf numFmtId="0" fontId="10" fillId="0" borderId="0" xfId="108"/>
    <xf numFmtId="0" fontId="14" fillId="0" borderId="0" xfId="108" applyFont="1"/>
    <xf numFmtId="0" fontId="11" fillId="0" borderId="0" xfId="108" applyFont="1" applyAlignment="1">
      <alignment horizontal="center"/>
    </xf>
    <xf numFmtId="0" fontId="10" fillId="0" borderId="0" xfId="108" applyFont="1"/>
    <xf numFmtId="0" fontId="14" fillId="0" borderId="0" xfId="108" applyFont="1" applyAlignment="1">
      <alignment horizontal="center"/>
    </xf>
    <xf numFmtId="0" fontId="14" fillId="0" borderId="0" xfId="108" applyFont="1" applyAlignment="1">
      <alignment horizontal="left"/>
    </xf>
    <xf numFmtId="164" fontId="10" fillId="0" borderId="0" xfId="108" applyNumberFormat="1" applyFill="1"/>
    <xf numFmtId="0" fontId="10" fillId="36" borderId="0" xfId="108" applyFont="1" applyFill="1"/>
    <xf numFmtId="164" fontId="10" fillId="36" borderId="0" xfId="108" applyNumberFormat="1" applyFill="1"/>
    <xf numFmtId="164" fontId="17" fillId="36" borderId="0" xfId="108" applyNumberFormat="1" applyFont="1" applyFill="1"/>
    <xf numFmtId="164" fontId="10" fillId="0" borderId="0" xfId="108" applyNumberFormat="1"/>
    <xf numFmtId="0" fontId="10" fillId="0" borderId="0" xfId="108" applyFont="1" applyFill="1"/>
    <xf numFmtId="0" fontId="10" fillId="0" borderId="0" xfId="28" applyNumberFormat="1" applyFont="1" applyFill="1" applyBorder="1" applyAlignment="1">
      <alignment horizontal="left" indent="2"/>
    </xf>
    <xf numFmtId="0" fontId="10" fillId="36" borderId="0" xfId="0" applyFont="1" applyFill="1" applyAlignment="1"/>
    <xf numFmtId="39" fontId="13" fillId="36" borderId="0" xfId="22" applyNumberFormat="1" applyFont="1" applyFill="1" applyBorder="1" applyAlignment="1">
      <alignment horizontal="center"/>
    </xf>
    <xf numFmtId="0" fontId="10" fillId="36" borderId="0" xfId="28" quotePrefix="1" applyNumberFormat="1" applyFont="1" applyFill="1" applyBorder="1" applyAlignment="1">
      <alignment horizontal="left"/>
    </xf>
    <xf numFmtId="0" fontId="10" fillId="36" borderId="0" xfId="28" quotePrefix="1" applyFont="1" applyFill="1" applyBorder="1" applyAlignment="1">
      <alignment horizontal="left"/>
    </xf>
    <xf numFmtId="10" fontId="10" fillId="36" borderId="0" xfId="0" applyNumberFormat="1" applyFont="1" applyFill="1"/>
    <xf numFmtId="10" fontId="0" fillId="0" borderId="0" xfId="0" applyNumberFormat="1" applyFill="1" applyAlignment="1">
      <alignment horizontal="center"/>
    </xf>
    <xf numFmtId="0" fontId="19" fillId="0" borderId="0" xfId="27" applyAlignment="1" applyProtection="1"/>
    <xf numFmtId="164" fontId="0" fillId="36" borderId="0" xfId="0" applyNumberFormat="1" applyFill="1" applyAlignment="1">
      <alignment horizontal="right"/>
    </xf>
    <xf numFmtId="0" fontId="10" fillId="0" borderId="0" xfId="0" quotePrefix="1" applyFont="1" applyFill="1"/>
    <xf numFmtId="0" fontId="10" fillId="36" borderId="0" xfId="0" applyFont="1" applyFill="1" applyAlignment="1">
      <alignment horizontal="right"/>
    </xf>
    <xf numFmtId="171" fontId="0" fillId="36" borderId="0" xfId="0" applyNumberFormat="1" applyFill="1"/>
    <xf numFmtId="167" fontId="10" fillId="0" borderId="0" xfId="28" applyNumberFormat="1" applyFont="1" applyBorder="1"/>
    <xf numFmtId="15" fontId="10" fillId="36" borderId="0" xfId="0" quotePrefix="1" applyNumberFormat="1" applyFont="1" applyFill="1" applyAlignment="1">
      <alignment horizontal="center"/>
    </xf>
    <xf numFmtId="0" fontId="59" fillId="0" borderId="0" xfId="0" applyFont="1"/>
    <xf numFmtId="0" fontId="10" fillId="0" borderId="0" xfId="28" applyFont="1" applyFill="1" applyBorder="1" applyAlignment="1" applyProtection="1">
      <alignment horizontal="left" indent="1"/>
      <protection locked="0"/>
    </xf>
    <xf numFmtId="0" fontId="10" fillId="0" borderId="0" xfId="100" applyFill="1"/>
    <xf numFmtId="0" fontId="10" fillId="36" borderId="0" xfId="108" applyFill="1"/>
    <xf numFmtId="0" fontId="60" fillId="0" borderId="0" xfId="0" applyFont="1"/>
    <xf numFmtId="0" fontId="40" fillId="0" borderId="0" xfId="0" applyFont="1"/>
    <xf numFmtId="0" fontId="10" fillId="0" borderId="0" xfId="100" applyFont="1" applyAlignment="1">
      <alignment horizontal="left" indent="1"/>
    </xf>
    <xf numFmtId="164" fontId="10" fillId="0" borderId="0" xfId="100" applyNumberFormat="1"/>
    <xf numFmtId="164" fontId="43" fillId="0" borderId="0" xfId="100" applyNumberFormat="1" applyFont="1" applyFill="1"/>
    <xf numFmtId="0" fontId="11" fillId="0" borderId="0" xfId="100" applyFont="1"/>
    <xf numFmtId="0" fontId="10" fillId="0" borderId="0" xfId="100" applyFont="1"/>
    <xf numFmtId="0" fontId="11" fillId="0" borderId="0" xfId="100" applyFont="1" applyAlignment="1">
      <alignment horizontal="left" indent="1"/>
    </xf>
    <xf numFmtId="0" fontId="53" fillId="0" borderId="0" xfId="100" applyFont="1" applyBorder="1" applyAlignment="1">
      <alignment horizontal="left"/>
    </xf>
    <xf numFmtId="0" fontId="11" fillId="0" borderId="0" xfId="100" applyFont="1" applyBorder="1" applyAlignment="1">
      <alignment horizontal="center"/>
    </xf>
    <xf numFmtId="0" fontId="10" fillId="0" borderId="0" xfId="100" applyFont="1" applyBorder="1" applyAlignment="1">
      <alignment horizontal="right"/>
    </xf>
    <xf numFmtId="0" fontId="11" fillId="0" borderId="0" xfId="100" applyFont="1" applyBorder="1" applyAlignment="1">
      <alignment horizontal="right"/>
    </xf>
    <xf numFmtId="0" fontId="11" fillId="0" borderId="8" xfId="100" applyFont="1" applyBorder="1" applyAlignment="1">
      <alignment horizontal="center"/>
    </xf>
    <xf numFmtId="170" fontId="10" fillId="36" borderId="0" xfId="100" applyNumberFormat="1" applyFont="1" applyFill="1" applyAlignment="1">
      <alignment horizontal="center"/>
    </xf>
    <xf numFmtId="0" fontId="10" fillId="36" borderId="0" xfId="100" applyFont="1" applyFill="1"/>
    <xf numFmtId="164" fontId="10" fillId="36" borderId="0" xfId="100" applyNumberFormat="1" applyFont="1" applyFill="1"/>
    <xf numFmtId="170" fontId="10" fillId="0" borderId="0" xfId="100" applyNumberFormat="1" applyFont="1" applyFill="1" applyAlignment="1">
      <alignment horizontal="center"/>
    </xf>
    <xf numFmtId="0" fontId="10" fillId="0" borderId="0" xfId="100" applyFont="1" applyFill="1"/>
    <xf numFmtId="164" fontId="10" fillId="0" borderId="0" xfId="100" applyNumberFormat="1" applyFont="1" applyFill="1"/>
    <xf numFmtId="170" fontId="10" fillId="36" borderId="0" xfId="100" quotePrefix="1" applyNumberFormat="1" applyFont="1" applyFill="1" applyAlignment="1">
      <alignment horizontal="center"/>
    </xf>
    <xf numFmtId="170" fontId="10" fillId="0" borderId="0" xfId="100" quotePrefix="1" applyNumberFormat="1" applyFont="1" applyFill="1" applyAlignment="1">
      <alignment horizontal="center"/>
    </xf>
    <xf numFmtId="164" fontId="10" fillId="0" borderId="0" xfId="100" applyNumberFormat="1" applyFont="1"/>
    <xf numFmtId="164" fontId="10" fillId="0" borderId="0" xfId="96" applyNumberFormat="1" applyFont="1" applyBorder="1"/>
    <xf numFmtId="164" fontId="10" fillId="0" borderId="0" xfId="96" applyNumberFormat="1" applyFont="1"/>
    <xf numFmtId="164" fontId="10" fillId="0" borderId="14" xfId="96" applyNumberFormat="1" applyFont="1" applyBorder="1"/>
    <xf numFmtId="0" fontId="10" fillId="0" borderId="0" xfId="100" quotePrefix="1" applyFont="1" applyAlignment="1">
      <alignment horizontal="left" indent="1"/>
    </xf>
    <xf numFmtId="164" fontId="10" fillId="36" borderId="0" xfId="96" applyNumberFormat="1" applyFont="1" applyFill="1" applyBorder="1"/>
    <xf numFmtId="164" fontId="10" fillId="0" borderId="0" xfId="96" applyNumberFormat="1" applyFont="1" applyBorder="1" applyAlignment="1">
      <alignment horizontal="left" indent="1"/>
    </xf>
    <xf numFmtId="39" fontId="10" fillId="0" borderId="0" xfId="96" applyNumberFormat="1" applyFont="1" applyBorder="1"/>
    <xf numFmtId="37" fontId="10" fillId="0" borderId="0" xfId="96" applyNumberFormat="1" applyFont="1" applyBorder="1" applyAlignment="1">
      <alignment horizontal="center"/>
    </xf>
    <xf numFmtId="164" fontId="10" fillId="0" borderId="0" xfId="96" applyNumberFormat="1" applyFont="1" applyFill="1" applyBorder="1"/>
    <xf numFmtId="0" fontId="10" fillId="0" borderId="0" xfId="100" applyFont="1" applyBorder="1"/>
    <xf numFmtId="164" fontId="11" fillId="0" borderId="0" xfId="100" applyNumberFormat="1" applyFont="1" applyBorder="1" applyAlignment="1">
      <alignment horizontal="center"/>
    </xf>
    <xf numFmtId="164" fontId="11" fillId="0" borderId="8" xfId="100" applyNumberFormat="1" applyFont="1" applyBorder="1" applyAlignment="1">
      <alignment horizontal="center"/>
    </xf>
    <xf numFmtId="0" fontId="10" fillId="0" borderId="0" xfId="100" quotePrefix="1" applyFont="1"/>
    <xf numFmtId="10" fontId="10" fillId="0" borderId="0" xfId="96" applyNumberFormat="1" applyFont="1" applyBorder="1"/>
    <xf numFmtId="164" fontId="50" fillId="34" borderId="0" xfId="0" applyNumberFormat="1" applyFont="1" applyFill="1"/>
    <xf numFmtId="3" fontId="52" fillId="0" borderId="0" xfId="0" applyNumberFormat="1" applyFont="1"/>
    <xf numFmtId="164" fontId="50" fillId="36" borderId="0" xfId="0" applyNumberFormat="1" applyFont="1" applyFill="1"/>
    <xf numFmtId="164" fontId="61" fillId="36" borderId="0" xfId="0" applyNumberFormat="1" applyFont="1" applyFill="1"/>
    <xf numFmtId="0" fontId="52" fillId="0" borderId="0" xfId="0" applyFont="1" applyFill="1"/>
    <xf numFmtId="0" fontId="14" fillId="0" borderId="0" xfId="100" applyFont="1" applyBorder="1" applyAlignment="1">
      <alignment horizontal="center"/>
    </xf>
    <xf numFmtId="0" fontId="10" fillId="0" borderId="0" xfId="100" applyFont="1" applyBorder="1" applyAlignment="1">
      <alignment horizontal="left"/>
    </xf>
    <xf numFmtId="1" fontId="10" fillId="36" borderId="0" xfId="100" applyNumberFormat="1" applyFont="1" applyFill="1" applyBorder="1" applyAlignment="1">
      <alignment horizontal="center"/>
    </xf>
    <xf numFmtId="164" fontId="10" fillId="0" borderId="0" xfId="0" applyNumberFormat="1" applyFont="1" applyFill="1" applyAlignment="1">
      <alignment horizontal="center"/>
    </xf>
    <xf numFmtId="0" fontId="10" fillId="0" borderId="0" xfId="100" applyNumberFormat="1" applyFont="1" applyFill="1" applyBorder="1" applyAlignment="1">
      <alignment horizontal="left"/>
    </xf>
    <xf numFmtId="1" fontId="10" fillId="0" borderId="0" xfId="100" quotePrefix="1" applyNumberFormat="1" applyFont="1" applyFill="1" applyBorder="1" applyAlignment="1">
      <alignment horizontal="right"/>
    </xf>
    <xf numFmtId="164" fontId="10" fillId="36" borderId="0" xfId="0" quotePrefix="1" applyNumberFormat="1" applyFont="1" applyFill="1" applyAlignment="1">
      <alignment horizontal="center"/>
    </xf>
    <xf numFmtId="164" fontId="10" fillId="0" borderId="0" xfId="0" quotePrefix="1" applyNumberFormat="1" applyFont="1" applyFill="1" applyAlignment="1">
      <alignment horizontal="center"/>
    </xf>
    <xf numFmtId="0" fontId="11" fillId="0" borderId="0" xfId="100" applyFont="1" applyFill="1" applyBorder="1" applyAlignment="1">
      <alignment horizontal="left"/>
    </xf>
    <xf numFmtId="0" fontId="11" fillId="0" borderId="0" xfId="100" applyNumberFormat="1" applyFont="1" applyFill="1" applyBorder="1" applyAlignment="1">
      <alignment horizontal="left"/>
    </xf>
    <xf numFmtId="0" fontId="10" fillId="0" borderId="0" xfId="100"/>
    <xf numFmtId="0" fontId="10" fillId="36" borderId="0" xfId="100" applyFill="1"/>
    <xf numFmtId="0" fontId="14" fillId="0" borderId="0" xfId="100" quotePrefix="1" applyFont="1" applyAlignment="1">
      <alignment horizontal="center"/>
    </xf>
    <xf numFmtId="0" fontId="14" fillId="0" borderId="0" xfId="100" applyFont="1" applyAlignment="1">
      <alignment horizontal="center"/>
    </xf>
    <xf numFmtId="0" fontId="10" fillId="0" borderId="0" xfId="100" quotePrefix="1" applyFont="1" applyAlignment="1">
      <alignment horizontal="center"/>
    </xf>
    <xf numFmtId="0" fontId="10" fillId="0" borderId="0" xfId="100" quotePrefix="1" applyFont="1" applyFill="1" applyAlignment="1">
      <alignment horizontal="center"/>
    </xf>
    <xf numFmtId="0" fontId="10" fillId="0" borderId="0" xfId="100" applyAlignment="1">
      <alignment horizontal="center"/>
    </xf>
    <xf numFmtId="0" fontId="11" fillId="0" borderId="0" xfId="100" applyFont="1" applyAlignment="1">
      <alignment horizontal="center"/>
    </xf>
    <xf numFmtId="0" fontId="11" fillId="0" borderId="0" xfId="100" applyFont="1" applyFill="1" applyAlignment="1">
      <alignment horizontal="center"/>
    </xf>
    <xf numFmtId="0" fontId="14" fillId="0" borderId="0" xfId="100" applyFont="1"/>
    <xf numFmtId="0" fontId="14" fillId="0" borderId="0" xfId="100" applyFont="1" applyFill="1" applyAlignment="1">
      <alignment horizontal="center"/>
    </xf>
    <xf numFmtId="164" fontId="10" fillId="0" borderId="0" xfId="100" applyNumberFormat="1" applyFont="1" applyFill="1" applyAlignment="1"/>
    <xf numFmtId="10" fontId="10" fillId="0" borderId="0" xfId="37" applyNumberFormat="1" applyFont="1" applyFill="1" applyAlignment="1"/>
    <xf numFmtId="167" fontId="10" fillId="0" borderId="0" xfId="100" applyNumberFormat="1"/>
    <xf numFmtId="164" fontId="17" fillId="0" borderId="0" xfId="100" applyNumberFormat="1" applyFont="1"/>
    <xf numFmtId="0" fontId="10" fillId="0" borderId="0" xfId="100" applyFont="1" applyAlignment="1">
      <alignment horizontal="left"/>
    </xf>
    <xf numFmtId="0" fontId="10" fillId="0" borderId="0" xfId="100" applyFont="1" applyAlignment="1">
      <alignment horizontal="right" indent="1"/>
    </xf>
    <xf numFmtId="167" fontId="0" fillId="0" borderId="0" xfId="19" applyNumberFormat="1" applyFont="1"/>
    <xf numFmtId="164" fontId="10" fillId="0" borderId="0" xfId="100" applyNumberFormat="1" applyFont="1" applyFill="1" applyAlignment="1">
      <alignment horizontal="right"/>
    </xf>
    <xf numFmtId="164" fontId="10" fillId="36" borderId="0" xfId="100" applyNumberFormat="1" applyFont="1" applyFill="1" applyAlignment="1">
      <alignment horizontal="right"/>
    </xf>
    <xf numFmtId="0" fontId="10" fillId="0" borderId="0" xfId="100" applyAlignment="1">
      <alignment horizontal="left" indent="1"/>
    </xf>
    <xf numFmtId="10" fontId="0" fillId="0" borderId="0" xfId="37" applyNumberFormat="1" applyFont="1" applyAlignment="1">
      <alignment horizontal="center"/>
    </xf>
    <xf numFmtId="10" fontId="14" fillId="0" borderId="0" xfId="100" applyNumberFormat="1" applyFont="1" applyAlignment="1">
      <alignment horizontal="center"/>
    </xf>
    <xf numFmtId="0" fontId="10" fillId="0" borderId="0" xfId="100" applyNumberFormat="1"/>
    <xf numFmtId="10" fontId="10" fillId="0" borderId="0" xfId="37" applyNumberFormat="1" applyAlignment="1">
      <alignment horizontal="center"/>
    </xf>
    <xf numFmtId="0" fontId="11" fillId="0" borderId="0" xfId="100" applyFont="1" applyFill="1"/>
    <xf numFmtId="0" fontId="14" fillId="0" borderId="0" xfId="0" applyNumberFormat="1" applyFont="1" applyFill="1" applyAlignment="1">
      <alignment horizontal="center"/>
    </xf>
    <xf numFmtId="0" fontId="12" fillId="0" borderId="0" xfId="0" applyFont="1" applyAlignment="1">
      <alignment horizontal="center"/>
    </xf>
    <xf numFmtId="0" fontId="11" fillId="0" borderId="0" xfId="0" applyNumberFormat="1" applyFont="1" applyFill="1" applyAlignment="1">
      <alignment horizontal="center"/>
    </xf>
    <xf numFmtId="0" fontId="11" fillId="0" borderId="0" xfId="0" applyNumberFormat="1" applyFont="1" applyFill="1" applyAlignment="1">
      <alignment horizontal="center" wrapText="1"/>
    </xf>
    <xf numFmtId="164" fontId="11" fillId="0" borderId="0" xfId="0" applyNumberFormat="1" applyFont="1" applyFill="1" applyAlignment="1">
      <alignment horizontal="right" indent="1"/>
    </xf>
    <xf numFmtId="0" fontId="0" fillId="0" borderId="0" xfId="0" applyNumberFormat="1" applyFill="1"/>
    <xf numFmtId="0" fontId="11" fillId="0" borderId="0" xfId="0" applyNumberFormat="1" applyFont="1" applyFill="1" applyAlignment="1">
      <alignment horizontal="left" indent="2"/>
    </xf>
    <xf numFmtId="0" fontId="14" fillId="0" borderId="0" xfId="0" quotePrefix="1" applyNumberFormat="1" applyFont="1" applyFill="1" applyAlignment="1">
      <alignment horizontal="center"/>
    </xf>
    <xf numFmtId="0" fontId="10" fillId="0" borderId="0" xfId="0" quotePrefix="1" applyNumberFormat="1" applyFont="1" applyFill="1" applyAlignment="1">
      <alignment horizontal="center" wrapText="1"/>
    </xf>
    <xf numFmtId="0" fontId="10" fillId="0" borderId="0" xfId="0" quotePrefix="1" applyNumberFormat="1" applyFont="1" applyFill="1" applyAlignment="1">
      <alignment horizontal="center"/>
    </xf>
    <xf numFmtId="0" fontId="12" fillId="0" borderId="0" xfId="0" quotePrefix="1" applyNumberFormat="1" applyFont="1" applyFill="1" applyAlignment="1">
      <alignment horizontal="center"/>
    </xf>
    <xf numFmtId="0" fontId="10" fillId="0" borderId="0" xfId="0" applyNumberFormat="1" applyFont="1" applyFill="1" applyAlignment="1"/>
    <xf numFmtId="0" fontId="0" fillId="0" borderId="0" xfId="0" applyNumberFormat="1" applyFill="1" applyAlignment="1">
      <alignment horizontal="left"/>
    </xf>
    <xf numFmtId="0" fontId="10" fillId="0" borderId="0" xfId="100" applyNumberFormat="1" applyFont="1" applyFill="1" applyBorder="1" applyAlignment="1">
      <alignment horizontal="center"/>
    </xf>
    <xf numFmtId="0" fontId="17" fillId="0" borderId="0" xfId="0" applyNumberFormat="1" applyFont="1" applyFill="1"/>
    <xf numFmtId="0" fontId="10" fillId="0" borderId="0" xfId="100" quotePrefix="1" applyNumberFormat="1" applyFont="1" applyFill="1" applyBorder="1" applyAlignment="1">
      <alignment horizontal="right"/>
    </xf>
    <xf numFmtId="0" fontId="10" fillId="0" borderId="0" xfId="0" applyNumberFormat="1" applyFont="1" applyFill="1" applyAlignment="1">
      <alignment horizontal="right"/>
    </xf>
    <xf numFmtId="0" fontId="11" fillId="0" borderId="0" xfId="0" applyNumberFormat="1" applyFont="1" applyFill="1"/>
    <xf numFmtId="0" fontId="10" fillId="0" borderId="0" xfId="0" applyNumberFormat="1" applyFont="1" applyFill="1"/>
    <xf numFmtId="0" fontId="10" fillId="0" borderId="0" xfId="0" applyNumberFormat="1" applyFont="1" applyFill="1" applyAlignment="1">
      <alignment horizontal="left" indent="1"/>
    </xf>
    <xf numFmtId="0" fontId="11" fillId="0" borderId="0" xfId="100" applyFont="1" applyAlignment="1">
      <alignment horizontal="right"/>
    </xf>
    <xf numFmtId="164" fontId="11" fillId="0" borderId="0" xfId="100" applyNumberFormat="1" applyFont="1"/>
    <xf numFmtId="166" fontId="11" fillId="0" borderId="0" xfId="100" applyNumberFormat="1" applyFont="1"/>
    <xf numFmtId="10" fontId="14" fillId="0" borderId="0" xfId="37" applyNumberFormat="1" applyFont="1" applyAlignment="1">
      <alignment horizontal="center"/>
    </xf>
    <xf numFmtId="0" fontId="10" fillId="0" borderId="0" xfId="100" applyAlignment="1">
      <alignment horizontal="center" wrapText="1"/>
    </xf>
    <xf numFmtId="164" fontId="10" fillId="0" borderId="0" xfId="100" quotePrefix="1" applyNumberFormat="1" applyAlignment="1">
      <alignment horizontal="center"/>
    </xf>
    <xf numFmtId="0" fontId="10" fillId="0" borderId="0" xfId="100" quotePrefix="1" applyAlignment="1">
      <alignment horizontal="center" wrapText="1"/>
    </xf>
    <xf numFmtId="0" fontId="10" fillId="0" borderId="0" xfId="100" quotePrefix="1" applyFont="1" applyAlignment="1">
      <alignment horizontal="center" wrapText="1"/>
    </xf>
    <xf numFmtId="10" fontId="10" fillId="0" borderId="0" xfId="37" quotePrefix="1" applyNumberFormat="1" applyFont="1" applyAlignment="1">
      <alignment horizontal="center" wrapText="1"/>
    </xf>
    <xf numFmtId="5" fontId="10" fillId="0" borderId="0" xfId="19" applyNumberFormat="1" applyFont="1" applyFill="1" applyAlignment="1"/>
    <xf numFmtId="5" fontId="0" fillId="0" borderId="0" xfId="19" applyNumberFormat="1" applyFont="1" applyFill="1"/>
    <xf numFmtId="5" fontId="0" fillId="36" borderId="0" xfId="19" applyNumberFormat="1" applyFont="1" applyFill="1"/>
    <xf numFmtId="179" fontId="10" fillId="0" borderId="0" xfId="23" applyNumberFormat="1" applyFont="1"/>
    <xf numFmtId="10" fontId="10" fillId="0" borderId="0" xfId="100" applyNumberFormat="1"/>
    <xf numFmtId="0" fontId="17" fillId="0" borderId="0" xfId="100" applyFont="1" applyAlignment="1">
      <alignment horizontal="center"/>
    </xf>
    <xf numFmtId="5" fontId="10" fillId="0" borderId="0" xfId="19" applyNumberFormat="1"/>
    <xf numFmtId="5" fontId="10" fillId="0" borderId="0" xfId="100" applyNumberFormat="1"/>
    <xf numFmtId="5" fontId="10" fillId="0" borderId="0" xfId="100" applyNumberFormat="1" applyFont="1"/>
    <xf numFmtId="173" fontId="0" fillId="0" borderId="0" xfId="0" applyNumberFormat="1"/>
    <xf numFmtId="0" fontId="10" fillId="0" borderId="0" xfId="0" applyFont="1" applyFill="1" applyAlignment="1">
      <alignment horizontal="center"/>
    </xf>
    <xf numFmtId="0" fontId="10" fillId="36" borderId="0" xfId="0" applyFont="1" applyFill="1" applyAlignment="1">
      <alignment horizontal="center"/>
    </xf>
    <xf numFmtId="164" fontId="10" fillId="0" borderId="0" xfId="0" applyNumberFormat="1" applyFont="1" applyAlignment="1">
      <alignment horizontal="right"/>
    </xf>
    <xf numFmtId="0" fontId="11" fillId="0" borderId="0" xfId="108" applyFont="1" applyFill="1"/>
    <xf numFmtId="0" fontId="10" fillId="0" borderId="0" xfId="108" applyFill="1"/>
    <xf numFmtId="0" fontId="14" fillId="0" borderId="0" xfId="108" applyFont="1" applyFill="1"/>
    <xf numFmtId="0" fontId="11" fillId="0" borderId="0" xfId="108" applyFont="1" applyFill="1" applyAlignment="1">
      <alignment horizontal="center"/>
    </xf>
    <xf numFmtId="0" fontId="11" fillId="0" borderId="8" xfId="108" applyFont="1" applyFill="1" applyBorder="1" applyAlignment="1">
      <alignment horizontal="center"/>
    </xf>
    <xf numFmtId="0" fontId="11" fillId="0" borderId="0" xfId="108" applyFont="1" applyFill="1" applyBorder="1" applyAlignment="1">
      <alignment horizontal="center"/>
    </xf>
    <xf numFmtId="0" fontId="11" fillId="0" borderId="8" xfId="108" applyFont="1" applyBorder="1" applyAlignment="1">
      <alignment horizontal="center"/>
    </xf>
    <xf numFmtId="0" fontId="31" fillId="0" borderId="0" xfId="0" applyFont="1"/>
    <xf numFmtId="0" fontId="11" fillId="0" borderId="0" xfId="108" quotePrefix="1" applyFont="1" applyFill="1" applyAlignment="1">
      <alignment horizontal="center"/>
    </xf>
    <xf numFmtId="0" fontId="29" fillId="0" borderId="0" xfId="0" applyFont="1" applyFill="1" applyAlignment="1">
      <alignment horizontal="center"/>
    </xf>
    <xf numFmtId="164" fontId="10" fillId="0" borderId="0" xfId="108" applyNumberFormat="1" applyFill="1" applyBorder="1"/>
    <xf numFmtId="164" fontId="10" fillId="0" borderId="0" xfId="108" applyNumberFormat="1" applyFont="1" applyFill="1" applyBorder="1" applyAlignment="1">
      <alignment horizontal="right"/>
    </xf>
    <xf numFmtId="0" fontId="10" fillId="0" borderId="0" xfId="108" applyFill="1" applyBorder="1"/>
    <xf numFmtId="0" fontId="0" fillId="0" borderId="0" xfId="0" applyFill="1" applyBorder="1" applyAlignment="1">
      <alignment horizontal="center"/>
    </xf>
    <xf numFmtId="0" fontId="10" fillId="0" borderId="8" xfId="0" applyFont="1" applyBorder="1" applyAlignment="1">
      <alignment horizontal="center"/>
    </xf>
    <xf numFmtId="164" fontId="10" fillId="34" borderId="0" xfId="19" applyNumberFormat="1" applyFont="1" applyFill="1"/>
    <xf numFmtId="164" fontId="10" fillId="0" borderId="0" xfId="19" applyNumberFormat="1" applyFont="1" applyFill="1" applyBorder="1"/>
    <xf numFmtId="37" fontId="10" fillId="0" borderId="0" xfId="19" applyNumberFormat="1" applyFont="1" applyFill="1" applyBorder="1"/>
    <xf numFmtId="37" fontId="0" fillId="0" borderId="0" xfId="19" quotePrefix="1" applyNumberFormat="1" applyFont="1" applyFill="1" applyBorder="1"/>
    <xf numFmtId="37" fontId="0" fillId="0" borderId="0" xfId="19" applyNumberFormat="1" applyFont="1" applyFill="1" applyBorder="1"/>
    <xf numFmtId="3" fontId="0" fillId="0" borderId="0" xfId="0" applyNumberFormat="1" applyFill="1" applyBorder="1"/>
    <xf numFmtId="37" fontId="0" fillId="0" borderId="0" xfId="0" applyNumberFormat="1" applyFill="1" applyBorder="1"/>
    <xf numFmtId="165" fontId="0" fillId="0" borderId="0" xfId="37" quotePrefix="1" applyNumberFormat="1" applyFont="1" applyFill="1" applyBorder="1"/>
    <xf numFmtId="165" fontId="0" fillId="0" borderId="0" xfId="37" applyNumberFormat="1" applyFont="1" applyFill="1" applyBorder="1"/>
    <xf numFmtId="164" fontId="0" fillId="0" borderId="0" xfId="19" applyNumberFormat="1" applyFont="1" applyFill="1" applyBorder="1"/>
    <xf numFmtId="0" fontId="31" fillId="0" borderId="0" xfId="0" applyFont="1" applyAlignment="1">
      <alignment wrapText="1"/>
    </xf>
    <xf numFmtId="164" fontId="10" fillId="36" borderId="0" xfId="19" applyNumberFormat="1" applyFont="1" applyFill="1" applyBorder="1"/>
    <xf numFmtId="9" fontId="0" fillId="0" borderId="0" xfId="0" applyNumberFormat="1" applyAlignment="1">
      <alignment horizontal="left"/>
    </xf>
    <xf numFmtId="9" fontId="0" fillId="0" borderId="8" xfId="0" applyNumberFormat="1" applyBorder="1"/>
    <xf numFmtId="164" fontId="0" fillId="0" borderId="0" xfId="0" applyNumberFormat="1" applyFill="1" applyBorder="1"/>
    <xf numFmtId="0" fontId="10" fillId="36" borderId="0" xfId="100" quotePrefix="1" applyNumberFormat="1" applyFont="1" applyFill="1" applyBorder="1" applyAlignment="1">
      <alignment horizontal="left"/>
    </xf>
    <xf numFmtId="0" fontId="10" fillId="36" borderId="0" xfId="100" quotePrefix="1" applyFont="1" applyFill="1" applyBorder="1" applyAlignment="1">
      <alignment horizontal="left"/>
    </xf>
    <xf numFmtId="10" fontId="44" fillId="36" borderId="0" xfId="0" applyNumberFormat="1" applyFont="1" applyFill="1"/>
    <xf numFmtId="0" fontId="10" fillId="0" borderId="0" xfId="0" quotePrefix="1" applyFont="1" applyAlignment="1">
      <alignment horizontal="right"/>
    </xf>
    <xf numFmtId="49" fontId="10" fillId="0" borderId="0" xfId="19" applyNumberFormat="1" applyFont="1" applyBorder="1" applyAlignment="1">
      <alignment horizontal="left" indent="1"/>
    </xf>
    <xf numFmtId="5" fontId="10" fillId="36" borderId="0" xfId="19" applyNumberFormat="1" applyFont="1" applyFill="1" applyBorder="1"/>
    <xf numFmtId="164" fontId="57" fillId="36" borderId="0" xfId="0" applyNumberFormat="1" applyFont="1" applyFill="1"/>
    <xf numFmtId="167" fontId="0" fillId="36" borderId="0" xfId="19" applyNumberFormat="1" applyFont="1" applyFill="1"/>
    <xf numFmtId="164" fontId="10" fillId="34" borderId="0" xfId="96" applyNumberFormat="1" applyFont="1" applyFill="1" applyBorder="1" applyAlignment="1">
      <alignment horizontal="right"/>
    </xf>
    <xf numFmtId="0" fontId="13" fillId="36" borderId="4" xfId="0" applyNumberFormat="1" applyFont="1" applyFill="1" applyBorder="1"/>
    <xf numFmtId="37" fontId="10" fillId="36" borderId="3" xfId="0" applyNumberFormat="1" applyFont="1" applyFill="1" applyBorder="1" applyAlignment="1">
      <alignment horizontal="center"/>
    </xf>
    <xf numFmtId="164" fontId="17" fillId="36" borderId="0" xfId="100" applyNumberFormat="1" applyFont="1" applyFill="1"/>
    <xf numFmtId="164" fontId="44" fillId="36" borderId="0" xfId="125" applyNumberFormat="1" applyFont="1" applyFill="1"/>
    <xf numFmtId="0" fontId="44" fillId="36" borderId="0" xfId="125" applyFont="1" applyFill="1"/>
    <xf numFmtId="0" fontId="43" fillId="36" borderId="0" xfId="0" applyFont="1" applyFill="1"/>
    <xf numFmtId="170" fontId="10" fillId="36" borderId="0" xfId="125" quotePrefix="1" applyNumberFormat="1" applyFont="1" applyFill="1" applyAlignment="1">
      <alignment horizontal="center"/>
    </xf>
    <xf numFmtId="0" fontId="10" fillId="36" borderId="0" xfId="125" applyFont="1" applyFill="1"/>
    <xf numFmtId="164" fontId="44" fillId="36" borderId="0" xfId="96" applyNumberFormat="1" applyFont="1" applyFill="1" applyBorder="1"/>
    <xf numFmtId="0" fontId="10" fillId="36" borderId="0" xfId="125" applyFont="1" applyFill="1" applyBorder="1" applyProtection="1"/>
    <xf numFmtId="170" fontId="10" fillId="36" borderId="0" xfId="125" applyNumberFormat="1" applyFont="1" applyFill="1" applyAlignment="1">
      <alignment horizontal="center"/>
    </xf>
    <xf numFmtId="170" fontId="10" fillId="36" borderId="0" xfId="125" applyNumberFormat="1" applyFont="1" applyFill="1" applyBorder="1" applyAlignment="1" applyProtection="1">
      <alignment horizontal="center"/>
    </xf>
    <xf numFmtId="164" fontId="44" fillId="36" borderId="0" xfId="125" applyNumberFormat="1" applyFont="1" applyFill="1" applyBorder="1" applyProtection="1"/>
    <xf numFmtId="164" fontId="10" fillId="36" borderId="0" xfId="125" applyNumberFormat="1" applyFont="1" applyFill="1" applyBorder="1" applyProtection="1"/>
    <xf numFmtId="39" fontId="10" fillId="0" borderId="0" xfId="0" applyNumberFormat="1" applyFont="1" applyFill="1" applyAlignment="1">
      <alignment horizontal="left" indent="1"/>
    </xf>
    <xf numFmtId="164" fontId="10" fillId="36" borderId="0" xfId="23" applyNumberFormat="1" applyFont="1" applyFill="1" applyAlignment="1">
      <alignment horizontal="right"/>
    </xf>
    <xf numFmtId="164" fontId="2" fillId="36" borderId="0" xfId="23" applyNumberFormat="1" applyFont="1" applyFill="1" applyAlignment="1">
      <alignment horizontal="right"/>
    </xf>
    <xf numFmtId="0" fontId="10" fillId="36" borderId="0" xfId="0" applyFont="1" applyFill="1" applyAlignment="1">
      <alignment wrapText="1"/>
    </xf>
    <xf numFmtId="17" fontId="10" fillId="36" borderId="0" xfId="100" quotePrefix="1" applyNumberFormat="1" applyFont="1" applyFill="1" applyBorder="1" applyAlignment="1">
      <alignment horizontal="left"/>
    </xf>
    <xf numFmtId="164" fontId="10" fillId="36" borderId="0" xfId="28" applyNumberFormat="1" applyFont="1" applyFill="1" applyBorder="1" applyAlignment="1">
      <alignment horizontal="right" vertical="center" wrapText="1"/>
    </xf>
    <xf numFmtId="164" fontId="10" fillId="36" borderId="0" xfId="28" applyNumberFormat="1" applyFont="1" applyFill="1"/>
    <xf numFmtId="164" fontId="10" fillId="36" borderId="0" xfId="20" applyNumberFormat="1" applyFont="1" applyFill="1"/>
    <xf numFmtId="164" fontId="25" fillId="36" borderId="0" xfId="28" applyNumberFormat="1" applyFont="1" applyFill="1"/>
    <xf numFmtId="0" fontId="62" fillId="0" borderId="0" xfId="126" applyFont="1"/>
    <xf numFmtId="0" fontId="10" fillId="0" borderId="0" xfId="126" applyFont="1"/>
    <xf numFmtId="0" fontId="10" fillId="0" borderId="0" xfId="126" applyFont="1" applyBorder="1"/>
    <xf numFmtId="0" fontId="10" fillId="0" borderId="0" xfId="126" applyFill="1" applyAlignment="1">
      <alignment horizontal="center"/>
    </xf>
    <xf numFmtId="0" fontId="10" fillId="0" borderId="0" xfId="126"/>
    <xf numFmtId="0" fontId="14" fillId="0" borderId="0" xfId="126" applyFont="1" applyAlignment="1">
      <alignment horizontal="center"/>
    </xf>
    <xf numFmtId="0" fontId="10" fillId="0" borderId="0" xfId="126" applyBorder="1"/>
    <xf numFmtId="0" fontId="11" fillId="0" borderId="0" xfId="126" applyFont="1" applyAlignment="1">
      <alignment horizontal="right"/>
    </xf>
    <xf numFmtId="167" fontId="10" fillId="0" borderId="0" xfId="19" applyNumberFormat="1" applyFont="1"/>
    <xf numFmtId="0" fontId="10" fillId="0" borderId="0" xfId="126" applyFont="1" applyAlignment="1">
      <alignment horizontal="left" indent="1"/>
    </xf>
    <xf numFmtId="0" fontId="11" fillId="34" borderId="0" xfId="127" applyFont="1" applyFill="1"/>
    <xf numFmtId="0" fontId="10" fillId="36" borderId="0" xfId="127" applyFont="1" applyFill="1"/>
    <xf numFmtId="0" fontId="10" fillId="0" borderId="0" xfId="126" applyFill="1"/>
    <xf numFmtId="164" fontId="10" fillId="0" borderId="0" xfId="126" applyNumberFormat="1"/>
    <xf numFmtId="0" fontId="14" fillId="0" borderId="0" xfId="126" quotePrefix="1" applyFont="1" applyAlignment="1">
      <alignment horizontal="center"/>
    </xf>
    <xf numFmtId="0" fontId="10" fillId="0" borderId="0" xfId="126" applyFont="1" applyAlignment="1">
      <alignment horizontal="center"/>
    </xf>
    <xf numFmtId="0" fontId="10" fillId="0" borderId="0" xfId="126" applyAlignment="1"/>
    <xf numFmtId="0" fontId="10" fillId="0" borderId="0" xfId="126" quotePrefix="1" applyFont="1" applyBorder="1" applyAlignment="1">
      <alignment horizontal="center" wrapText="1"/>
    </xf>
    <xf numFmtId="0" fontId="10" fillId="0" borderId="0" xfId="126" applyFill="1" applyAlignment="1"/>
    <xf numFmtId="0" fontId="10" fillId="0" borderId="0" xfId="126" applyAlignment="1">
      <alignment vertical="center" wrapText="1"/>
    </xf>
    <xf numFmtId="0" fontId="14" fillId="0" borderId="0" xfId="126" quotePrefix="1" applyFont="1" applyAlignment="1">
      <alignment horizontal="center" vertical="center" wrapText="1"/>
    </xf>
    <xf numFmtId="0" fontId="10" fillId="0" borderId="6" xfId="126" quotePrefix="1" applyFont="1" applyBorder="1" applyAlignment="1">
      <alignment horizontal="center" vertical="center" wrapText="1"/>
    </xf>
    <xf numFmtId="0" fontId="10" fillId="0" borderId="5" xfId="126" applyFont="1" applyFill="1" applyBorder="1" applyAlignment="1">
      <alignment horizontal="center" vertical="center" wrapText="1"/>
    </xf>
    <xf numFmtId="0" fontId="10" fillId="0" borderId="0" xfId="126" applyFill="1" applyAlignment="1">
      <alignment horizontal="center" vertical="center" wrapText="1"/>
    </xf>
    <xf numFmtId="0" fontId="10" fillId="0" borderId="0" xfId="126" applyFill="1" applyAlignment="1">
      <alignment vertical="center" wrapText="1"/>
    </xf>
    <xf numFmtId="0" fontId="11" fillId="0" borderId="3" xfId="126" applyFont="1" applyFill="1" applyBorder="1" applyAlignment="1">
      <alignment horizontal="center" wrapText="1"/>
    </xf>
    <xf numFmtId="0" fontId="11" fillId="0" borderId="3" xfId="126" quotePrefix="1" applyFont="1" applyBorder="1" applyAlignment="1">
      <alignment horizontal="center" wrapText="1"/>
    </xf>
    <xf numFmtId="0" fontId="11" fillId="0" borderId="6" xfId="126" applyFont="1" applyBorder="1" applyAlignment="1">
      <alignment horizontal="center" wrapText="1"/>
    </xf>
    <xf numFmtId="0" fontId="11" fillId="0" borderId="3" xfId="126" applyFont="1" applyFill="1" applyBorder="1" applyAlignment="1">
      <alignment horizontal="center"/>
    </xf>
    <xf numFmtId="0" fontId="11" fillId="0" borderId="4" xfId="126" applyFont="1" applyBorder="1" applyAlignment="1">
      <alignment horizontal="center" wrapText="1"/>
    </xf>
    <xf numFmtId="0" fontId="11" fillId="0" borderId="3" xfId="126" applyFont="1" applyBorder="1" applyAlignment="1">
      <alignment horizontal="center" wrapText="1"/>
    </xf>
    <xf numFmtId="0" fontId="11" fillId="0" borderId="0" xfId="126" applyFont="1" applyAlignment="1">
      <alignment horizontal="center"/>
    </xf>
    <xf numFmtId="10" fontId="10" fillId="0" borderId="0" xfId="126" applyNumberFormat="1"/>
    <xf numFmtId="3" fontId="10" fillId="36" borderId="0" xfId="128" applyNumberFormat="1" applyFont="1" applyFill="1"/>
    <xf numFmtId="3" fontId="10" fillId="36" borderId="0" xfId="129" applyNumberFormat="1" applyFont="1" applyFill="1"/>
    <xf numFmtId="3" fontId="10" fillId="36" borderId="0" xfId="130" applyNumberFormat="1" applyFont="1" applyFill="1"/>
    <xf numFmtId="174" fontId="10" fillId="0" borderId="0" xfId="126" applyNumberFormat="1" applyAlignment="1">
      <alignment horizontal="center"/>
    </xf>
    <xf numFmtId="0" fontId="10" fillId="0" borderId="0" xfId="126" quotePrefix="1" applyNumberFormat="1" applyFont="1" applyAlignment="1">
      <alignment horizontal="center"/>
    </xf>
    <xf numFmtId="10" fontId="10" fillId="0" borderId="0" xfId="126" applyNumberFormat="1" applyBorder="1"/>
    <xf numFmtId="10" fontId="10" fillId="36" borderId="0" xfId="126" applyNumberFormat="1" applyFont="1" applyFill="1" applyBorder="1"/>
    <xf numFmtId="0" fontId="10" fillId="0" borderId="0" xfId="126" quotePrefix="1" applyNumberFormat="1" applyFont="1" applyBorder="1" applyAlignment="1">
      <alignment horizontal="center"/>
    </xf>
    <xf numFmtId="166" fontId="10" fillId="0" borderId="17" xfId="126" applyNumberFormat="1" applyBorder="1" applyAlignment="1">
      <alignment horizontal="center"/>
    </xf>
    <xf numFmtId="164" fontId="10" fillId="0" borderId="18" xfId="126" applyNumberFormat="1" applyBorder="1"/>
    <xf numFmtId="0" fontId="10" fillId="0" borderId="19" xfId="126" applyFill="1" applyBorder="1" applyAlignment="1">
      <alignment horizontal="center"/>
    </xf>
    <xf numFmtId="166" fontId="10" fillId="0" borderId="0" xfId="126" applyNumberFormat="1" applyAlignment="1">
      <alignment horizontal="center"/>
    </xf>
    <xf numFmtId="166" fontId="10" fillId="0" borderId="0" xfId="126" applyNumberFormat="1"/>
    <xf numFmtId="3" fontId="10" fillId="36" borderId="0" xfId="128" applyNumberFormat="1" applyFont="1" applyFill="1" applyBorder="1"/>
    <xf numFmtId="3" fontId="10" fillId="36" borderId="0" xfId="129" applyNumberFormat="1" applyFont="1" applyFill="1" applyBorder="1"/>
    <xf numFmtId="3" fontId="10" fillId="36" borderId="0" xfId="130" applyNumberFormat="1" applyFont="1" applyFill="1" applyBorder="1"/>
    <xf numFmtId="3" fontId="33" fillId="0" borderId="0" xfId="131" applyNumberFormat="1" applyFill="1" applyBorder="1"/>
    <xf numFmtId="3" fontId="33" fillId="0" borderId="0" xfId="132" applyNumberFormat="1" applyFill="1"/>
    <xf numFmtId="0" fontId="10" fillId="0" borderId="0" xfId="126" applyFill="1" applyBorder="1"/>
    <xf numFmtId="166" fontId="10" fillId="0" borderId="0" xfId="126" applyNumberFormat="1" applyFill="1"/>
    <xf numFmtId="3" fontId="33" fillId="0" borderId="0" xfId="130" applyNumberFormat="1" applyFill="1" applyBorder="1" applyAlignment="1">
      <alignment horizontal="center"/>
    </xf>
    <xf numFmtId="0" fontId="10" fillId="0" borderId="0" xfId="126" applyFill="1" applyBorder="1" applyAlignment="1">
      <alignment horizontal="center"/>
    </xf>
    <xf numFmtId="0" fontId="10" fillId="0" borderId="0" xfId="126" applyAlignment="1">
      <alignment horizontal="left" indent="1"/>
    </xf>
    <xf numFmtId="164" fontId="10" fillId="0" borderId="0" xfId="126" applyNumberFormat="1" applyFont="1"/>
    <xf numFmtId="180" fontId="10" fillId="34" borderId="0" xfId="35" quotePrefix="1" applyNumberFormat="1" applyFont="1" applyFill="1" applyAlignment="1">
      <alignment horizontal="left"/>
    </xf>
    <xf numFmtId="3" fontId="33" fillId="36" borderId="0" xfId="128" applyNumberFormat="1" applyFill="1"/>
    <xf numFmtId="3" fontId="33" fillId="36" borderId="0" xfId="129" applyNumberFormat="1" applyFill="1"/>
    <xf numFmtId="3" fontId="33" fillId="36" borderId="0" xfId="130" applyNumberFormat="1" applyFill="1"/>
    <xf numFmtId="10" fontId="10" fillId="0" borderId="3" xfId="126" applyNumberFormat="1" applyBorder="1"/>
    <xf numFmtId="164" fontId="10" fillId="0" borderId="3" xfId="126" applyNumberFormat="1" applyFill="1" applyBorder="1"/>
    <xf numFmtId="3" fontId="10" fillId="0" borderId="3" xfId="126" applyNumberFormat="1" applyBorder="1"/>
    <xf numFmtId="0" fontId="10" fillId="0" borderId="0" xfId="126" applyAlignment="1">
      <alignment horizontal="center"/>
    </xf>
    <xf numFmtId="3" fontId="10" fillId="0" borderId="0" xfId="126" applyNumberFormat="1" applyFill="1"/>
    <xf numFmtId="9" fontId="10" fillId="0" borderId="0" xfId="37" applyFont="1"/>
    <xf numFmtId="3" fontId="33" fillId="0" borderId="0" xfId="129" applyNumberFormat="1" applyFill="1"/>
    <xf numFmtId="0" fontId="10" fillId="0" borderId="0" xfId="126" applyFont="1" applyAlignment="1">
      <alignment horizontal="center" vertical="center" wrapText="1"/>
    </xf>
    <xf numFmtId="0" fontId="10" fillId="0" borderId="0" xfId="126" quotePrefix="1" applyFont="1" applyAlignment="1">
      <alignment horizontal="center" vertical="center" wrapText="1"/>
    </xf>
    <xf numFmtId="0" fontId="14" fillId="0" borderId="0" xfId="126" quotePrefix="1" applyFont="1" applyBorder="1" applyAlignment="1">
      <alignment horizontal="center"/>
    </xf>
    <xf numFmtId="2" fontId="11" fillId="0" borderId="5" xfId="126" applyNumberFormat="1" applyFont="1" applyFill="1" applyBorder="1" applyAlignment="1">
      <alignment horizontal="center" wrapText="1"/>
    </xf>
    <xf numFmtId="2" fontId="11" fillId="0" borderId="3" xfId="126" applyNumberFormat="1" applyFont="1" applyFill="1" applyBorder="1" applyAlignment="1">
      <alignment horizontal="center" wrapText="1"/>
    </xf>
    <xf numFmtId="2" fontId="11" fillId="0" borderId="3" xfId="126" applyNumberFormat="1" applyFont="1" applyBorder="1" applyAlignment="1">
      <alignment horizontal="center" wrapText="1"/>
    </xf>
    <xf numFmtId="2" fontId="10" fillId="0" borderId="0" xfId="126" applyNumberFormat="1" applyFont="1" applyAlignment="1">
      <alignment horizontal="center" wrapText="1"/>
    </xf>
    <xf numFmtId="2" fontId="10" fillId="0" borderId="0" xfId="126" applyNumberFormat="1" applyFont="1" applyFill="1" applyAlignment="1">
      <alignment horizontal="center" wrapText="1"/>
    </xf>
    <xf numFmtId="2" fontId="11" fillId="0" borderId="0" xfId="126" applyNumberFormat="1" applyFont="1" applyAlignment="1">
      <alignment horizontal="center"/>
    </xf>
    <xf numFmtId="2" fontId="10" fillId="34" borderId="0" xfId="35" applyNumberFormat="1" applyFont="1" applyFill="1" applyAlignment="1">
      <alignment horizontal="left"/>
    </xf>
    <xf numFmtId="164" fontId="10" fillId="0" borderId="0" xfId="126" applyNumberFormat="1" applyFill="1"/>
    <xf numFmtId="1" fontId="2" fillId="0" borderId="0" xfId="0" applyNumberFormat="1" applyFont="1" applyFill="1" applyAlignment="1">
      <alignment horizontal="right"/>
    </xf>
    <xf numFmtId="2" fontId="10" fillId="0" borderId="0" xfId="126" applyNumberFormat="1" applyFont="1"/>
    <xf numFmtId="1" fontId="10" fillId="0" borderId="0" xfId="126" applyNumberFormat="1" applyFont="1"/>
    <xf numFmtId="2" fontId="10" fillId="0" borderId="0" xfId="126" applyNumberFormat="1" applyFont="1" applyFill="1" applyAlignment="1">
      <alignment horizontal="center"/>
    </xf>
    <xf numFmtId="180" fontId="62" fillId="0" borderId="0" xfId="35" applyNumberFormat="1" applyFont="1" applyFill="1" applyAlignment="1">
      <alignment horizontal="left"/>
    </xf>
    <xf numFmtId="0" fontId="11" fillId="0" borderId="0" xfId="126" applyFont="1" applyAlignment="1">
      <alignment horizontal="center" vertical="center" wrapText="1"/>
    </xf>
    <xf numFmtId="0" fontId="10" fillId="0" borderId="0" xfId="126" quotePrefix="1" applyFont="1" applyAlignment="1">
      <alignment horizontal="center"/>
    </xf>
    <xf numFmtId="0" fontId="10" fillId="0" borderId="0" xfId="126" applyFont="1" applyFill="1" applyAlignment="1">
      <alignment horizontal="center"/>
    </xf>
    <xf numFmtId="180" fontId="11" fillId="0" borderId="3" xfId="35" applyNumberFormat="1" applyFont="1" applyFill="1" applyBorder="1" applyAlignment="1">
      <alignment horizontal="center"/>
    </xf>
    <xf numFmtId="174" fontId="10" fillId="0" borderId="0" xfId="126" quotePrefix="1" applyNumberFormat="1" applyFill="1" applyAlignment="1">
      <alignment horizontal="center"/>
    </xf>
    <xf numFmtId="164" fontId="10" fillId="0" borderId="0" xfId="126" quotePrefix="1" applyNumberFormat="1" applyFill="1" applyAlignment="1">
      <alignment horizontal="center"/>
    </xf>
    <xf numFmtId="164" fontId="10" fillId="0" borderId="0" xfId="126" applyNumberFormat="1" applyAlignment="1">
      <alignment horizontal="right"/>
    </xf>
    <xf numFmtId="166" fontId="10" fillId="0" borderId="17" xfId="126" quotePrefix="1" applyNumberFormat="1" applyFill="1" applyBorder="1" applyAlignment="1">
      <alignment horizontal="center"/>
    </xf>
    <xf numFmtId="166" fontId="10" fillId="0" borderId="18" xfId="126" applyNumberFormat="1" applyFill="1" applyBorder="1" applyAlignment="1">
      <alignment horizontal="center"/>
    </xf>
    <xf numFmtId="0" fontId="10" fillId="0" borderId="19" xfId="126" applyFont="1" applyBorder="1" applyAlignment="1">
      <alignment horizontal="center"/>
    </xf>
    <xf numFmtId="166" fontId="10" fillId="0" borderId="0" xfId="126" quotePrefix="1" applyNumberFormat="1" applyFill="1" applyAlignment="1">
      <alignment horizontal="center"/>
    </xf>
    <xf numFmtId="166" fontId="10" fillId="0" borderId="0" xfId="126" applyNumberFormat="1" applyFill="1" applyAlignment="1">
      <alignment horizontal="center"/>
    </xf>
    <xf numFmtId="164" fontId="10" fillId="0" borderId="0" xfId="126" applyNumberFormat="1" applyBorder="1" applyAlignment="1">
      <alignment horizontal="right"/>
    </xf>
    <xf numFmtId="174" fontId="10" fillId="0" borderId="0" xfId="126" applyNumberFormat="1" applyFill="1" applyAlignment="1">
      <alignment horizontal="center"/>
    </xf>
    <xf numFmtId="166" fontId="10" fillId="0" borderId="17" xfId="126" applyNumberFormat="1" applyFill="1" applyBorder="1" applyAlignment="1">
      <alignment horizontal="center"/>
    </xf>
    <xf numFmtId="164" fontId="10" fillId="0" borderId="0" xfId="126" applyNumberFormat="1" applyBorder="1"/>
    <xf numFmtId="0" fontId="14" fillId="0" borderId="0" xfId="126" applyFont="1"/>
    <xf numFmtId="0" fontId="10" fillId="0" borderId="0" xfId="126" applyFont="1" applyFill="1"/>
    <xf numFmtId="0" fontId="10" fillId="0" borderId="0" xfId="126" applyAlignment="1">
      <alignment horizontal="left"/>
    </xf>
    <xf numFmtId="0" fontId="11" fillId="0" borderId="6" xfId="126" applyFont="1" applyFill="1" applyBorder="1"/>
    <xf numFmtId="0" fontId="10" fillId="0" borderId="9" xfId="126" applyFont="1" applyFill="1" applyBorder="1"/>
    <xf numFmtId="0" fontId="10" fillId="0" borderId="4" xfId="126" applyFont="1" applyFill="1" applyBorder="1"/>
    <xf numFmtId="180" fontId="10" fillId="36" borderId="0" xfId="35" applyNumberFormat="1" applyFont="1" applyFill="1" applyAlignment="1">
      <alignment horizontal="left"/>
    </xf>
    <xf numFmtId="0" fontId="10" fillId="36" borderId="0" xfId="35" applyFont="1" applyFill="1" applyAlignment="1">
      <alignment horizontal="left" vertical="top" indent="1"/>
    </xf>
    <xf numFmtId="0" fontId="10" fillId="36" borderId="0" xfId="126" applyFont="1" applyFill="1"/>
    <xf numFmtId="0" fontId="10" fillId="36" borderId="0" xfId="126" applyFill="1"/>
    <xf numFmtId="180" fontId="10" fillId="36" borderId="0" xfId="35" quotePrefix="1" applyNumberFormat="1" applyFont="1" applyFill="1" applyAlignment="1">
      <alignment horizontal="left"/>
    </xf>
    <xf numFmtId="0" fontId="14" fillId="0" borderId="0" xfId="126" quotePrefix="1" applyFont="1" applyFill="1" applyAlignment="1">
      <alignment horizontal="center"/>
    </xf>
    <xf numFmtId="0" fontId="14" fillId="0" borderId="0" xfId="126" quotePrefix="1" applyFont="1" applyFill="1" applyBorder="1" applyAlignment="1">
      <alignment horizontal="center"/>
    </xf>
    <xf numFmtId="0" fontId="11" fillId="0" borderId="0" xfId="126" applyFont="1" applyAlignment="1">
      <alignment horizontal="center" vertical="center"/>
    </xf>
    <xf numFmtId="0" fontId="14" fillId="0" borderId="0" xfId="126" quotePrefix="1" applyFont="1" applyFill="1" applyAlignment="1">
      <alignment horizontal="center" vertical="center" wrapText="1"/>
    </xf>
    <xf numFmtId="0" fontId="14" fillId="0" borderId="0" xfId="126" quotePrefix="1" applyFont="1" applyFill="1" applyBorder="1" applyAlignment="1">
      <alignment horizontal="center" vertical="center" wrapText="1"/>
    </xf>
    <xf numFmtId="0" fontId="10" fillId="0" borderId="0" xfId="126" applyAlignment="1">
      <alignment wrapText="1"/>
    </xf>
    <xf numFmtId="0" fontId="14" fillId="0" borderId="0" xfId="126" quotePrefix="1" applyFont="1" applyAlignment="1">
      <alignment horizontal="center" wrapText="1"/>
    </xf>
    <xf numFmtId="0" fontId="10" fillId="0" borderId="0" xfId="126" quotePrefix="1" applyFont="1" applyAlignment="1">
      <alignment horizontal="center" vertical="top" wrapText="1"/>
    </xf>
    <xf numFmtId="0" fontId="14" fillId="0" borderId="0" xfId="126" quotePrefix="1" applyFont="1" applyFill="1" applyAlignment="1">
      <alignment horizontal="center" wrapText="1"/>
    </xf>
    <xf numFmtId="0" fontId="14" fillId="0" borderId="0" xfId="126" quotePrefix="1" applyFont="1" applyFill="1" applyBorder="1" applyAlignment="1">
      <alignment horizontal="center" wrapText="1"/>
    </xf>
    <xf numFmtId="0" fontId="10" fillId="0" borderId="0" xfId="126" applyFill="1" applyAlignment="1">
      <alignment horizontal="center" wrapText="1"/>
    </xf>
    <xf numFmtId="0" fontId="10" fillId="0" borderId="7" xfId="126" applyFill="1" applyBorder="1"/>
    <xf numFmtId="0" fontId="11" fillId="34" borderId="7" xfId="126" applyFont="1" applyFill="1" applyBorder="1" applyAlignment="1">
      <alignment horizontal="center" wrapText="1"/>
    </xf>
    <xf numFmtId="0" fontId="10" fillId="0" borderId="7" xfId="126" applyBorder="1"/>
    <xf numFmtId="0" fontId="14" fillId="0" borderId="7" xfId="126" quotePrefix="1" applyFont="1" applyBorder="1" applyAlignment="1">
      <alignment horizontal="center"/>
    </xf>
    <xf numFmtId="0" fontId="10" fillId="0" borderId="0" xfId="126" applyFont="1" applyFill="1" applyBorder="1"/>
    <xf numFmtId="0" fontId="11" fillId="0" borderId="5" xfId="126" applyFont="1" applyFill="1" applyBorder="1" applyAlignment="1">
      <alignment horizontal="center" wrapText="1"/>
    </xf>
    <xf numFmtId="0" fontId="11" fillId="34" borderId="11" xfId="126" applyFont="1" applyFill="1" applyBorder="1" applyAlignment="1">
      <alignment horizontal="center" wrapText="1"/>
    </xf>
    <xf numFmtId="0" fontId="11" fillId="34" borderId="10" xfId="126" applyFont="1" applyFill="1" applyBorder="1" applyAlignment="1">
      <alignment horizontal="center" wrapText="1"/>
    </xf>
    <xf numFmtId="0" fontId="11" fillId="34" borderId="5" xfId="126" applyFont="1" applyFill="1" applyBorder="1" applyAlignment="1">
      <alignment horizontal="center" wrapText="1"/>
    </xf>
    <xf numFmtId="0" fontId="11" fillId="0" borderId="0" xfId="126" applyFont="1" applyFill="1" applyBorder="1" applyAlignment="1">
      <alignment horizontal="center" wrapText="1"/>
    </xf>
    <xf numFmtId="3" fontId="10" fillId="36" borderId="0" xfId="126" applyNumberFormat="1" applyFill="1"/>
    <xf numFmtId="3" fontId="10" fillId="0" borderId="0" xfId="126" applyNumberFormat="1"/>
    <xf numFmtId="175" fontId="0" fillId="36" borderId="0" xfId="0" applyNumberFormat="1" applyFill="1" applyAlignment="1">
      <alignment horizontal="center"/>
    </xf>
    <xf numFmtId="167" fontId="44" fillId="36" borderId="0" xfId="133" applyNumberFormat="1" applyFont="1" applyFill="1"/>
    <xf numFmtId="181" fontId="10" fillId="0" borderId="0" xfId="126" applyNumberFormat="1" applyFill="1"/>
    <xf numFmtId="175" fontId="10" fillId="0" borderId="0" xfId="126" applyNumberFormat="1" applyFill="1" applyAlignment="1">
      <alignment horizontal="center"/>
    </xf>
    <xf numFmtId="167" fontId="44" fillId="36" borderId="0" xfId="133" applyNumberFormat="1" applyFont="1" applyFill="1" applyBorder="1"/>
    <xf numFmtId="3" fontId="10" fillId="36" borderId="0" xfId="126" applyNumberFormat="1" applyFill="1" applyBorder="1"/>
    <xf numFmtId="181" fontId="17" fillId="0" borderId="0" xfId="126" applyNumberFormat="1" applyFont="1" applyFill="1"/>
    <xf numFmtId="10" fontId="0" fillId="0" borderId="3" xfId="134" applyNumberFormat="1" applyFont="1" applyBorder="1"/>
    <xf numFmtId="2" fontId="62" fillId="0" borderId="0" xfId="126" applyNumberFormat="1" applyFont="1"/>
    <xf numFmtId="2" fontId="14" fillId="0" borderId="0" xfId="126" quotePrefix="1" applyNumberFormat="1" applyFont="1" applyAlignment="1">
      <alignment horizontal="center"/>
    </xf>
    <xf numFmtId="2" fontId="14" fillId="0" borderId="0" xfId="126" quotePrefix="1" applyNumberFormat="1" applyFont="1" applyFill="1" applyAlignment="1">
      <alignment horizontal="center"/>
    </xf>
    <xf numFmtId="2" fontId="14" fillId="0" borderId="0" xfId="126" quotePrefix="1" applyNumberFormat="1" applyFont="1" applyFill="1" applyBorder="1" applyAlignment="1">
      <alignment horizontal="center"/>
    </xf>
    <xf numFmtId="2" fontId="10" fillId="0" borderId="0" xfId="126" applyNumberFormat="1" applyFont="1" applyBorder="1"/>
    <xf numFmtId="2" fontId="10" fillId="0" borderId="0" xfId="126" applyNumberFormat="1" applyFont="1" applyAlignment="1">
      <alignment wrapText="1"/>
    </xf>
    <xf numFmtId="2" fontId="14" fillId="0" borderId="0" xfId="126" quotePrefix="1" applyNumberFormat="1" applyFont="1" applyAlignment="1">
      <alignment horizontal="center" wrapText="1"/>
    </xf>
    <xf numFmtId="2" fontId="10" fillId="0" borderId="0" xfId="126" quotePrefix="1" applyNumberFormat="1" applyFont="1" applyAlignment="1">
      <alignment horizontal="center" vertical="top" wrapText="1"/>
    </xf>
    <xf numFmtId="2" fontId="10" fillId="0" borderId="0" xfId="126" quotePrefix="1" applyNumberFormat="1" applyFont="1" applyBorder="1" applyAlignment="1">
      <alignment horizontal="center" vertical="top" wrapText="1"/>
    </xf>
    <xf numFmtId="2" fontId="10" fillId="0" borderId="0" xfId="126" applyNumberFormat="1" applyFont="1" applyBorder="1" applyAlignment="1">
      <alignment wrapText="1"/>
    </xf>
    <xf numFmtId="2" fontId="10" fillId="0" borderId="0" xfId="126" applyNumberFormat="1" applyFont="1" applyBorder="1" applyAlignment="1">
      <alignment horizontal="center" wrapText="1"/>
    </xf>
    <xf numFmtId="175" fontId="2" fillId="36" borderId="0" xfId="0" applyNumberFormat="1" applyFont="1" applyFill="1" applyAlignment="1">
      <alignment horizontal="center"/>
    </xf>
    <xf numFmtId="175" fontId="2" fillId="36" borderId="0" xfId="0" applyNumberFormat="1" applyFont="1" applyFill="1" applyBorder="1" applyAlignment="1">
      <alignment horizontal="center"/>
    </xf>
    <xf numFmtId="3" fontId="10" fillId="0" borderId="0" xfId="126" applyNumberFormat="1" applyBorder="1"/>
    <xf numFmtId="164" fontId="43" fillId="0" borderId="0" xfId="135" applyNumberFormat="1" applyFont="1" applyFill="1"/>
    <xf numFmtId="164" fontId="64" fillId="0" borderId="0" xfId="135" applyNumberFormat="1" applyFont="1" applyFill="1"/>
    <xf numFmtId="164" fontId="17" fillId="0" borderId="0" xfId="0" applyNumberFormat="1" applyFont="1" applyFill="1" applyBorder="1"/>
    <xf numFmtId="0" fontId="12" fillId="0" borderId="0" xfId="0" applyFont="1" applyFill="1" applyAlignment="1">
      <alignment horizontal="center"/>
    </xf>
    <xf numFmtId="164" fontId="48" fillId="0" borderId="0" xfId="135" applyNumberFormat="1" applyFont="1" applyFill="1"/>
    <xf numFmtId="0" fontId="11" fillId="0" borderId="3" xfId="28" applyFont="1" applyFill="1" applyBorder="1" applyAlignment="1">
      <alignment horizontal="center"/>
    </xf>
    <xf numFmtId="0" fontId="10" fillId="0" borderId="0" xfId="28" applyNumberFormat="1" applyFont="1" applyFill="1" applyAlignment="1">
      <alignment horizontal="center" vertical="center"/>
    </xf>
    <xf numFmtId="167" fontId="10" fillId="0" borderId="0" xfId="28" applyNumberFormat="1" applyFont="1" applyFill="1"/>
    <xf numFmtId="43" fontId="10" fillId="0" borderId="0" xfId="0" applyNumberFormat="1" applyFont="1"/>
    <xf numFmtId="0" fontId="10" fillId="0" borderId="0" xfId="0" applyNumberFormat="1" applyFont="1"/>
    <xf numFmtId="0" fontId="10" fillId="0" borderId="0" xfId="28" applyFont="1" applyAlignment="1">
      <alignment horizontal="center"/>
    </xf>
    <xf numFmtId="167" fontId="10" fillId="0" borderId="0" xfId="22" applyNumberFormat="1" applyFont="1"/>
    <xf numFmtId="167" fontId="10" fillId="0" borderId="0" xfId="28" applyNumberFormat="1" applyFont="1"/>
    <xf numFmtId="164" fontId="10" fillId="0" borderId="0" xfId="28" applyNumberFormat="1" applyFont="1" applyFill="1" applyBorder="1"/>
    <xf numFmtId="0" fontId="10" fillId="36" borderId="0" xfId="22" applyNumberFormat="1" applyFont="1" applyFill="1" applyBorder="1" applyAlignment="1">
      <alignment horizontal="center"/>
    </xf>
    <xf numFmtId="164" fontId="10" fillId="0" borderId="0" xfId="28" applyNumberFormat="1" applyFont="1" applyBorder="1" applyAlignment="1">
      <alignment horizontal="center"/>
    </xf>
    <xf numFmtId="0" fontId="10" fillId="36" borderId="0" xfId="22" applyNumberFormat="1" applyFont="1" applyFill="1" applyBorder="1" applyAlignment="1" applyProtection="1">
      <alignment horizontal="center"/>
      <protection locked="0"/>
    </xf>
    <xf numFmtId="164" fontId="10" fillId="0" borderId="0" xfId="28" applyNumberFormat="1" applyFont="1" applyFill="1" applyBorder="1" applyAlignment="1">
      <alignment horizontal="center"/>
    </xf>
    <xf numFmtId="0" fontId="10" fillId="36" borderId="0" xfId="28" applyFont="1" applyFill="1"/>
    <xf numFmtId="0" fontId="10" fillId="36" borderId="0" xfId="28" applyNumberFormat="1" applyFont="1" applyFill="1"/>
    <xf numFmtId="167" fontId="10" fillId="36" borderId="0" xfId="28" quotePrefix="1" applyNumberFormat="1" applyFont="1" applyFill="1" applyBorder="1" applyAlignment="1">
      <alignment horizontal="center"/>
    </xf>
    <xf numFmtId="167" fontId="10" fillId="0" borderId="8" xfId="28" applyNumberFormat="1" applyFont="1" applyBorder="1" applyAlignment="1">
      <alignment horizontal="center"/>
    </xf>
    <xf numFmtId="5" fontId="10" fillId="0" borderId="8" xfId="28" applyNumberFormat="1" applyFont="1" applyBorder="1"/>
    <xf numFmtId="164" fontId="10" fillId="0" borderId="0" xfId="22" applyNumberFormat="1" applyFont="1" applyFill="1" applyBorder="1"/>
    <xf numFmtId="164" fontId="10" fillId="0" borderId="0" xfId="22" applyNumberFormat="1" applyFont="1" applyFill="1" applyBorder="1" applyAlignment="1">
      <alignment horizontal="center"/>
    </xf>
    <xf numFmtId="164" fontId="10" fillId="0" borderId="0" xfId="22" applyNumberFormat="1" applyFont="1" applyBorder="1"/>
    <xf numFmtId="0" fontId="10" fillId="0" borderId="0" xfId="28" applyFont="1" applyFill="1" applyBorder="1"/>
    <xf numFmtId="167" fontId="10" fillId="0" borderId="0" xfId="22" applyNumberFormat="1" applyFont="1" applyFill="1" applyBorder="1"/>
    <xf numFmtId="0" fontId="10" fillId="0" borderId="0" xfId="22" applyNumberFormat="1" applyFont="1" applyFill="1" applyBorder="1" applyAlignment="1">
      <alignment horizontal="center"/>
    </xf>
    <xf numFmtId="167" fontId="10" fillId="0" borderId="0" xfId="28" applyNumberFormat="1" applyFont="1" applyBorder="1" applyAlignment="1">
      <alignment horizontal="center"/>
    </xf>
    <xf numFmtId="167" fontId="10" fillId="0" borderId="0" xfId="22" applyNumberFormat="1" applyFont="1" applyBorder="1"/>
    <xf numFmtId="167" fontId="10" fillId="0" borderId="0" xfId="22" applyNumberFormat="1" applyFont="1" applyFill="1" applyBorder="1" applyAlignment="1">
      <alignment horizontal="center"/>
    </xf>
    <xf numFmtId="167" fontId="10" fillId="0" borderId="0" xfId="28" applyNumberFormat="1" applyFont="1" applyFill="1" applyBorder="1"/>
    <xf numFmtId="164" fontId="10" fillId="36" borderId="0" xfId="28" applyNumberFormat="1" applyFont="1" applyFill="1" applyBorder="1"/>
    <xf numFmtId="167" fontId="10" fillId="0" borderId="8" xfId="28" applyNumberFormat="1" applyFont="1" applyFill="1" applyBorder="1" applyAlignment="1">
      <alignment horizontal="center"/>
    </xf>
    <xf numFmtId="167" fontId="10" fillId="0" borderId="8" xfId="28" quotePrefix="1" applyNumberFormat="1" applyFont="1" applyFill="1" applyBorder="1" applyAlignment="1">
      <alignment horizontal="center"/>
    </xf>
    <xf numFmtId="167" fontId="10" fillId="0" borderId="8" xfId="28" applyNumberFormat="1" applyFont="1" applyBorder="1"/>
    <xf numFmtId="0" fontId="10" fillId="0" borderId="0" xfId="22" applyNumberFormat="1" applyFont="1" applyFill="1" applyBorder="1"/>
    <xf numFmtId="0" fontId="10" fillId="0" borderId="0" xfId="28" applyNumberFormat="1" applyFont="1" applyFill="1" applyBorder="1"/>
    <xf numFmtId="0" fontId="10" fillId="0" borderId="0" xfId="28" applyFont="1" applyBorder="1" applyAlignment="1">
      <alignment horizontal="center"/>
    </xf>
    <xf numFmtId="164" fontId="10" fillId="36" borderId="0" xfId="28" applyNumberFormat="1" applyFont="1" applyFill="1" applyBorder="1" applyAlignment="1">
      <alignment vertical="top" wrapText="1"/>
    </xf>
    <xf numFmtId="167" fontId="10" fillId="0" borderId="0" xfId="28" applyNumberFormat="1" applyFont="1" applyFill="1" applyBorder="1" applyAlignment="1"/>
    <xf numFmtId="164" fontId="10" fillId="0" borderId="0" xfId="28" applyNumberFormat="1" applyFont="1" applyFill="1" applyBorder="1" applyAlignment="1">
      <alignment vertical="top" wrapText="1"/>
    </xf>
    <xf numFmtId="167" fontId="10" fillId="0" borderId="0" xfId="22" applyNumberFormat="1" applyFont="1" applyFill="1" applyBorder="1" applyAlignment="1">
      <alignment horizontal="center" wrapText="1"/>
    </xf>
    <xf numFmtId="0" fontId="10" fillId="0" borderId="0" xfId="0" quotePrefix="1" applyFont="1" applyFill="1" applyAlignment="1"/>
    <xf numFmtId="167" fontId="10" fillId="0" borderId="0" xfId="22" applyNumberFormat="1" applyFont="1" applyFill="1" applyBorder="1" applyAlignment="1"/>
    <xf numFmtId="171" fontId="10" fillId="0" borderId="8" xfId="37" applyNumberFormat="1" applyFont="1" applyFill="1" applyBorder="1" applyAlignment="1">
      <alignment horizontal="center" wrapText="1"/>
    </xf>
    <xf numFmtId="167" fontId="10" fillId="0" borderId="8" xfId="22" applyNumberFormat="1" applyFont="1" applyFill="1" applyBorder="1" applyAlignment="1">
      <alignment horizontal="center" wrapText="1"/>
    </xf>
    <xf numFmtId="0" fontId="10" fillId="0" borderId="0" xfId="39" applyNumberFormat="1" applyFont="1" applyFill="1" applyBorder="1" applyAlignment="1">
      <alignment horizontal="center" wrapText="1"/>
    </xf>
    <xf numFmtId="171" fontId="10" fillId="0" borderId="0" xfId="39" applyNumberFormat="1" applyFont="1" applyFill="1" applyBorder="1" applyAlignment="1">
      <alignment horizontal="center" wrapText="1"/>
    </xf>
    <xf numFmtId="0" fontId="10" fillId="0" borderId="0" xfId="28" applyFont="1" applyAlignment="1">
      <alignment vertical="justify"/>
    </xf>
    <xf numFmtId="167" fontId="10" fillId="0" borderId="0" xfId="28" applyNumberFormat="1" applyFont="1" applyBorder="1" applyAlignment="1">
      <alignment vertical="justify"/>
    </xf>
    <xf numFmtId="0" fontId="10" fillId="0" borderId="0" xfId="28" applyNumberFormat="1" applyFont="1" applyFill="1"/>
    <xf numFmtId="0" fontId="10" fillId="0" borderId="0" xfId="28" applyFont="1" applyFill="1" applyBorder="1" applyAlignment="1">
      <alignment vertical="top"/>
    </xf>
    <xf numFmtId="0" fontId="10" fillId="0" borderId="0" xfId="28" applyFont="1" applyFill="1" applyAlignment="1">
      <alignment horizontal="center"/>
    </xf>
    <xf numFmtId="167" fontId="10" fillId="0" borderId="0" xfId="22" applyNumberFormat="1" applyFont="1" applyFill="1"/>
    <xf numFmtId="0" fontId="10" fillId="0" borderId="0" xfId="28" applyFont="1" applyFill="1" applyBorder="1" applyAlignment="1">
      <alignment vertical="top" wrapText="1"/>
    </xf>
    <xf numFmtId="0" fontId="10" fillId="0" borderId="0" xfId="28" applyFont="1" applyFill="1" applyBorder="1" applyAlignment="1" applyProtection="1">
      <alignment horizontal="left" vertical="top" indent="1"/>
      <protection locked="0"/>
    </xf>
    <xf numFmtId="0" fontId="10" fillId="36" borderId="0" xfId="28" applyFont="1" applyFill="1" applyBorder="1" applyAlignment="1" applyProtection="1">
      <alignment horizontal="left" indent="1"/>
      <protection locked="0"/>
    </xf>
    <xf numFmtId="0" fontId="10" fillId="36" borderId="0" xfId="28" applyFont="1" applyFill="1" applyAlignment="1">
      <alignment horizontal="center"/>
    </xf>
    <xf numFmtId="167" fontId="10" fillId="36" borderId="0" xfId="22" applyNumberFormat="1" applyFont="1" applyFill="1"/>
    <xf numFmtId="0" fontId="10" fillId="0" borderId="0" xfId="28" applyFont="1" applyFill="1" applyAlignment="1">
      <alignment horizontal="left" indent="1"/>
    </xf>
    <xf numFmtId="165" fontId="10" fillId="0" borderId="0" xfId="28" applyNumberFormat="1" applyFont="1" applyFill="1"/>
    <xf numFmtId="0" fontId="14" fillId="0" borderId="0" xfId="0" applyFont="1" applyFill="1"/>
    <xf numFmtId="0" fontId="65" fillId="0" borderId="0" xfId="0" applyFont="1" applyAlignment="1">
      <alignment horizontal="center"/>
    </xf>
    <xf numFmtId="10" fontId="10" fillId="0" borderId="0" xfId="0" applyNumberFormat="1" applyFont="1"/>
    <xf numFmtId="0" fontId="10" fillId="36" borderId="0" xfId="28" applyNumberFormat="1" applyFont="1" applyFill="1" applyAlignment="1">
      <alignment horizontal="center"/>
    </xf>
    <xf numFmtId="0" fontId="11" fillId="0" borderId="3" xfId="28" applyFont="1" applyFill="1" applyBorder="1" applyAlignment="1">
      <alignment horizontal="center"/>
    </xf>
    <xf numFmtId="0" fontId="13" fillId="0" borderId="6" xfId="0" applyFont="1" applyFill="1" applyBorder="1" applyAlignment="1">
      <alignment horizontal="left"/>
    </xf>
    <xf numFmtId="0" fontId="10" fillId="36" borderId="0" xfId="100" applyFill="1" applyAlignment="1">
      <alignment horizontal="center"/>
    </xf>
    <xf numFmtId="0" fontId="19" fillId="0" borderId="0" xfId="27" applyFill="1" applyAlignment="1" applyProtection="1"/>
    <xf numFmtId="0" fontId="0" fillId="0" borderId="0" xfId="0" applyFill="1" applyAlignment="1">
      <alignment horizontal="center"/>
    </xf>
    <xf numFmtId="0" fontId="0" fillId="0" borderId="0" xfId="0" applyFill="1" applyAlignment="1">
      <alignment horizontal="left"/>
    </xf>
    <xf numFmtId="168" fontId="13" fillId="0" borderId="0" xfId="0" applyNumberFormat="1" applyFont="1" applyFill="1"/>
    <xf numFmtId="0" fontId="10" fillId="0" borderId="0" xfId="0" applyFont="1" applyFill="1" applyAlignment="1">
      <alignment horizontal="left"/>
    </xf>
    <xf numFmtId="0" fontId="10" fillId="0" borderId="0" xfId="0" applyFont="1" applyFill="1" applyAlignment="1">
      <alignment horizontal="right"/>
    </xf>
    <xf numFmtId="0" fontId="10" fillId="0" borderId="0" xfId="0" quotePrefix="1" applyFont="1" applyFill="1" applyAlignment="1">
      <alignment horizontal="right"/>
    </xf>
    <xf numFmtId="168" fontId="0" fillId="0" borderId="0" xfId="0" applyNumberFormat="1" applyFill="1"/>
    <xf numFmtId="0" fontId="10" fillId="0" borderId="0" xfId="0" applyFont="1" applyFill="1" applyAlignment="1">
      <alignment horizontal="left" indent="2"/>
    </xf>
    <xf numFmtId="0" fontId="10" fillId="0" borderId="0" xfId="0" quotePrefix="1" applyFont="1" applyFill="1" applyAlignment="1">
      <alignment horizontal="left" indent="2"/>
    </xf>
    <xf numFmtId="0" fontId="10" fillId="0" borderId="0" xfId="0" applyFont="1" applyFill="1" applyAlignment="1">
      <alignment horizontal="left" indent="3"/>
    </xf>
    <xf numFmtId="0" fontId="13" fillId="0" borderId="0" xfId="0" applyFont="1" applyFill="1" applyAlignment="1">
      <alignment horizontal="left" indent="4"/>
    </xf>
    <xf numFmtId="0" fontId="44" fillId="0" borderId="0" xfId="0" applyFont="1" applyFill="1" applyAlignment="1">
      <alignment horizontal="left"/>
    </xf>
    <xf numFmtId="0" fontId="13" fillId="0" borderId="0" xfId="0" quotePrefix="1" applyFont="1" applyFill="1" applyAlignment="1">
      <alignment horizontal="left" indent="2"/>
    </xf>
    <xf numFmtId="0" fontId="10" fillId="0" borderId="0" xfId="0" quotePrefix="1" applyFont="1" applyFill="1" applyAlignment="1">
      <alignment horizontal="left" indent="1"/>
    </xf>
    <xf numFmtId="0" fontId="17" fillId="0" borderId="0" xfId="0" applyFont="1" applyFill="1" applyAlignment="1">
      <alignment horizontal="left"/>
    </xf>
    <xf numFmtId="0" fontId="13" fillId="0" borderId="0" xfId="28" applyFont="1" applyFill="1" applyBorder="1" applyAlignment="1">
      <alignment horizontal="left" indent="1"/>
    </xf>
    <xf numFmtId="0" fontId="11" fillId="0" borderId="0" xfId="0" applyNumberFormat="1" applyFont="1" applyFill="1" applyAlignment="1">
      <alignment horizontal="left"/>
    </xf>
    <xf numFmtId="0" fontId="10" fillId="0" borderId="0" xfId="0" applyFont="1" applyFill="1" applyAlignment="1"/>
    <xf numFmtId="0" fontId="11" fillId="0" borderId="0" xfId="0" quotePrefix="1" applyFont="1" applyFill="1" applyAlignment="1">
      <alignment horizontal="center"/>
    </xf>
    <xf numFmtId="10" fontId="10" fillId="0" borderId="0" xfId="0" quotePrefix="1" applyNumberFormat="1" applyFont="1" applyFill="1" applyAlignment="1">
      <alignment horizontal="right"/>
    </xf>
    <xf numFmtId="3" fontId="0" fillId="0" borderId="0" xfId="0" applyNumberFormat="1" applyFill="1" applyAlignment="1">
      <alignment horizontal="center"/>
    </xf>
    <xf numFmtId="0" fontId="43" fillId="0" borderId="0" xfId="0" applyFont="1" applyFill="1"/>
    <xf numFmtId="164" fontId="43" fillId="0" borderId="0" xfId="0" applyNumberFormat="1" applyFont="1" applyFill="1" applyBorder="1"/>
    <xf numFmtId="0" fontId="45" fillId="36" borderId="0" xfId="0" quotePrefix="1" applyFont="1" applyFill="1" applyAlignment="1">
      <alignment horizontal="center"/>
    </xf>
    <xf numFmtId="0" fontId="44" fillId="0" borderId="0" xfId="0" applyFont="1" applyFill="1" applyAlignment="1">
      <alignment horizontal="right"/>
    </xf>
    <xf numFmtId="0" fontId="57" fillId="0" borderId="0" xfId="0" applyFont="1" applyFill="1" applyAlignment="1">
      <alignment horizontal="left" vertical="center"/>
    </xf>
    <xf numFmtId="0" fontId="11" fillId="0" borderId="0" xfId="34" applyFont="1" applyFill="1"/>
    <xf numFmtId="0" fontId="13" fillId="0" borderId="0" xfId="34" applyFont="1" applyFill="1"/>
    <xf numFmtId="0" fontId="10" fillId="0" borderId="0" xfId="34" applyFont="1" applyFill="1" applyAlignment="1">
      <alignment horizontal="right"/>
    </xf>
    <xf numFmtId="0" fontId="46" fillId="0" borderId="0" xfId="0" applyFont="1" applyFill="1" applyAlignment="1">
      <alignment horizontal="left" indent="1"/>
    </xf>
    <xf numFmtId="0" fontId="10" fillId="0" borderId="0" xfId="100" applyFont="1" applyFill="1" applyAlignment="1">
      <alignment horizontal="left" indent="1"/>
    </xf>
    <xf numFmtId="0" fontId="45" fillId="0" borderId="0" xfId="0" applyFont="1" applyFill="1"/>
    <xf numFmtId="0" fontId="44" fillId="0" borderId="0" xfId="0" quotePrefix="1" applyFont="1" applyFill="1" applyAlignment="1">
      <alignment horizontal="center"/>
    </xf>
    <xf numFmtId="0" fontId="10" fillId="0" borderId="0" xfId="0" applyFont="1" applyFill="1" applyBorder="1" applyAlignment="1">
      <alignment horizontal="left" indent="1"/>
    </xf>
    <xf numFmtId="0" fontId="50" fillId="0" borderId="0" xfId="0" applyFont="1" applyFill="1"/>
    <xf numFmtId="0" fontId="50" fillId="0" borderId="0" xfId="0" applyFont="1" applyFill="1" applyAlignment="1">
      <alignment horizontal="left" indent="1"/>
    </xf>
    <xf numFmtId="0" fontId="54" fillId="0" borderId="0" xfId="0" applyFont="1" applyFill="1"/>
    <xf numFmtId="164" fontId="50" fillId="0" borderId="0" xfId="0" applyNumberFormat="1" applyFont="1" applyFill="1"/>
    <xf numFmtId="0" fontId="0" fillId="0" borderId="0" xfId="0" quotePrefix="1" applyFill="1"/>
    <xf numFmtId="166" fontId="13" fillId="0" borderId="0" xfId="20" applyNumberFormat="1" applyFont="1" applyFill="1" applyBorder="1" applyAlignment="1">
      <alignment horizontal="right"/>
    </xf>
    <xf numFmtId="0" fontId="10" fillId="0" borderId="0" xfId="100" applyFont="1" applyFill="1" applyBorder="1" applyAlignment="1"/>
    <xf numFmtId="0" fontId="13" fillId="0" borderId="0" xfId="28" applyFont="1" applyFill="1" applyBorder="1" applyAlignment="1">
      <alignment horizontal="right"/>
    </xf>
    <xf numFmtId="164" fontId="0" fillId="0" borderId="0" xfId="0" applyNumberFormat="1" applyFill="1" applyAlignment="1">
      <alignment horizontal="right"/>
    </xf>
    <xf numFmtId="2" fontId="0" fillId="0" borderId="0" xfId="0" applyNumberFormat="1" applyFill="1"/>
    <xf numFmtId="164" fontId="11" fillId="0" borderId="0" xfId="100" applyNumberFormat="1" applyFont="1" applyFill="1"/>
    <xf numFmtId="0" fontId="10" fillId="0" borderId="0" xfId="100" applyNumberFormat="1" applyFont="1" applyFill="1" applyAlignment="1">
      <alignment horizontal="center"/>
    </xf>
    <xf numFmtId="10" fontId="10" fillId="0" borderId="0" xfId="37" applyNumberFormat="1" applyFont="1" applyFill="1" applyAlignment="1">
      <alignment horizontal="center"/>
    </xf>
    <xf numFmtId="5" fontId="10" fillId="0" borderId="0" xfId="100" applyNumberFormat="1" applyFill="1"/>
    <xf numFmtId="0" fontId="10" fillId="0" borderId="0" xfId="100" quotePrefix="1" applyFill="1"/>
    <xf numFmtId="166" fontId="44" fillId="0" borderId="0" xfId="0" applyNumberFormat="1" applyFont="1" applyFill="1"/>
    <xf numFmtId="167" fontId="10" fillId="0" borderId="0" xfId="28" applyNumberFormat="1" applyFont="1" applyFill="1" applyBorder="1" applyAlignment="1">
      <alignment horizontal="center"/>
    </xf>
    <xf numFmtId="0" fontId="14" fillId="0" borderId="0" xfId="0" quotePrefix="1" applyFont="1" applyFill="1" applyAlignment="1">
      <alignment horizontal="center" vertical="top"/>
    </xf>
    <xf numFmtId="0" fontId="11" fillId="0" borderId="7" xfId="28" applyFont="1" applyFill="1" applyBorder="1" applyAlignment="1">
      <alignment horizontal="center"/>
    </xf>
    <xf numFmtId="0" fontId="10" fillId="0" borderId="0" xfId="28" quotePrefix="1" applyFont="1" applyFill="1"/>
    <xf numFmtId="0" fontId="11" fillId="0" borderId="0" xfId="0" applyFont="1" applyFill="1" applyAlignment="1">
      <alignment horizontal="center" vertical="justify"/>
    </xf>
    <xf numFmtId="0" fontId="10" fillId="0" borderId="0" xfId="28" applyFont="1" applyFill="1" applyBorder="1" applyAlignment="1" applyProtection="1">
      <alignment horizontal="left" indent="2"/>
      <protection locked="0"/>
    </xf>
    <xf numFmtId="0" fontId="10" fillId="0" borderId="0" xfId="28" applyFont="1" applyFill="1" applyAlignment="1">
      <alignment horizontal="right"/>
    </xf>
    <xf numFmtId="10" fontId="10" fillId="0" borderId="0" xfId="28" applyNumberFormat="1" applyFont="1" applyFill="1"/>
    <xf numFmtId="0" fontId="17" fillId="0" borderId="0" xfId="28" applyFont="1" applyFill="1" applyAlignment="1">
      <alignment horizontal="center"/>
    </xf>
    <xf numFmtId="0" fontId="10" fillId="0" borderId="0" xfId="28" applyFont="1" applyFill="1" applyAlignment="1">
      <alignment horizontal="left" indent="2"/>
    </xf>
    <xf numFmtId="171" fontId="10" fillId="0" borderId="0" xfId="28" applyNumberFormat="1" applyFont="1" applyFill="1"/>
    <xf numFmtId="0" fontId="10" fillId="0" borderId="0" xfId="28" applyFont="1" applyFill="1" applyAlignment="1">
      <alignment horizontal="left" indent="3"/>
    </xf>
    <xf numFmtId="171" fontId="10" fillId="0" borderId="0" xfId="39" applyNumberFormat="1" applyFont="1" applyFill="1" applyBorder="1" applyAlignment="1">
      <alignment horizontal="center"/>
    </xf>
    <xf numFmtId="10" fontId="10" fillId="0" borderId="0" xfId="39" applyNumberFormat="1" applyFont="1" applyFill="1" applyAlignment="1">
      <alignment horizontal="center"/>
    </xf>
    <xf numFmtId="10" fontId="10" fillId="0" borderId="0" xfId="39" applyNumberFormat="1" applyFont="1" applyFill="1" applyBorder="1" applyAlignment="1">
      <alignment horizontal="center" vertical="justify" wrapText="1"/>
    </xf>
    <xf numFmtId="10" fontId="10" fillId="0" borderId="8" xfId="39" applyNumberFormat="1" applyFont="1" applyFill="1" applyBorder="1" applyAlignment="1">
      <alignment horizontal="center" wrapText="1"/>
    </xf>
    <xf numFmtId="0" fontId="56" fillId="0" borderId="0" xfId="0" applyFont="1" applyFill="1"/>
    <xf numFmtId="0" fontId="10" fillId="0" borderId="0" xfId="100" applyFont="1" applyFill="1" applyAlignment="1">
      <alignment horizontal="left" indent="2"/>
    </xf>
    <xf numFmtId="0" fontId="10" fillId="0" borderId="0" xfId="100" applyFont="1" applyFill="1" applyAlignment="1">
      <alignment horizontal="left"/>
    </xf>
    <xf numFmtId="37" fontId="10" fillId="0" borderId="3" xfId="0" applyNumberFormat="1" applyFont="1" applyFill="1" applyBorder="1" applyAlignment="1">
      <alignment horizontal="center"/>
    </xf>
    <xf numFmtId="37" fontId="10" fillId="0" borderId="3" xfId="97" quotePrefix="1" applyNumberFormat="1" applyFont="1" applyFill="1" applyBorder="1" applyAlignment="1">
      <alignment horizontal="center"/>
    </xf>
    <xf numFmtId="0" fontId="10" fillId="0" borderId="3" xfId="0" quotePrefix="1" applyNumberFormat="1" applyFont="1" applyFill="1" applyBorder="1"/>
    <xf numFmtId="0" fontId="10" fillId="0" borderId="3" xfId="0" quotePrefix="1" applyNumberFormat="1" applyFont="1" applyFill="1" applyBorder="1" applyAlignment="1">
      <alignment horizontal="center"/>
    </xf>
    <xf numFmtId="0" fontId="13" fillId="0" borderId="4" xfId="0" applyFont="1" applyFill="1" applyBorder="1" applyAlignment="1">
      <alignment horizontal="left"/>
    </xf>
    <xf numFmtId="49" fontId="10" fillId="0" borderId="0" xfId="22" applyNumberFormat="1" applyFont="1" applyFill="1" applyBorder="1" applyAlignment="1">
      <alignment horizontal="left"/>
    </xf>
    <xf numFmtId="49" fontId="13" fillId="0" borderId="0" xfId="22" quotePrefix="1" applyNumberFormat="1" applyFont="1" applyFill="1" applyBorder="1" applyAlignment="1">
      <alignment horizontal="left"/>
    </xf>
    <xf numFmtId="49" fontId="13" fillId="0" borderId="0" xfId="22" applyNumberFormat="1" applyFont="1" applyFill="1" applyBorder="1" applyAlignment="1">
      <alignment horizontal="left"/>
    </xf>
    <xf numFmtId="49" fontId="13" fillId="0" borderId="0" xfId="0" applyNumberFormat="1" applyFont="1" applyFill="1" applyBorder="1" applyAlignment="1">
      <alignment horizontal="left"/>
    </xf>
    <xf numFmtId="177" fontId="13" fillId="0" borderId="0" xfId="22" applyNumberFormat="1" applyFont="1" applyFill="1" applyBorder="1" applyAlignment="1">
      <alignment horizontal="center"/>
    </xf>
    <xf numFmtId="39" fontId="10" fillId="0" borderId="0" xfId="22" applyNumberFormat="1" applyFont="1" applyFill="1" applyBorder="1" applyAlignment="1">
      <alignment horizontal="right"/>
    </xf>
    <xf numFmtId="0" fontId="14" fillId="0" borderId="0" xfId="108" applyFont="1" applyFill="1" applyAlignment="1">
      <alignment horizontal="center"/>
    </xf>
    <xf numFmtId="0" fontId="14" fillId="0" borderId="0" xfId="108" applyFont="1" applyFill="1" applyAlignment="1">
      <alignment horizontal="left"/>
    </xf>
    <xf numFmtId="0" fontId="42" fillId="0" borderId="0" xfId="0" applyFont="1" applyFill="1"/>
    <xf numFmtId="0" fontId="11" fillId="0" borderId="0" xfId="108" applyFont="1" applyFill="1" applyAlignment="1"/>
    <xf numFmtId="0" fontId="14" fillId="0" borderId="0" xfId="108" applyFont="1" applyFill="1" applyAlignment="1"/>
    <xf numFmtId="0" fontId="10" fillId="0" borderId="0" xfId="108" applyFont="1" applyFill="1" applyAlignment="1">
      <alignment horizontal="left" indent="1"/>
    </xf>
    <xf numFmtId="0" fontId="11" fillId="0" borderId="0" xfId="0" applyFont="1" applyFill="1" applyAlignment="1">
      <alignment horizontal="left" indent="2"/>
    </xf>
    <xf numFmtId="0" fontId="42" fillId="0" borderId="0" xfId="0" applyFont="1" applyFill="1" applyAlignment="1">
      <alignment horizontal="center"/>
    </xf>
    <xf numFmtId="0" fontId="45" fillId="0" borderId="0" xfId="0" applyFont="1" applyFill="1" applyAlignment="1">
      <alignment horizontal="left" indent="1"/>
    </xf>
    <xf numFmtId="0" fontId="44" fillId="0" borderId="0" xfId="0" quotePrefix="1" applyFont="1" applyFill="1"/>
    <xf numFmtId="0" fontId="11" fillId="0" borderId="0" xfId="0" applyFont="1" applyFill="1" applyAlignment="1">
      <alignment horizontal="left" indent="1"/>
    </xf>
    <xf numFmtId="164" fontId="10" fillId="0" borderId="0" xfId="0" applyNumberFormat="1" applyFont="1" applyFill="1" applyAlignment="1"/>
    <xf numFmtId="0" fontId="45" fillId="0" borderId="0" xfId="0" applyFont="1" applyFill="1" applyAlignment="1">
      <alignment horizontal="left"/>
    </xf>
    <xf numFmtId="168" fontId="10" fillId="0" borderId="0" xfId="0" applyNumberFormat="1" applyFont="1" applyFill="1" applyAlignment="1">
      <alignment horizontal="left" indent="1"/>
    </xf>
    <xf numFmtId="0" fontId="10" fillId="0" borderId="0" xfId="0" applyNumberFormat="1" applyFont="1" applyFill="1" applyAlignment="1">
      <alignment horizontal="left"/>
    </xf>
    <xf numFmtId="0" fontId="10" fillId="0" borderId="0" xfId="0" applyFont="1" applyFill="1" applyBorder="1" applyAlignment="1">
      <alignment horizontal="left"/>
    </xf>
    <xf numFmtId="172" fontId="0" fillId="0" borderId="0" xfId="0" applyNumberFormat="1" applyFill="1"/>
    <xf numFmtId="171" fontId="0" fillId="0" borderId="0" xfId="0" applyNumberFormat="1" applyFill="1"/>
    <xf numFmtId="0" fontId="14" fillId="0" borderId="0" xfId="0" applyFont="1" applyFill="1" applyAlignment="1"/>
    <xf numFmtId="173" fontId="0" fillId="0" borderId="0" xfId="0" applyNumberFormat="1" applyFill="1"/>
    <xf numFmtId="0" fontId="11" fillId="0" borderId="0" xfId="28" applyFont="1" applyFill="1" applyAlignment="1">
      <alignment horizontal="right" vertical="center"/>
    </xf>
    <xf numFmtId="0" fontId="11" fillId="0" borderId="0" xfId="28" applyFont="1" applyFill="1" applyAlignment="1">
      <alignment horizontal="right"/>
    </xf>
    <xf numFmtId="42" fontId="13" fillId="0" borderId="0" xfId="20" applyNumberFormat="1" applyFont="1" applyFill="1" applyBorder="1"/>
    <xf numFmtId="164" fontId="13" fillId="0" borderId="0" xfId="20" applyNumberFormat="1" applyFont="1" applyFill="1" applyBorder="1"/>
    <xf numFmtId="0" fontId="26" fillId="0" borderId="0" xfId="28" applyFont="1" applyFill="1" applyAlignment="1">
      <alignment vertical="center"/>
    </xf>
    <xf numFmtId="0" fontId="13" fillId="0" borderId="0" xfId="28" applyFont="1" applyFill="1" applyAlignment="1">
      <alignment vertical="center"/>
    </xf>
    <xf numFmtId="164" fontId="13" fillId="0" borderId="0" xfId="39" applyNumberFormat="1" applyFont="1" applyFill="1"/>
    <xf numFmtId="164" fontId="10" fillId="0" borderId="0" xfId="106" applyNumberFormat="1" applyFont="1" applyFill="1"/>
    <xf numFmtId="0" fontId="21" fillId="0" borderId="0" xfId="100" applyFont="1" applyFill="1"/>
    <xf numFmtId="42" fontId="13" fillId="0" borderId="0" xfId="39" applyNumberFormat="1" applyFont="1" applyFill="1"/>
    <xf numFmtId="42" fontId="13" fillId="0" borderId="0" xfId="28" applyNumberFormat="1" applyFont="1" applyFill="1"/>
    <xf numFmtId="0" fontId="11" fillId="0" borderId="0" xfId="28" applyFont="1" applyFill="1" applyAlignment="1">
      <alignment horizontal="center" wrapText="1"/>
    </xf>
    <xf numFmtId="0" fontId="14" fillId="0" borderId="0" xfId="28" applyFont="1" applyFill="1"/>
    <xf numFmtId="164" fontId="10" fillId="0" borderId="0" xfId="28" applyNumberFormat="1" applyFont="1" applyFill="1"/>
    <xf numFmtId="168" fontId="13" fillId="0" borderId="0" xfId="28" applyNumberFormat="1" applyFont="1" applyFill="1"/>
    <xf numFmtId="0" fontId="10" fillId="0" borderId="0" xfId="28" applyFont="1" applyFill="1" applyAlignment="1">
      <alignment vertical="center"/>
    </xf>
    <xf numFmtId="0" fontId="21" fillId="0" borderId="0" xfId="28" applyFont="1" applyFill="1"/>
    <xf numFmtId="37" fontId="10" fillId="0" borderId="0" xfId="19" quotePrefix="1" applyNumberFormat="1" applyFont="1" applyFill="1" applyBorder="1"/>
    <xf numFmtId="37" fontId="0" fillId="0" borderId="8" xfId="19" applyNumberFormat="1" applyFont="1" applyFill="1" applyBorder="1"/>
    <xf numFmtId="164" fontId="17" fillId="36" borderId="0" xfId="23" applyNumberFormat="1" applyFont="1" applyFill="1" applyAlignment="1">
      <alignment horizontal="right"/>
    </xf>
    <xf numFmtId="164" fontId="10" fillId="36" borderId="0" xfId="125" applyNumberFormat="1" applyFill="1"/>
    <xf numFmtId="0" fontId="10" fillId="36" borderId="0" xfId="125" applyFill="1" applyAlignment="1">
      <alignment horizontal="center"/>
    </xf>
    <xf numFmtId="0" fontId="10" fillId="36" borderId="0" xfId="125" quotePrefix="1" applyFont="1" applyFill="1"/>
    <xf numFmtId="168" fontId="10" fillId="36" borderId="0" xfId="125" applyNumberFormat="1" applyFont="1" applyFill="1" applyAlignment="1">
      <alignment horizontal="left"/>
    </xf>
    <xf numFmtId="182" fontId="10" fillId="36" borderId="0" xfId="125" applyNumberFormat="1" applyFill="1" applyAlignment="1">
      <alignment horizontal="center"/>
    </xf>
    <xf numFmtId="0" fontId="10" fillId="36" borderId="0" xfId="125" applyFont="1" applyFill="1" applyAlignment="1">
      <alignment horizontal="center"/>
    </xf>
    <xf numFmtId="10" fontId="13" fillId="0" borderId="0" xfId="0" applyNumberFormat="1" applyFont="1" applyFill="1"/>
    <xf numFmtId="10" fontId="10" fillId="36" borderId="0" xfId="0" quotePrefix="1" applyNumberFormat="1" applyFont="1" applyFill="1" applyAlignment="1">
      <alignment horizontal="right"/>
    </xf>
    <xf numFmtId="164" fontId="10" fillId="0" borderId="8" xfId="96" applyNumberFormat="1" applyFont="1" applyBorder="1"/>
    <xf numFmtId="3" fontId="10" fillId="36" borderId="0" xfId="128" applyNumberFormat="1" applyFont="1" applyFill="1" applyAlignment="1">
      <alignment horizontal="center"/>
    </xf>
    <xf numFmtId="3" fontId="10" fillId="36" borderId="0" xfId="129" applyNumberFormat="1" applyFont="1" applyFill="1" applyAlignment="1">
      <alignment horizontal="center"/>
    </xf>
    <xf numFmtId="3" fontId="10" fillId="36" borderId="0" xfId="130" applyNumberFormat="1" applyFont="1" applyFill="1" applyAlignment="1">
      <alignment horizontal="center"/>
    </xf>
    <xf numFmtId="3" fontId="10" fillId="36" borderId="0" xfId="126" applyNumberFormat="1" applyFont="1" applyFill="1" applyBorder="1"/>
    <xf numFmtId="5" fontId="0" fillId="0" borderId="0" xfId="0" applyNumberFormat="1"/>
    <xf numFmtId="5" fontId="10" fillId="0" borderId="0" xfId="19" applyNumberFormat="1" applyFont="1" applyFill="1"/>
    <xf numFmtId="5" fontId="17" fillId="0" borderId="0" xfId="19" applyNumberFormat="1" applyFont="1" applyFill="1"/>
    <xf numFmtId="167" fontId="11" fillId="0" borderId="0" xfId="19" applyNumberFormat="1" applyFont="1" applyFill="1" applyAlignment="1">
      <alignment horizontal="center" wrapText="1"/>
    </xf>
    <xf numFmtId="7" fontId="0" fillId="0" borderId="0" xfId="0" applyNumberFormat="1"/>
    <xf numFmtId="2" fontId="10" fillId="0" borderId="0" xfId="0" applyNumberFormat="1" applyFont="1"/>
    <xf numFmtId="2" fontId="10" fillId="0" borderId="0" xfId="22" applyNumberFormat="1" applyFont="1" applyFill="1" applyBorder="1"/>
    <xf numFmtId="170" fontId="10" fillId="0" borderId="0" xfId="0" applyNumberFormat="1" applyFont="1"/>
    <xf numFmtId="170" fontId="10" fillId="0" borderId="0" xfId="22" applyNumberFormat="1" applyFont="1" applyFill="1" applyBorder="1"/>
    <xf numFmtId="171" fontId="11" fillId="0" borderId="0" xfId="37" applyNumberFormat="1" applyFont="1" applyBorder="1" applyAlignment="1">
      <alignment horizontal="center" vertical="center"/>
    </xf>
    <xf numFmtId="164" fontId="10" fillId="36" borderId="20" xfId="22" applyNumberFormat="1" applyFont="1" applyFill="1" applyBorder="1"/>
    <xf numFmtId="0" fontId="10" fillId="36" borderId="20" xfId="22" applyNumberFormat="1" applyFont="1" applyFill="1" applyBorder="1" applyAlignment="1">
      <alignment horizontal="center"/>
    </xf>
    <xf numFmtId="0" fontId="10" fillId="36" borderId="21" xfId="28" applyFont="1" applyFill="1" applyBorder="1" applyAlignment="1" applyProtection="1">
      <alignment horizontal="left" indent="1"/>
      <protection locked="0"/>
    </xf>
    <xf numFmtId="0" fontId="10" fillId="36" borderId="22" xfId="28" applyFont="1" applyFill="1" applyBorder="1"/>
    <xf numFmtId="164" fontId="10" fillId="36" borderId="23" xfId="0" applyNumberFormat="1" applyFont="1" applyFill="1" applyBorder="1"/>
    <xf numFmtId="164" fontId="17" fillId="36" borderId="24" xfId="0" applyNumberFormat="1" applyFont="1" applyFill="1" applyBorder="1"/>
    <xf numFmtId="164" fontId="10" fillId="36" borderId="20" xfId="19" applyNumberFormat="1" applyFont="1" applyFill="1" applyBorder="1"/>
    <xf numFmtId="164" fontId="10" fillId="36" borderId="26" xfId="0" applyNumberFormat="1" applyFont="1" applyFill="1" applyBorder="1"/>
    <xf numFmtId="164" fontId="44" fillId="0" borderId="0" xfId="0" applyNumberFormat="1" applyFont="1" applyFill="1" applyBorder="1"/>
    <xf numFmtId="164" fontId="44" fillId="0" borderId="0" xfId="0" applyNumberFormat="1" applyFont="1" applyBorder="1"/>
    <xf numFmtId="164" fontId="49" fillId="0" borderId="0" xfId="0" applyNumberFormat="1" applyFont="1" applyFill="1" applyBorder="1"/>
    <xf numFmtId="0" fontId="11" fillId="0" borderId="20" xfId="0" applyFont="1" applyBorder="1"/>
    <xf numFmtId="164" fontId="11" fillId="0" borderId="23" xfId="19" applyNumberFormat="1" applyFont="1" applyBorder="1" applyAlignment="1">
      <alignment vertical="center"/>
    </xf>
    <xf numFmtId="5" fontId="66" fillId="0" borderId="25" xfId="23" applyNumberFormat="1" applyFont="1" applyBorder="1"/>
    <xf numFmtId="164" fontId="67" fillId="0" borderId="24" xfId="34" applyNumberFormat="1" applyFont="1" applyBorder="1"/>
    <xf numFmtId="164" fontId="0" fillId="36" borderId="20" xfId="0" applyNumberFormat="1" applyFill="1" applyBorder="1"/>
    <xf numFmtId="164" fontId="10" fillId="36" borderId="20" xfId="125" applyNumberFormat="1" applyFill="1" applyBorder="1"/>
    <xf numFmtId="164" fontId="18" fillId="0" borderId="0" xfId="0" applyNumberFormat="1" applyFont="1" applyFill="1" applyBorder="1"/>
    <xf numFmtId="164" fontId="13" fillId="0" borderId="0" xfId="0" applyNumberFormat="1" applyFont="1" applyFill="1" applyBorder="1"/>
    <xf numFmtId="165" fontId="0" fillId="0" borderId="0" xfId="0" applyNumberFormat="1" applyFill="1" applyBorder="1"/>
    <xf numFmtId="164" fontId="0" fillId="38" borderId="0" xfId="0" applyNumberFormat="1" applyFill="1" applyBorder="1"/>
    <xf numFmtId="164" fontId="18" fillId="38" borderId="0" xfId="0" applyNumberFormat="1" applyFont="1" applyFill="1" applyBorder="1"/>
    <xf numFmtId="164" fontId="13" fillId="38" borderId="0" xfId="0" applyNumberFormat="1" applyFont="1" applyFill="1" applyBorder="1"/>
    <xf numFmtId="168" fontId="0" fillId="0" borderId="0" xfId="0" applyNumberFormat="1" applyFill="1" applyBorder="1"/>
    <xf numFmtId="164" fontId="10" fillId="38" borderId="14" xfId="0" applyNumberFormat="1" applyFont="1" applyFill="1" applyBorder="1"/>
    <xf numFmtId="164" fontId="10" fillId="38" borderId="0" xfId="0" applyNumberFormat="1" applyFont="1" applyFill="1"/>
    <xf numFmtId="165" fontId="10" fillId="38" borderId="0" xfId="0" applyNumberFormat="1" applyFont="1" applyFill="1"/>
    <xf numFmtId="164" fontId="0" fillId="38" borderId="0" xfId="0" applyNumberFormat="1" applyFill="1" applyAlignment="1"/>
    <xf numFmtId="164" fontId="44" fillId="38" borderId="27" xfId="0" applyNumberFormat="1" applyFont="1" applyFill="1" applyBorder="1"/>
    <xf numFmtId="165" fontId="17" fillId="38" borderId="0" xfId="20" applyNumberFormat="1" applyFont="1" applyFill="1" applyBorder="1" applyAlignment="1">
      <alignment horizontal="right"/>
    </xf>
    <xf numFmtId="164" fontId="10" fillId="38" borderId="0" xfId="20" applyNumberFormat="1" applyFont="1" applyFill="1" applyBorder="1" applyAlignment="1">
      <alignment horizontal="right"/>
    </xf>
    <xf numFmtId="164" fontId="10" fillId="38" borderId="0" xfId="0" applyNumberFormat="1" applyFont="1" applyFill="1" applyBorder="1"/>
    <xf numFmtId="164" fontId="44" fillId="38" borderId="0" xfId="0" applyNumberFormat="1" applyFont="1" applyFill="1" applyBorder="1"/>
    <xf numFmtId="164" fontId="17" fillId="38" borderId="0" xfId="0" applyNumberFormat="1" applyFont="1" applyFill="1" applyBorder="1"/>
    <xf numFmtId="164" fontId="49" fillId="38" borderId="0" xfId="0" applyNumberFormat="1" applyFont="1" applyFill="1" applyBorder="1"/>
    <xf numFmtId="164" fontId="10" fillId="38" borderId="25" xfId="0" applyNumberFormat="1" applyFont="1" applyFill="1" applyBorder="1"/>
    <xf numFmtId="184" fontId="17" fillId="38" borderId="25" xfId="0" applyNumberFormat="1" applyFont="1" applyFill="1" applyBorder="1"/>
    <xf numFmtId="164" fontId="44" fillId="38" borderId="24" xfId="0" applyNumberFormat="1" applyFont="1" applyFill="1" applyBorder="1"/>
    <xf numFmtId="0" fontId="11" fillId="38" borderId="23" xfId="0" applyFont="1" applyFill="1" applyBorder="1" applyAlignment="1">
      <alignment horizontal="center"/>
    </xf>
    <xf numFmtId="0" fontId="11" fillId="38" borderId="25" xfId="0" applyFont="1" applyFill="1" applyBorder="1" applyAlignment="1">
      <alignment horizontal="center"/>
    </xf>
    <xf numFmtId="164" fontId="10" fillId="38" borderId="0" xfId="28" applyNumberFormat="1" applyFont="1" applyFill="1" applyBorder="1" applyAlignment="1">
      <alignment horizontal="center"/>
    </xf>
    <xf numFmtId="164" fontId="10" fillId="0" borderId="8" xfId="28" applyNumberFormat="1" applyFont="1" applyFill="1" applyBorder="1" applyAlignment="1">
      <alignment horizontal="center"/>
    </xf>
    <xf numFmtId="5" fontId="10" fillId="0" borderId="8" xfId="28" quotePrefix="1" applyNumberFormat="1" applyFont="1" applyFill="1" applyBorder="1" applyAlignment="1">
      <alignment horizontal="right"/>
    </xf>
    <xf numFmtId="164" fontId="10" fillId="38" borderId="0" xfId="22" applyNumberFormat="1" applyFont="1" applyFill="1" applyBorder="1" applyAlignment="1">
      <alignment horizontal="center"/>
    </xf>
    <xf numFmtId="164" fontId="10" fillId="38" borderId="0" xfId="22" applyNumberFormat="1" applyFont="1" applyFill="1" applyBorder="1"/>
    <xf numFmtId="167" fontId="10" fillId="38" borderId="0" xfId="28" applyNumberFormat="1" applyFont="1" applyFill="1" applyBorder="1"/>
    <xf numFmtId="167" fontId="10" fillId="38" borderId="0" xfId="28" applyNumberFormat="1" applyFont="1" applyFill="1" applyBorder="1" applyAlignment="1">
      <alignment horizontal="center"/>
    </xf>
    <xf numFmtId="0" fontId="10" fillId="38" borderId="0" xfId="39" applyNumberFormat="1" applyFont="1" applyFill="1" applyBorder="1" applyAlignment="1">
      <alignment horizontal="center" wrapText="1"/>
    </xf>
    <xf numFmtId="167" fontId="10" fillId="38" borderId="0" xfId="28" applyNumberFormat="1" applyFont="1" applyFill="1" applyBorder="1" applyAlignment="1"/>
    <xf numFmtId="167" fontId="10" fillId="38" borderId="0" xfId="22" applyNumberFormat="1" applyFont="1" applyFill="1" applyBorder="1" applyAlignment="1"/>
    <xf numFmtId="171" fontId="10" fillId="38" borderId="0" xfId="39" applyNumberFormat="1" applyFont="1" applyFill="1" applyBorder="1" applyAlignment="1">
      <alignment horizontal="center" wrapText="1"/>
    </xf>
    <xf numFmtId="167" fontId="10" fillId="38" borderId="0" xfId="22" applyNumberFormat="1" applyFont="1" applyFill="1" applyBorder="1" applyAlignment="1">
      <alignment horizontal="center" wrapText="1"/>
    </xf>
    <xf numFmtId="167" fontId="10" fillId="38" borderId="0" xfId="22" applyNumberFormat="1" applyFont="1" applyFill="1" applyBorder="1"/>
    <xf numFmtId="167" fontId="10" fillId="0" borderId="8" xfId="28" applyNumberFormat="1" applyFont="1" applyFill="1" applyBorder="1"/>
    <xf numFmtId="167" fontId="10" fillId="38" borderId="8" xfId="22" applyNumberFormat="1" applyFont="1" applyFill="1" applyBorder="1" applyAlignment="1">
      <alignment horizontal="center" wrapText="1"/>
    </xf>
    <xf numFmtId="171" fontId="10" fillId="38" borderId="0" xfId="28" applyNumberFormat="1" applyFont="1" applyFill="1" applyBorder="1"/>
    <xf numFmtId="0" fontId="14" fillId="0" borderId="0" xfId="0" quotePrefix="1" applyFont="1" applyFill="1" applyBorder="1" applyAlignment="1">
      <alignment horizontal="center"/>
    </xf>
    <xf numFmtId="164" fontId="10" fillId="36" borderId="21" xfId="0" applyNumberFormat="1" applyFont="1" applyFill="1" applyBorder="1"/>
    <xf numFmtId="37" fontId="44" fillId="36" borderId="32" xfId="81" applyNumberFormat="1" applyFont="1" applyFill="1" applyBorder="1" applyAlignment="1">
      <alignment horizontal="right"/>
    </xf>
    <xf numFmtId="164" fontId="44" fillId="36" borderId="32" xfId="0" applyNumberFormat="1" applyFont="1" applyFill="1" applyBorder="1"/>
    <xf numFmtId="164" fontId="10" fillId="36" borderId="32" xfId="0" applyNumberFormat="1" applyFont="1" applyFill="1" applyBorder="1"/>
    <xf numFmtId="164" fontId="10" fillId="36" borderId="22" xfId="0" applyNumberFormat="1" applyFont="1" applyFill="1" applyBorder="1"/>
    <xf numFmtId="164" fontId="17" fillId="36" borderId="21" xfId="0" applyNumberFormat="1" applyFont="1" applyFill="1" applyBorder="1"/>
    <xf numFmtId="164" fontId="17" fillId="36" borderId="32" xfId="0" applyNumberFormat="1" applyFont="1" applyFill="1" applyBorder="1"/>
    <xf numFmtId="164" fontId="49" fillId="38" borderId="33" xfId="0" applyNumberFormat="1" applyFont="1" applyFill="1" applyBorder="1"/>
    <xf numFmtId="164" fontId="44" fillId="38" borderId="0" xfId="0" applyNumberFormat="1" applyFont="1" applyFill="1"/>
    <xf numFmtId="164" fontId="13" fillId="38" borderId="0" xfId="19" applyNumberFormat="1" applyFont="1" applyFill="1" applyBorder="1"/>
    <xf numFmtId="164" fontId="44" fillId="38" borderId="0" xfId="0" applyNumberFormat="1" applyFont="1" applyFill="1" applyAlignment="1">
      <alignment horizontal="right"/>
    </xf>
    <xf numFmtId="164" fontId="10" fillId="36" borderId="28" xfId="0" applyNumberFormat="1" applyFont="1" applyFill="1" applyBorder="1"/>
    <xf numFmtId="164" fontId="10" fillId="36" borderId="33" xfId="0" applyNumberFormat="1" applyFont="1" applyFill="1" applyBorder="1"/>
    <xf numFmtId="164" fontId="10" fillId="36" borderId="34" xfId="0" applyNumberFormat="1" applyFont="1" applyFill="1" applyBorder="1"/>
    <xf numFmtId="164" fontId="17" fillId="36" borderId="29" xfId="0" applyNumberFormat="1" applyFont="1" applyFill="1" applyBorder="1"/>
    <xf numFmtId="164" fontId="17" fillId="36" borderId="31" xfId="0" applyNumberFormat="1" applyFont="1" applyFill="1" applyBorder="1"/>
    <xf numFmtId="164" fontId="10" fillId="36" borderId="0" xfId="0" applyNumberFormat="1" applyFont="1" applyFill="1" applyBorder="1"/>
    <xf numFmtId="164" fontId="10" fillId="36" borderId="30" xfId="0" applyNumberFormat="1" applyFont="1" applyFill="1" applyBorder="1"/>
    <xf numFmtId="164" fontId="44" fillId="36" borderId="26" xfId="0" applyNumberFormat="1" applyFont="1" applyFill="1" applyBorder="1"/>
    <xf numFmtId="164" fontId="44" fillId="36" borderId="28" xfId="0" applyNumberFormat="1" applyFont="1" applyFill="1" applyBorder="1"/>
    <xf numFmtId="164" fontId="44" fillId="36" borderId="33" xfId="0" applyNumberFormat="1" applyFont="1" applyFill="1" applyBorder="1"/>
    <xf numFmtId="164" fontId="44" fillId="36" borderId="34" xfId="0" applyNumberFormat="1" applyFont="1" applyFill="1" applyBorder="1"/>
    <xf numFmtId="164" fontId="49" fillId="36" borderId="29" xfId="0" applyNumberFormat="1" applyFont="1" applyFill="1" applyBorder="1"/>
    <xf numFmtId="164" fontId="49" fillId="36" borderId="31" xfId="0" applyNumberFormat="1" applyFont="1" applyFill="1" applyBorder="1"/>
    <xf numFmtId="164" fontId="49" fillId="36" borderId="20" xfId="0" applyNumberFormat="1" applyFont="1" applyFill="1" applyBorder="1"/>
    <xf numFmtId="164" fontId="44" fillId="36" borderId="20" xfId="0" applyNumberFormat="1" applyFont="1" applyFill="1" applyBorder="1"/>
    <xf numFmtId="164" fontId="49" fillId="38" borderId="0" xfId="0" applyNumberFormat="1" applyFont="1" applyFill="1"/>
    <xf numFmtId="164" fontId="17" fillId="38" borderId="0" xfId="0" applyNumberFormat="1" applyFont="1" applyFill="1"/>
    <xf numFmtId="164" fontId="0" fillId="38" borderId="0" xfId="0" applyNumberFormat="1" applyFill="1"/>
    <xf numFmtId="164" fontId="17" fillId="36" borderId="22" xfId="0" applyNumberFormat="1" applyFont="1" applyFill="1" applyBorder="1"/>
    <xf numFmtId="164" fontId="44" fillId="38" borderId="30" xfId="0" applyNumberFormat="1" applyFont="1" applyFill="1" applyBorder="1"/>
    <xf numFmtId="165" fontId="10" fillId="38" borderId="0" xfId="20" applyNumberFormat="1" applyFont="1" applyFill="1" applyBorder="1" applyAlignment="1">
      <alignment horizontal="right"/>
    </xf>
    <xf numFmtId="164" fontId="0" fillId="0" borderId="0" xfId="0" applyNumberFormat="1" applyBorder="1"/>
    <xf numFmtId="0" fontId="44" fillId="0" borderId="0" xfId="0" applyFont="1" applyBorder="1"/>
    <xf numFmtId="0" fontId="10" fillId="0" borderId="0" xfId="0" applyFont="1" applyBorder="1" applyAlignment="1">
      <alignment horizontal="right"/>
    </xf>
    <xf numFmtId="164" fontId="10" fillId="38" borderId="0" xfId="100" applyNumberFormat="1" applyFont="1" applyFill="1" applyBorder="1" applyAlignment="1">
      <alignment horizontal="right"/>
    </xf>
    <xf numFmtId="164" fontId="10" fillId="38" borderId="0" xfId="96" applyNumberFormat="1" applyFont="1" applyFill="1" applyBorder="1"/>
    <xf numFmtId="168" fontId="10" fillId="38" borderId="8" xfId="96" applyNumberFormat="1" applyFont="1" applyFill="1" applyBorder="1"/>
    <xf numFmtId="164" fontId="13" fillId="38" borderId="0" xfId="0" applyNumberFormat="1" applyFont="1" applyFill="1" applyAlignment="1">
      <alignment horizontal="right"/>
    </xf>
    <xf numFmtId="164" fontId="0" fillId="38" borderId="0" xfId="0" applyNumberFormat="1" applyFill="1" applyAlignment="1">
      <alignment horizontal="right"/>
    </xf>
    <xf numFmtId="164" fontId="17" fillId="38" borderId="0" xfId="0" applyNumberFormat="1" applyFont="1" applyFill="1" applyAlignment="1">
      <alignment horizontal="right"/>
    </xf>
    <xf numFmtId="164" fontId="10" fillId="38" borderId="0" xfId="0" applyNumberFormat="1" applyFont="1" applyFill="1" applyAlignment="1">
      <alignment horizontal="right"/>
    </xf>
    <xf numFmtId="164" fontId="0" fillId="36" borderId="26" xfId="0" applyNumberFormat="1" applyFill="1" applyBorder="1"/>
    <xf numFmtId="164" fontId="0" fillId="36" borderId="33" xfId="0" applyNumberFormat="1" applyFill="1" applyBorder="1"/>
    <xf numFmtId="164" fontId="0" fillId="36" borderId="34" xfId="0" applyNumberFormat="1" applyFill="1" applyBorder="1"/>
    <xf numFmtId="164" fontId="0" fillId="36" borderId="29" xfId="0" applyNumberFormat="1" applyFill="1" applyBorder="1"/>
    <xf numFmtId="164" fontId="0" fillId="36" borderId="31" xfId="0" applyNumberFormat="1" applyFill="1" applyBorder="1"/>
    <xf numFmtId="164" fontId="0" fillId="36" borderId="23" xfId="0" applyNumberFormat="1" applyFill="1" applyBorder="1"/>
    <xf numFmtId="164" fontId="0" fillId="36" borderId="25" xfId="0" applyNumberFormat="1" applyFill="1" applyBorder="1"/>
    <xf numFmtId="164" fontId="0" fillId="36" borderId="24" xfId="0" applyNumberFormat="1" applyFill="1" applyBorder="1"/>
    <xf numFmtId="164" fontId="10" fillId="36" borderId="23" xfId="0" applyNumberFormat="1" applyFont="1" applyFill="1" applyBorder="1" applyAlignment="1">
      <alignment horizontal="right"/>
    </xf>
    <xf numFmtId="164" fontId="10" fillId="36" borderId="25" xfId="0" applyNumberFormat="1" applyFont="1" applyFill="1" applyBorder="1" applyAlignment="1">
      <alignment horizontal="right"/>
    </xf>
    <xf numFmtId="164" fontId="17" fillId="36" borderId="24" xfId="0" applyNumberFormat="1" applyFont="1" applyFill="1" applyBorder="1" applyAlignment="1">
      <alignment horizontal="right"/>
    </xf>
    <xf numFmtId="165" fontId="10" fillId="38" borderId="0" xfId="0" applyNumberFormat="1" applyFont="1" applyFill="1" applyBorder="1"/>
    <xf numFmtId="3" fontId="44" fillId="38" borderId="0" xfId="0" applyNumberFormat="1" applyFont="1" applyFill="1" applyAlignment="1">
      <alignment horizontal="right"/>
    </xf>
    <xf numFmtId="168" fontId="13" fillId="38" borderId="0" xfId="20" applyNumberFormat="1" applyFont="1" applyFill="1" applyBorder="1" applyAlignment="1">
      <alignment horizontal="right"/>
    </xf>
    <xf numFmtId="164" fontId="13" fillId="38" borderId="0" xfId="20" applyNumberFormat="1" applyFont="1" applyFill="1" applyBorder="1" applyAlignment="1">
      <alignment horizontal="right"/>
    </xf>
    <xf numFmtId="165" fontId="17" fillId="0" borderId="0" xfId="20" applyNumberFormat="1" applyFont="1" applyFill="1" applyBorder="1" applyAlignment="1">
      <alignment horizontal="right"/>
    </xf>
    <xf numFmtId="164" fontId="18" fillId="38" borderId="0" xfId="0" applyNumberFormat="1" applyFont="1" applyFill="1"/>
    <xf numFmtId="164" fontId="44" fillId="36" borderId="23" xfId="0" applyNumberFormat="1" applyFont="1" applyFill="1" applyBorder="1"/>
    <xf numFmtId="164" fontId="49" fillId="36" borderId="24" xfId="0" applyNumberFormat="1" applyFont="1" applyFill="1" applyBorder="1"/>
    <xf numFmtId="164" fontId="10" fillId="38" borderId="8" xfId="0" applyNumberFormat="1" applyFont="1" applyFill="1" applyBorder="1"/>
    <xf numFmtId="164" fontId="10" fillId="38" borderId="15" xfId="108" applyNumberFormat="1" applyFill="1" applyBorder="1"/>
    <xf numFmtId="164" fontId="10" fillId="38" borderId="0" xfId="108" applyNumberFormat="1" applyFill="1"/>
    <xf numFmtId="164" fontId="10" fillId="38" borderId="16" xfId="108" applyNumberFormat="1" applyFill="1" applyBorder="1"/>
    <xf numFmtId="164" fontId="10" fillId="38" borderId="8" xfId="108" applyNumberFormat="1" applyFont="1" applyFill="1" applyBorder="1" applyAlignment="1">
      <alignment horizontal="right"/>
    </xf>
    <xf numFmtId="165" fontId="0" fillId="38" borderId="8" xfId="37" applyNumberFormat="1" applyFont="1" applyFill="1" applyBorder="1"/>
    <xf numFmtId="164" fontId="0" fillId="38" borderId="15" xfId="19" applyNumberFormat="1" applyFont="1" applyFill="1" applyBorder="1"/>
    <xf numFmtId="164" fontId="0" fillId="38" borderId="15" xfId="0" applyNumberFormat="1" applyFill="1" applyBorder="1"/>
    <xf numFmtId="165" fontId="13" fillId="38" borderId="0" xfId="0" applyNumberFormat="1" applyFont="1" applyFill="1"/>
    <xf numFmtId="164" fontId="13" fillId="38" borderId="0" xfId="0" applyNumberFormat="1" applyFont="1" applyFill="1"/>
    <xf numFmtId="0" fontId="11" fillId="38" borderId="26" xfId="28" applyNumberFormat="1" applyFont="1" applyFill="1" applyBorder="1" applyAlignment="1">
      <alignment horizontal="right"/>
    </xf>
    <xf numFmtId="184" fontId="14" fillId="38" borderId="28" xfId="19" applyNumberFormat="1" applyFont="1" applyFill="1" applyBorder="1" applyAlignment="1">
      <alignment horizontal="right"/>
    </xf>
    <xf numFmtId="0" fontId="11" fillId="38" borderId="29" xfId="28" applyNumberFormat="1" applyFont="1" applyFill="1" applyBorder="1" applyAlignment="1">
      <alignment horizontal="right"/>
    </xf>
    <xf numFmtId="184" fontId="11" fillId="38" borderId="31" xfId="28" applyNumberFormat="1" applyFont="1" applyFill="1" applyBorder="1" applyAlignment="1">
      <alignment horizontal="right"/>
    </xf>
    <xf numFmtId="165" fontId="18" fillId="38" borderId="0" xfId="0" applyNumberFormat="1" applyFont="1" applyFill="1" applyBorder="1"/>
    <xf numFmtId="165" fontId="0" fillId="38" borderId="0" xfId="0" applyNumberFormat="1" applyFill="1" applyBorder="1"/>
    <xf numFmtId="165" fontId="44" fillId="38" borderId="0" xfId="0" applyNumberFormat="1" applyFont="1" applyFill="1" applyBorder="1"/>
    <xf numFmtId="166" fontId="44" fillId="38" borderId="0" xfId="0" applyNumberFormat="1" applyFont="1" applyFill="1" applyBorder="1"/>
    <xf numFmtId="165" fontId="0" fillId="38" borderId="0" xfId="0" applyNumberFormat="1" applyFill="1"/>
    <xf numFmtId="164" fontId="13" fillId="38" borderId="0" xfId="0" quotePrefix="1" applyNumberFormat="1" applyFont="1" applyFill="1" applyAlignment="1">
      <alignment horizontal="right"/>
    </xf>
    <xf numFmtId="174" fontId="0" fillId="0" borderId="0" xfId="0" applyNumberFormat="1" applyBorder="1"/>
    <xf numFmtId="166" fontId="0" fillId="0" borderId="0" xfId="0" applyNumberFormat="1" applyBorder="1"/>
    <xf numFmtId="169" fontId="0" fillId="0" borderId="0" xfId="0" applyNumberFormat="1" applyBorder="1"/>
    <xf numFmtId="166" fontId="0" fillId="0" borderId="0" xfId="0" applyNumberFormat="1" applyBorder="1" applyAlignment="1"/>
    <xf numFmtId="164" fontId="17" fillId="0" borderId="0" xfId="0" applyNumberFormat="1" applyFont="1" applyBorder="1"/>
    <xf numFmtId="185" fontId="10" fillId="36" borderId="0" xfId="100" quotePrefix="1" applyNumberFormat="1" applyFont="1" applyFill="1" applyBorder="1" applyAlignment="1">
      <alignment horizontal="left"/>
    </xf>
    <xf numFmtId="0" fontId="54" fillId="0" borderId="0" xfId="0" applyFont="1" applyFill="1" applyBorder="1"/>
    <xf numFmtId="165" fontId="17" fillId="0" borderId="0" xfId="0" applyNumberFormat="1" applyFont="1" applyFill="1" applyBorder="1"/>
    <xf numFmtId="0" fontId="44" fillId="0" borderId="0" xfId="0" applyFont="1" applyFill="1" applyBorder="1"/>
    <xf numFmtId="0" fontId="10" fillId="36" borderId="0" xfId="0" applyNumberFormat="1" applyFont="1" applyFill="1" applyAlignment="1">
      <alignment horizontal="center"/>
    </xf>
    <xf numFmtId="0" fontId="11" fillId="0" borderId="6" xfId="28" applyFont="1" applyFill="1" applyBorder="1" applyAlignment="1">
      <alignment horizontal="center"/>
    </xf>
    <xf numFmtId="0" fontId="11" fillId="0" borderId="9" xfId="28" applyFont="1" applyFill="1" applyBorder="1" applyAlignment="1">
      <alignment horizontal="center"/>
    </xf>
    <xf numFmtId="0" fontId="11" fillId="0" borderId="4" xfId="28" applyFont="1" applyFill="1" applyBorder="1" applyAlignment="1">
      <alignment horizontal="center"/>
    </xf>
    <xf numFmtId="0" fontId="11" fillId="0" borderId="7" xfId="28" applyFont="1" applyBorder="1" applyAlignment="1">
      <alignment horizontal="center"/>
    </xf>
    <xf numFmtId="0" fontId="11" fillId="0" borderId="5" xfId="28" applyFont="1" applyBorder="1" applyAlignment="1">
      <alignment horizontal="center"/>
    </xf>
    <xf numFmtId="0" fontId="11" fillId="0" borderId="3" xfId="28" applyFont="1" applyFill="1" applyBorder="1" applyAlignment="1">
      <alignment horizontal="center"/>
    </xf>
    <xf numFmtId="0" fontId="11" fillId="0" borderId="9" xfId="28" applyFont="1" applyBorder="1" applyAlignment="1">
      <alignment horizontal="center"/>
    </xf>
    <xf numFmtId="0" fontId="11" fillId="0" borderId="4" xfId="28" applyFont="1" applyBorder="1" applyAlignment="1">
      <alignment horizontal="center"/>
    </xf>
    <xf numFmtId="0" fontId="11" fillId="0" borderId="3" xfId="28" applyFont="1" applyBorder="1" applyAlignment="1"/>
    <xf numFmtId="0" fontId="11" fillId="0" borderId="6" xfId="28" applyFont="1" applyBorder="1" applyAlignment="1">
      <alignment horizontal="center"/>
    </xf>
    <xf numFmtId="0" fontId="10" fillId="0" borderId="0" xfId="0" applyFont="1" applyFill="1" applyBorder="1" applyAlignment="1">
      <alignment vertical="top" wrapText="1"/>
    </xf>
    <xf numFmtId="0" fontId="0" fillId="0" borderId="0" xfId="0" applyFill="1" applyAlignment="1">
      <alignment vertical="top" wrapText="1"/>
    </xf>
    <xf numFmtId="0" fontId="0" fillId="0" borderId="0" xfId="0" applyFill="1" applyAlignment="1"/>
    <xf numFmtId="39" fontId="13" fillId="0" borderId="6" xfId="22" applyNumberFormat="1" applyFont="1" applyBorder="1" applyAlignment="1">
      <alignment horizontal="center"/>
    </xf>
    <xf numFmtId="0" fontId="0" fillId="0" borderId="9" xfId="0" applyBorder="1"/>
    <xf numFmtId="0" fontId="0" fillId="0" borderId="4" xfId="0" applyBorder="1"/>
    <xf numFmtId="0" fontId="11" fillId="0" borderId="6" xfId="0" applyNumberFormat="1" applyFont="1" applyFill="1" applyBorder="1" applyAlignment="1">
      <alignment wrapText="1"/>
    </xf>
    <xf numFmtId="0" fontId="0" fillId="0" borderId="9" xfId="0" applyBorder="1" applyAlignment="1">
      <alignment wrapText="1"/>
    </xf>
    <xf numFmtId="0" fontId="0" fillId="0" borderId="4" xfId="0" applyBorder="1" applyAlignment="1">
      <alignment wrapText="1"/>
    </xf>
    <xf numFmtId="0" fontId="11" fillId="0" borderId="3" xfId="0" applyNumberFormat="1" applyFont="1" applyFill="1" applyBorder="1" applyAlignment="1">
      <alignment wrapText="1"/>
    </xf>
    <xf numFmtId="0" fontId="0" fillId="0" borderId="3" xfId="0" applyBorder="1" applyAlignment="1">
      <alignment wrapText="1"/>
    </xf>
    <xf numFmtId="0" fontId="11" fillId="0" borderId="6" xfId="0" applyFont="1" applyFill="1" applyBorder="1" applyAlignment="1"/>
    <xf numFmtId="0" fontId="0" fillId="0" borderId="9" xfId="0" applyBorder="1" applyAlignment="1"/>
    <xf numFmtId="0" fontId="0" fillId="0" borderId="4" xfId="0" applyBorder="1" applyAlignment="1"/>
    <xf numFmtId="0" fontId="11" fillId="0" borderId="6" xfId="0" applyNumberFormat="1" applyFont="1" applyFill="1" applyBorder="1" applyAlignment="1"/>
    <xf numFmtId="0" fontId="13" fillId="0" borderId="0" xfId="0" applyFont="1" applyFill="1" applyBorder="1" applyAlignment="1">
      <alignment vertical="top" wrapText="1"/>
    </xf>
    <xf numFmtId="0" fontId="0" fillId="0" borderId="0" xfId="0" applyAlignment="1">
      <alignment vertical="top" wrapText="1"/>
    </xf>
    <xf numFmtId="0" fontId="0" fillId="0" borderId="0" xfId="0" applyAlignment="1"/>
    <xf numFmtId="0" fontId="13" fillId="0" borderId="6" xfId="0" applyFont="1" applyFill="1" applyBorder="1" applyAlignment="1">
      <alignment horizontal="left"/>
    </xf>
    <xf numFmtId="0" fontId="13" fillId="0" borderId="4" xfId="0" applyFont="1" applyFill="1" applyBorder="1" applyAlignment="1">
      <alignment horizontal="left"/>
    </xf>
    <xf numFmtId="0" fontId="11" fillId="0" borderId="3" xfId="0" applyFont="1" applyFill="1" applyBorder="1" applyAlignment="1">
      <alignment wrapText="1"/>
    </xf>
    <xf numFmtId="0" fontId="0" fillId="0" borderId="9" xfId="0" applyFill="1" applyBorder="1" applyAlignment="1"/>
    <xf numFmtId="0" fontId="0" fillId="0" borderId="4" xfId="0" applyFill="1" applyBorder="1" applyAlignment="1"/>
    <xf numFmtId="0" fontId="0" fillId="0" borderId="0" xfId="0" applyFill="1" applyAlignment="1">
      <alignment wrapText="1"/>
    </xf>
    <xf numFmtId="0" fontId="11" fillId="0" borderId="10" xfId="0" applyNumberFormat="1" applyFont="1" applyFill="1" applyBorder="1" applyAlignment="1">
      <alignment wrapText="1"/>
    </xf>
    <xf numFmtId="0" fontId="0" fillId="0" borderId="8" xfId="0" applyBorder="1" applyAlignment="1">
      <alignment wrapText="1"/>
    </xf>
    <xf numFmtId="0" fontId="0" fillId="0" borderId="11" xfId="0" applyBorder="1" applyAlignment="1">
      <alignment wrapText="1"/>
    </xf>
    <xf numFmtId="0" fontId="10" fillId="0" borderId="0" xfId="0" applyFont="1" applyFill="1" applyBorder="1" applyAlignment="1">
      <alignment wrapText="1"/>
    </xf>
    <xf numFmtId="0" fontId="0" fillId="0" borderId="0" xfId="0" applyAlignment="1">
      <alignment wrapText="1"/>
    </xf>
    <xf numFmtId="0" fontId="13" fillId="0" borderId="0" xfId="0" applyFont="1" applyAlignment="1">
      <alignment horizontal="left" wrapText="1"/>
    </xf>
    <xf numFmtId="0" fontId="50" fillId="0" borderId="0" xfId="0" applyFont="1" applyAlignment="1">
      <alignment horizontal="left" wrapText="1"/>
    </xf>
    <xf numFmtId="0" fontId="10" fillId="0" borderId="12" xfId="126" applyFont="1" applyFill="1" applyBorder="1" applyAlignment="1">
      <alignment horizontal="center"/>
    </xf>
    <xf numFmtId="0" fontId="10" fillId="0" borderId="14" xfId="126" applyFont="1" applyFill="1" applyBorder="1" applyAlignment="1">
      <alignment horizontal="center"/>
    </xf>
    <xf numFmtId="0" fontId="10" fillId="0" borderId="13" xfId="126" applyFont="1" applyFill="1" applyBorder="1" applyAlignment="1">
      <alignment horizontal="center"/>
    </xf>
    <xf numFmtId="0" fontId="10" fillId="0" borderId="6" xfId="126" applyFont="1" applyFill="1" applyBorder="1" applyAlignment="1">
      <alignment horizontal="center" wrapText="1"/>
    </xf>
    <xf numFmtId="0" fontId="10" fillId="0" borderId="9" xfId="126" applyFont="1" applyFill="1" applyBorder="1" applyAlignment="1">
      <alignment horizontal="center" wrapText="1"/>
    </xf>
    <xf numFmtId="0" fontId="10" fillId="0" borderId="4" xfId="126" applyFont="1" applyFill="1" applyBorder="1" applyAlignment="1">
      <alignment horizontal="center" wrapText="1"/>
    </xf>
    <xf numFmtId="166" fontId="10" fillId="0" borderId="18" xfId="126" applyNumberFormat="1" applyBorder="1" applyAlignment="1">
      <alignment horizontal="center"/>
    </xf>
  </cellXfs>
  <cellStyles count="162">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omma 2 2" xfId="21"/>
    <cellStyle name="Comma 2 2 2" xfId="96"/>
    <cellStyle name="Comma 2 3" xfId="95"/>
    <cellStyle name="Comma 2 4" xfId="83"/>
    <cellStyle name="Comma 3" xfId="22"/>
    <cellStyle name="Comma 3 2" xfId="97"/>
    <cellStyle name="Comma 4" xfId="94"/>
    <cellStyle name="Comma 5" xfId="139"/>
    <cellStyle name="Comma 8" xfId="133"/>
    <cellStyle name="Currency" xfId="23" builtinId="4"/>
    <cellStyle name="Currency 2" xfId="98"/>
    <cellStyle name="Currency 3" xfId="140"/>
    <cellStyle name="Emphasis 1" xfId="24"/>
    <cellStyle name="Emphasis 2" xfId="25"/>
    <cellStyle name="Emphasis 3" xfId="26"/>
    <cellStyle name="Hyperlink" xfId="27" builtinId="8"/>
    <cellStyle name="Normal" xfId="0" builtinId="0"/>
    <cellStyle name="Normal 10" xfId="125"/>
    <cellStyle name="Normal 10 6" xfId="135"/>
    <cellStyle name="Normal 12" xfId="128"/>
    <cellStyle name="Normal 13" xfId="130"/>
    <cellStyle name="Normal 14" xfId="129"/>
    <cellStyle name="Normal 15" xfId="132"/>
    <cellStyle name="Normal 16" xfId="131"/>
    <cellStyle name="Normal 2" xfId="28"/>
    <cellStyle name="Normal 2 2" xfId="29"/>
    <cellStyle name="Normal 2 2 2" xfId="100"/>
    <cellStyle name="Normal 2 3" xfId="30"/>
    <cellStyle name="Normal 2 3 2" xfId="101"/>
    <cellStyle name="Normal 2 4" xfId="31"/>
    <cellStyle name="Normal 2 4 2" xfId="102"/>
    <cellStyle name="Normal 2 5" xfId="99"/>
    <cellStyle name="Normal 2 6" xfId="82"/>
    <cellStyle name="Normal 2 6 2" xfId="110"/>
    <cellStyle name="Normal 2 6 2 2" xfId="116"/>
    <cellStyle name="Normal 2 6 2 2 2" xfId="153"/>
    <cellStyle name="Normal 2 6 2 3" xfId="120"/>
    <cellStyle name="Normal 2 6 2 3 2" xfId="157"/>
    <cellStyle name="Normal 2 6 2 4" xfId="124"/>
    <cellStyle name="Normal 2 6 2 4 2" xfId="161"/>
    <cellStyle name="Normal 2 6 2 5" xfId="147"/>
    <cellStyle name="Normal 2 6 2 6" xfId="143"/>
    <cellStyle name="Normal 2 6 3" xfId="111"/>
    <cellStyle name="Normal 2 6 3 2" xfId="148"/>
    <cellStyle name="Normal 2 6 4" xfId="114"/>
    <cellStyle name="Normal 2 6 4 2" xfId="151"/>
    <cellStyle name="Normal 2 6 5" xfId="118"/>
    <cellStyle name="Normal 2 6 5 2" xfId="155"/>
    <cellStyle name="Normal 2 6 6" xfId="122"/>
    <cellStyle name="Normal 2 6 6 2" xfId="159"/>
    <cellStyle name="Normal 2 6 7" xfId="145"/>
    <cellStyle name="Normal 2 6 8" xfId="137"/>
    <cellStyle name="Normal 2 7" xfId="127"/>
    <cellStyle name="Normal 3" xfId="80"/>
    <cellStyle name="Normal 3 2" xfId="32"/>
    <cellStyle name="Normal 3 2 2" xfId="103"/>
    <cellStyle name="Normal 4" xfId="33"/>
    <cellStyle name="Normal 4 2" xfId="104"/>
    <cellStyle name="Normal 5" xfId="93"/>
    <cellStyle name="Normal 5 2" xfId="107"/>
    <cellStyle name="Normal 6" xfId="81"/>
    <cellStyle name="Normal 6 2" xfId="109"/>
    <cellStyle name="Normal 6 2 2" xfId="115"/>
    <cellStyle name="Normal 6 2 2 2" xfId="152"/>
    <cellStyle name="Normal 6 2 3" xfId="119"/>
    <cellStyle name="Normal 6 2 3 2" xfId="156"/>
    <cellStyle name="Normal 6 2 4" xfId="123"/>
    <cellStyle name="Normal 6 2 4 2" xfId="160"/>
    <cellStyle name="Normal 6 2 5" xfId="146"/>
    <cellStyle name="Normal 6 2 6" xfId="142"/>
    <cellStyle name="Normal 6 3" xfId="112"/>
    <cellStyle name="Normal 6 3 2" xfId="149"/>
    <cellStyle name="Normal 6 4" xfId="113"/>
    <cellStyle name="Normal 6 4 2" xfId="150"/>
    <cellStyle name="Normal 6 5" xfId="117"/>
    <cellStyle name="Normal 6 5 2" xfId="154"/>
    <cellStyle name="Normal 6 6" xfId="121"/>
    <cellStyle name="Normal 6 6 2" xfId="158"/>
    <cellStyle name="Normal 6 7" xfId="144"/>
    <cellStyle name="Normal 6 8" xfId="136"/>
    <cellStyle name="Normal 7" xfId="108"/>
    <cellStyle name="Normal 8" xfId="126"/>
    <cellStyle name="Normal 9" xfId="138"/>
    <cellStyle name="Normal_2008 ISO Transmission Study test v1" xfId="34"/>
    <cellStyle name="Normal_Rate-Design" xfId="35"/>
    <cellStyle name="Normal_Statement AD Period I 2004" xfId="36"/>
    <cellStyle name="Percent" xfId="37" builtinId="5"/>
    <cellStyle name="Percent 2" xfId="38"/>
    <cellStyle name="Percent 3" xfId="39"/>
    <cellStyle name="Percent 3 2" xfId="106"/>
    <cellStyle name="Percent 3 3" xfId="134"/>
    <cellStyle name="Percent 4" xfId="105"/>
    <cellStyle name="Percent 5" xfId="141"/>
    <cellStyle name="SAPBEXaggData" xfId="40"/>
    <cellStyle name="SAPBEXaggDataEmph" xfId="41"/>
    <cellStyle name="SAPBEXaggItem" xfId="42"/>
    <cellStyle name="SAPBEXaggItemX" xfId="43"/>
    <cellStyle name="SAPBEXchaText" xfId="44"/>
    <cellStyle name="SAPBEXexcBad7" xfId="45"/>
    <cellStyle name="SAPBEXexcBad8" xfId="46"/>
    <cellStyle name="SAPBEXexcBad9" xfId="47"/>
    <cellStyle name="SAPBEXexcCritical4" xfId="48"/>
    <cellStyle name="SAPBEXexcCritical5" xfId="49"/>
    <cellStyle name="SAPBEXexcCritical6" xfId="50"/>
    <cellStyle name="SAPBEXexcGood1" xfId="51"/>
    <cellStyle name="SAPBEXexcGood2" xfId="52"/>
    <cellStyle name="SAPBEXexcGood3" xfId="53"/>
    <cellStyle name="SAPBEXfilterDrill" xfId="54"/>
    <cellStyle name="SAPBEXfilterItem" xfId="55"/>
    <cellStyle name="SAPBEXfilterText" xfId="56"/>
    <cellStyle name="SAPBEXformats" xfId="57"/>
    <cellStyle name="SAPBEXheaderItem" xfId="58"/>
    <cellStyle name="SAPBEXheaderText" xfId="59"/>
    <cellStyle name="SAPBEXHLevel0" xfId="60"/>
    <cellStyle name="SAPBEXHLevel0 2" xfId="84"/>
    <cellStyle name="SAPBEXHLevel0X" xfId="61"/>
    <cellStyle name="SAPBEXHLevel0X 2" xfId="85"/>
    <cellStyle name="SAPBEXHLevel1" xfId="62"/>
    <cellStyle name="SAPBEXHLevel1 2" xfId="86"/>
    <cellStyle name="SAPBEXHLevel1X" xfId="63"/>
    <cellStyle name="SAPBEXHLevel1X 2" xfId="87"/>
    <cellStyle name="SAPBEXHLevel2" xfId="64"/>
    <cellStyle name="SAPBEXHLevel2 2" xfId="88"/>
    <cellStyle name="SAPBEXHLevel2X" xfId="65"/>
    <cellStyle name="SAPBEXHLevel2X 2" xfId="89"/>
    <cellStyle name="SAPBEXHLevel3" xfId="66"/>
    <cellStyle name="SAPBEXHLevel3 2" xfId="90"/>
    <cellStyle name="SAPBEXHLevel3X" xfId="67"/>
    <cellStyle name="SAPBEXHLevel3X 2" xfId="91"/>
    <cellStyle name="SAPBEXinputData" xfId="68"/>
    <cellStyle name="SAPBEXinputData 2" xfId="92"/>
    <cellStyle name="SAPBEXresData" xfId="69"/>
    <cellStyle name="SAPBEXresDataEmph" xfId="70"/>
    <cellStyle name="SAPBEXresItem" xfId="71"/>
    <cellStyle name="SAPBEXresItemX" xfId="72"/>
    <cellStyle name="SAPBEXstdData" xfId="73"/>
    <cellStyle name="SAPBEXstdDataEmph" xfId="74"/>
    <cellStyle name="SAPBEXstdItem" xfId="75"/>
    <cellStyle name="SAPBEXstdItemX" xfId="76"/>
    <cellStyle name="SAPBEXtitle" xfId="77"/>
    <cellStyle name="SAPBEXundefined" xfId="78"/>
    <cellStyle name="Sheet Title" xfId="79"/>
  </cellStyles>
  <dxfs count="9">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2"/>
        </patternFill>
      </fill>
    </dxf>
    <dxf>
      <font>
        <condense val="0"/>
        <extend val="0"/>
        <color auto="1"/>
      </font>
    </dxf>
    <dxf>
      <font>
        <condense val="0"/>
        <extend val="0"/>
        <color auto="1"/>
      </font>
    </dxf>
  </dxfs>
  <tableStyles count="0" defaultTableStyle="TableStyleMedium9" defaultPivotStyle="PivotStyleLight16"/>
  <colors>
    <mruColors>
      <color rgb="FFFFCCCC"/>
      <color rgb="FFFF99CC"/>
      <color rgb="FFFF9999"/>
      <color rgb="FF99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D7"/>
  <sheetViews>
    <sheetView tabSelected="1" view="pageLayout" zoomScaleNormal="100" workbookViewId="0">
      <selection activeCell="J7" sqref="J7"/>
    </sheetView>
  </sheetViews>
  <sheetFormatPr defaultRowHeight="12.75" x14ac:dyDescent="0.2"/>
  <cols>
    <col min="3" max="3" width="8.42578125" customWidth="1"/>
  </cols>
  <sheetData>
    <row r="5" spans="3:4" ht="26.25" x14ac:dyDescent="0.4">
      <c r="C5" s="714" t="s">
        <v>2322</v>
      </c>
    </row>
    <row r="6" spans="3:4" x14ac:dyDescent="0.2">
      <c r="D6" s="1"/>
    </row>
    <row r="7" spans="3:4" ht="20.25" x14ac:dyDescent="0.3">
      <c r="D7" s="715" t="s">
        <v>2323</v>
      </c>
    </row>
  </sheetData>
  <pageMargins left="0.7" right="0.7" top="0.75" bottom="0.75" header="0.3" footer="0.3"/>
  <pageSetup orientation="portrait" r:id="rId1"/>
  <headerFooter>
    <oddHeader>&amp;C&amp;"Arial,Bold"
&amp;RTO8 Annual Update (Revised)
Attachment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2"/>
  <sheetViews>
    <sheetView view="pageLayout" zoomScaleNormal="100" workbookViewId="0">
      <selection activeCell="E14" sqref="E14"/>
    </sheetView>
  </sheetViews>
  <sheetFormatPr defaultRowHeight="12.75" x14ac:dyDescent="0.2"/>
  <cols>
    <col min="1" max="1" width="4.7109375" customWidth="1"/>
    <col min="2" max="2" width="10.7109375" customWidth="1"/>
    <col min="3" max="13" width="13.7109375" customWidth="1"/>
  </cols>
  <sheetData>
    <row r="1" spans="1:13" x14ac:dyDescent="0.2">
      <c r="A1" s="446" t="s">
        <v>1329</v>
      </c>
      <c r="B1" s="247"/>
      <c r="C1" s="247"/>
      <c r="D1" s="247"/>
      <c r="E1" s="247"/>
      <c r="F1" s="247"/>
      <c r="G1" s="247"/>
      <c r="H1" s="247"/>
      <c r="I1" s="558" t="s">
        <v>18</v>
      </c>
      <c r="J1" s="447"/>
      <c r="K1" s="247"/>
      <c r="L1" s="247"/>
    </row>
    <row r="2" spans="1:13" x14ac:dyDescent="0.2">
      <c r="A2" s="446"/>
      <c r="B2" s="247"/>
      <c r="C2" s="247"/>
      <c r="D2" s="247"/>
      <c r="E2" s="247"/>
      <c r="F2" s="247"/>
      <c r="G2" s="247"/>
      <c r="H2" s="247"/>
      <c r="I2" s="247"/>
      <c r="J2" s="247"/>
      <c r="K2" s="247"/>
      <c r="L2" s="247"/>
    </row>
    <row r="3" spans="1:13" x14ac:dyDescent="0.2">
      <c r="A3" s="446"/>
      <c r="B3" s="446" t="s">
        <v>353</v>
      </c>
      <c r="C3" s="247"/>
      <c r="D3" s="247"/>
      <c r="E3" s="247"/>
      <c r="F3" s="247"/>
      <c r="G3" s="247"/>
      <c r="H3" s="247"/>
      <c r="I3" s="247"/>
      <c r="J3" s="247"/>
      <c r="K3" s="247"/>
      <c r="L3" s="247"/>
    </row>
    <row r="4" spans="1:13" x14ac:dyDescent="0.2">
      <c r="A4" s="446"/>
      <c r="B4" s="446"/>
      <c r="C4" s="247"/>
      <c r="D4" s="247"/>
      <c r="E4" s="247"/>
      <c r="F4" s="247"/>
      <c r="G4" s="247"/>
      <c r="H4" s="247"/>
      <c r="I4" s="247"/>
      <c r="J4" s="247"/>
      <c r="K4" s="247"/>
      <c r="L4" s="247"/>
    </row>
    <row r="5" spans="1:13" x14ac:dyDescent="0.2">
      <c r="A5" s="446"/>
      <c r="B5" s="548" t="s">
        <v>1762</v>
      </c>
      <c r="C5" s="247"/>
      <c r="D5" s="247"/>
      <c r="E5" s="247"/>
      <c r="F5" s="247"/>
      <c r="G5" s="247"/>
      <c r="H5" s="548"/>
      <c r="I5" s="1146" t="s">
        <v>2031</v>
      </c>
      <c r="J5" s="1145">
        <v>2012</v>
      </c>
      <c r="K5" s="247"/>
      <c r="L5" s="247"/>
    </row>
    <row r="6" spans="1:13" x14ac:dyDescent="0.2">
      <c r="A6" s="446"/>
      <c r="B6" s="548"/>
      <c r="C6" s="247"/>
      <c r="D6" s="247"/>
      <c r="E6" s="247"/>
      <c r="F6" s="247"/>
      <c r="G6" s="247"/>
      <c r="H6" s="247"/>
      <c r="I6" s="247"/>
      <c r="J6" s="247"/>
      <c r="K6" s="247"/>
      <c r="L6" s="247"/>
    </row>
    <row r="7" spans="1:13" x14ac:dyDescent="0.2">
      <c r="A7" s="446"/>
      <c r="B7" s="90" t="s">
        <v>396</v>
      </c>
      <c r="C7" s="90" t="s">
        <v>380</v>
      </c>
      <c r="D7" s="90" t="s">
        <v>381</v>
      </c>
      <c r="E7" s="90" t="s">
        <v>382</v>
      </c>
      <c r="F7" s="90" t="s">
        <v>383</v>
      </c>
      <c r="G7" s="90" t="s">
        <v>384</v>
      </c>
      <c r="H7" s="90" t="s">
        <v>385</v>
      </c>
      <c r="I7" s="90" t="s">
        <v>599</v>
      </c>
      <c r="J7" s="90" t="s">
        <v>1048</v>
      </c>
      <c r="K7" s="90" t="s">
        <v>1064</v>
      </c>
      <c r="L7" s="90" t="s">
        <v>1067</v>
      </c>
      <c r="M7" s="90" t="s">
        <v>1085</v>
      </c>
    </row>
    <row r="8" spans="1:13" x14ac:dyDescent="0.2">
      <c r="A8" s="247"/>
      <c r="B8" s="515"/>
      <c r="C8" s="247"/>
      <c r="D8" s="247"/>
      <c r="E8" s="247"/>
      <c r="F8" s="247"/>
      <c r="G8" s="247"/>
      <c r="H8" s="247"/>
      <c r="I8" s="247"/>
      <c r="J8" s="247"/>
      <c r="K8" s="247"/>
      <c r="M8" s="268" t="s">
        <v>1387</v>
      </c>
    </row>
    <row r="9" spans="1:13" x14ac:dyDescent="0.2">
      <c r="A9" s="247"/>
      <c r="B9" s="117"/>
      <c r="C9" s="90"/>
      <c r="D9" s="90"/>
      <c r="E9" s="247"/>
      <c r="F9" s="247"/>
      <c r="G9" s="247"/>
      <c r="H9" s="247"/>
      <c r="I9" s="247"/>
      <c r="J9" s="247"/>
      <c r="K9" s="247"/>
      <c r="L9" s="247"/>
    </row>
    <row r="10" spans="1:13" ht="13.5" thickBot="1" x14ac:dyDescent="0.25">
      <c r="A10" s="52" t="s">
        <v>362</v>
      </c>
      <c r="B10" s="131" t="s">
        <v>2084</v>
      </c>
      <c r="C10" s="90">
        <v>350.1</v>
      </c>
      <c r="D10" s="90">
        <v>350.2</v>
      </c>
      <c r="E10" s="90">
        <v>352</v>
      </c>
      <c r="F10" s="90">
        <v>353</v>
      </c>
      <c r="G10" s="90">
        <v>354</v>
      </c>
      <c r="H10" s="90">
        <v>355</v>
      </c>
      <c r="I10" s="90">
        <v>356</v>
      </c>
      <c r="J10" s="90">
        <v>357</v>
      </c>
      <c r="K10" s="90">
        <v>358</v>
      </c>
      <c r="L10" s="90">
        <v>359</v>
      </c>
      <c r="M10" s="3" t="s">
        <v>217</v>
      </c>
    </row>
    <row r="11" spans="1:13" ht="13.5" thickBot="1" x14ac:dyDescent="0.25">
      <c r="A11" s="585">
        <v>1</v>
      </c>
      <c r="B11" s="699" t="s">
        <v>2656</v>
      </c>
      <c r="C11" s="1322">
        <v>74561042.511944845</v>
      </c>
      <c r="D11" s="1323">
        <v>82048952.015439242</v>
      </c>
      <c r="E11" s="1324">
        <v>169829370.97173184</v>
      </c>
      <c r="F11" s="1325">
        <v>1741359026.8398581</v>
      </c>
      <c r="G11" s="1325">
        <v>550516805.87664819</v>
      </c>
      <c r="H11" s="1325">
        <v>132075054.09375262</v>
      </c>
      <c r="I11" s="1325">
        <v>421892563.39699292</v>
      </c>
      <c r="J11" s="1325">
        <v>558943.05572319392</v>
      </c>
      <c r="K11" s="1325">
        <v>3408604.1449359828</v>
      </c>
      <c r="L11" s="1326">
        <v>110352407.07531106</v>
      </c>
      <c r="M11" s="1330">
        <f t="shared" ref="M11:M23" si="0">SUM(C11:L11)</f>
        <v>3286602769.982338</v>
      </c>
    </row>
    <row r="12" spans="1:13" x14ac:dyDescent="0.2">
      <c r="A12" s="585">
        <f>A11+1</f>
        <v>2</v>
      </c>
      <c r="B12" s="700" t="s">
        <v>2657</v>
      </c>
      <c r="C12" s="1330">
        <f t="shared" ref="C12:C22" si="1">C146+C94 +C11</f>
        <v>74561042.511944845</v>
      </c>
      <c r="D12" s="1332">
        <f t="shared" ref="D12:D22" si="2">D146+D94 +D11</f>
        <v>82076974.605616346</v>
      </c>
      <c r="E12" s="1330">
        <f t="shared" ref="E12:E22" si="3">E146+E94 +E11</f>
        <v>169874061.87850419</v>
      </c>
      <c r="F12" s="1330">
        <f t="shared" ref="F12:F22" si="4">F146+F94 +F11</f>
        <v>1745089792.099664</v>
      </c>
      <c r="G12" s="1330">
        <f t="shared" ref="G12:G22" si="5">G146+G94 +G11</f>
        <v>551808633.25355101</v>
      </c>
      <c r="H12" s="1330">
        <f t="shared" ref="H12:H22" si="6">H146+H94 +H11</f>
        <v>132952401.94089179</v>
      </c>
      <c r="I12" s="1330">
        <f t="shared" ref="I12:I22" si="7">I146+I94 +I11</f>
        <v>422452127.19937187</v>
      </c>
      <c r="J12" s="251">
        <f t="shared" ref="J12:J22" si="8">J146+J94 +J11</f>
        <v>559031.49235707941</v>
      </c>
      <c r="K12" s="251">
        <f t="shared" ref="K12:K22" si="9">K146+K94 +K11</f>
        <v>3563547.0617986568</v>
      </c>
      <c r="L12" s="1330">
        <f t="shared" ref="L12:L22" si="10">L146+L94 +L11</f>
        <v>110352311.25034752</v>
      </c>
      <c r="M12" s="1330">
        <f t="shared" si="0"/>
        <v>3293289923.2940474</v>
      </c>
    </row>
    <row r="13" spans="1:13" x14ac:dyDescent="0.2">
      <c r="A13" s="585">
        <f t="shared" ref="A13:A24" si="11">A12+1</f>
        <v>3</v>
      </c>
      <c r="B13" s="699" t="s">
        <v>2658</v>
      </c>
      <c r="C13" s="1330">
        <f t="shared" si="1"/>
        <v>76904828.75194484</v>
      </c>
      <c r="D13" s="1332">
        <f t="shared" si="2"/>
        <v>98668295.402239397</v>
      </c>
      <c r="E13" s="1330">
        <f t="shared" si="3"/>
        <v>197439336.91411382</v>
      </c>
      <c r="F13" s="1330">
        <f t="shared" si="4"/>
        <v>1872801381.8102803</v>
      </c>
      <c r="G13" s="1330">
        <f t="shared" si="5"/>
        <v>551991309.34585619</v>
      </c>
      <c r="H13" s="1330">
        <f t="shared" si="6"/>
        <v>133258865.45193692</v>
      </c>
      <c r="I13" s="1330">
        <f t="shared" si="7"/>
        <v>422665943.51690561</v>
      </c>
      <c r="J13" s="251">
        <f t="shared" si="8"/>
        <v>488561.07170734345</v>
      </c>
      <c r="K13" s="251">
        <f t="shared" si="9"/>
        <v>3606876.6173063279</v>
      </c>
      <c r="L13" s="1330">
        <f t="shared" si="10"/>
        <v>110256977.67379253</v>
      </c>
      <c r="M13" s="1330">
        <f t="shared" si="0"/>
        <v>3468082376.5560827</v>
      </c>
    </row>
    <row r="14" spans="1:13" x14ac:dyDescent="0.2">
      <c r="A14" s="585">
        <f t="shared" si="11"/>
        <v>4</v>
      </c>
      <c r="B14" s="699" t="s">
        <v>2659</v>
      </c>
      <c r="C14" s="1330">
        <f t="shared" si="1"/>
        <v>77016994.427896053</v>
      </c>
      <c r="D14" s="1332">
        <f t="shared" si="2"/>
        <v>100165924.05792078</v>
      </c>
      <c r="E14" s="1330">
        <f t="shared" si="3"/>
        <v>197648309.896763</v>
      </c>
      <c r="F14" s="1330">
        <f t="shared" si="4"/>
        <v>1879136358.4832084</v>
      </c>
      <c r="G14" s="1330">
        <f t="shared" si="5"/>
        <v>552309753.46936154</v>
      </c>
      <c r="H14" s="1330">
        <f t="shared" si="6"/>
        <v>133880913.31541264</v>
      </c>
      <c r="I14" s="1330">
        <f t="shared" si="7"/>
        <v>422904731.2660802</v>
      </c>
      <c r="J14" s="251">
        <f t="shared" si="8"/>
        <v>491674.92935935617</v>
      </c>
      <c r="K14" s="251">
        <f t="shared" si="9"/>
        <v>3593326.6578374305</v>
      </c>
      <c r="L14" s="1330">
        <f t="shared" si="10"/>
        <v>109816758.12261117</v>
      </c>
      <c r="M14" s="1330">
        <f t="shared" si="0"/>
        <v>3476964744.6264505</v>
      </c>
    </row>
    <row r="15" spans="1:13" x14ac:dyDescent="0.2">
      <c r="A15" s="585">
        <f t="shared" si="11"/>
        <v>5</v>
      </c>
      <c r="B15" s="700" t="s">
        <v>2660</v>
      </c>
      <c r="C15" s="1330">
        <f t="shared" si="1"/>
        <v>77016994.427896053</v>
      </c>
      <c r="D15" s="1332">
        <f t="shared" si="2"/>
        <v>100135923.77232622</v>
      </c>
      <c r="E15" s="1330">
        <f t="shared" si="3"/>
        <v>198227376.11395162</v>
      </c>
      <c r="F15" s="1330">
        <f t="shared" si="4"/>
        <v>1891077305.2750614</v>
      </c>
      <c r="G15" s="1330">
        <f t="shared" si="5"/>
        <v>622529569.51515055</v>
      </c>
      <c r="H15" s="1330">
        <f t="shared" si="6"/>
        <v>135319580.45474413</v>
      </c>
      <c r="I15" s="1330">
        <f t="shared" si="7"/>
        <v>463396022.85328692</v>
      </c>
      <c r="J15" s="251">
        <f t="shared" si="8"/>
        <v>491640.96921242547</v>
      </c>
      <c r="K15" s="251">
        <f t="shared" si="9"/>
        <v>3592336.3589852182</v>
      </c>
      <c r="L15" s="1330">
        <f t="shared" si="10"/>
        <v>123440107.64055307</v>
      </c>
      <c r="M15" s="1330">
        <f t="shared" si="0"/>
        <v>3615226857.3811679</v>
      </c>
    </row>
    <row r="16" spans="1:13" x14ac:dyDescent="0.2">
      <c r="A16" s="585">
        <f t="shared" si="11"/>
        <v>6</v>
      </c>
      <c r="B16" s="699" t="s">
        <v>2661</v>
      </c>
      <c r="C16" s="1330">
        <f t="shared" si="1"/>
        <v>77016994.427896053</v>
      </c>
      <c r="D16" s="1332">
        <f t="shared" si="2"/>
        <v>100200225.66723305</v>
      </c>
      <c r="E16" s="1330">
        <f t="shared" si="3"/>
        <v>198293704.14619684</v>
      </c>
      <c r="F16" s="1330">
        <f t="shared" si="4"/>
        <v>1897361702.0714102</v>
      </c>
      <c r="G16" s="1330">
        <f t="shared" si="5"/>
        <v>621379898.00169933</v>
      </c>
      <c r="H16" s="1330">
        <f t="shared" si="6"/>
        <v>135109101.86310929</v>
      </c>
      <c r="I16" s="1330">
        <f t="shared" si="7"/>
        <v>462949214.36155879</v>
      </c>
      <c r="J16" s="251">
        <f t="shared" si="8"/>
        <v>506887.0817250805</v>
      </c>
      <c r="K16" s="251">
        <f t="shared" si="9"/>
        <v>3643218.9079888719</v>
      </c>
      <c r="L16" s="1330">
        <f t="shared" si="10"/>
        <v>123460440.46663174</v>
      </c>
      <c r="M16" s="1330">
        <f t="shared" si="0"/>
        <v>3619921386.9954495</v>
      </c>
    </row>
    <row r="17" spans="1:15" x14ac:dyDescent="0.2">
      <c r="A17" s="585">
        <f t="shared" si="11"/>
        <v>7</v>
      </c>
      <c r="B17" s="699" t="s">
        <v>2662</v>
      </c>
      <c r="C17" s="1330">
        <f t="shared" si="1"/>
        <v>77308952.122897133</v>
      </c>
      <c r="D17" s="1332">
        <f t="shared" si="2"/>
        <v>100038275.14544813</v>
      </c>
      <c r="E17" s="1330">
        <f t="shared" si="3"/>
        <v>199449311.64802295</v>
      </c>
      <c r="F17" s="1330">
        <f t="shared" si="4"/>
        <v>1914963180.218323</v>
      </c>
      <c r="G17" s="1330">
        <f t="shared" si="5"/>
        <v>621160654.75114465</v>
      </c>
      <c r="H17" s="1330">
        <f t="shared" si="6"/>
        <v>135550317.39837691</v>
      </c>
      <c r="I17" s="1330">
        <f t="shared" si="7"/>
        <v>463258753.92590934</v>
      </c>
      <c r="J17" s="251">
        <f t="shared" si="8"/>
        <v>572626.95403998368</v>
      </c>
      <c r="K17" s="251">
        <f t="shared" si="9"/>
        <v>3699721.4695636532</v>
      </c>
      <c r="L17" s="1330">
        <f t="shared" si="10"/>
        <v>123391751.75300801</v>
      </c>
      <c r="M17" s="1330">
        <f t="shared" si="0"/>
        <v>3639393545.3867335</v>
      </c>
    </row>
    <row r="18" spans="1:15" x14ac:dyDescent="0.2">
      <c r="A18" s="585">
        <f t="shared" si="11"/>
        <v>8</v>
      </c>
      <c r="B18" s="700" t="s">
        <v>2663</v>
      </c>
      <c r="C18" s="1330">
        <f t="shared" si="1"/>
        <v>77308952.122897133</v>
      </c>
      <c r="D18" s="1332">
        <f t="shared" si="2"/>
        <v>100038280.84898329</v>
      </c>
      <c r="E18" s="1330">
        <f t="shared" si="3"/>
        <v>200586956.211366</v>
      </c>
      <c r="F18" s="1330">
        <f t="shared" si="4"/>
        <v>1947014566.2102458</v>
      </c>
      <c r="G18" s="1330">
        <f t="shared" si="5"/>
        <v>621484566.78426087</v>
      </c>
      <c r="H18" s="1330">
        <f t="shared" si="6"/>
        <v>137143379.25929666</v>
      </c>
      <c r="I18" s="1330">
        <f t="shared" si="7"/>
        <v>468919541.08902407</v>
      </c>
      <c r="J18" s="251">
        <f t="shared" si="8"/>
        <v>567366.28674882441</v>
      </c>
      <c r="K18" s="251">
        <f t="shared" si="9"/>
        <v>3685095.6285293791</v>
      </c>
      <c r="L18" s="1330">
        <f t="shared" si="10"/>
        <v>123513761.06227975</v>
      </c>
      <c r="M18" s="1330">
        <f t="shared" si="0"/>
        <v>3680262465.5036321</v>
      </c>
    </row>
    <row r="19" spans="1:15" x14ac:dyDescent="0.2">
      <c r="A19" s="585">
        <f t="shared" si="11"/>
        <v>9</v>
      </c>
      <c r="B19" s="699" t="s">
        <v>2664</v>
      </c>
      <c r="C19" s="1330">
        <f t="shared" si="1"/>
        <v>77308952.122897133</v>
      </c>
      <c r="D19" s="1332">
        <f t="shared" si="2"/>
        <v>108801602.94020353</v>
      </c>
      <c r="E19" s="1330">
        <f t="shared" si="3"/>
        <v>200259671.94902271</v>
      </c>
      <c r="F19" s="1330">
        <f t="shared" si="4"/>
        <v>2052047859.5546982</v>
      </c>
      <c r="G19" s="1330">
        <f t="shared" si="5"/>
        <v>626904509.97120583</v>
      </c>
      <c r="H19" s="1330">
        <f t="shared" si="6"/>
        <v>140659391.15995497</v>
      </c>
      <c r="I19" s="1330">
        <f t="shared" si="7"/>
        <v>460429912.32560098</v>
      </c>
      <c r="J19" s="251">
        <f t="shared" si="8"/>
        <v>567362.39176256221</v>
      </c>
      <c r="K19" s="251">
        <f t="shared" si="9"/>
        <v>3683455.0203507515</v>
      </c>
      <c r="L19" s="1330">
        <f t="shared" si="10"/>
        <v>123756234.0781856</v>
      </c>
      <c r="M19" s="1330">
        <f t="shared" si="0"/>
        <v>3794418951.5138826</v>
      </c>
    </row>
    <row r="20" spans="1:15" x14ac:dyDescent="0.2">
      <c r="A20" s="585">
        <f t="shared" si="11"/>
        <v>10</v>
      </c>
      <c r="B20" s="699" t="s">
        <v>2665</v>
      </c>
      <c r="C20" s="1330">
        <f t="shared" si="1"/>
        <v>77308952.122897133</v>
      </c>
      <c r="D20" s="1332">
        <f t="shared" si="2"/>
        <v>108579563.0742241</v>
      </c>
      <c r="E20" s="1330">
        <f t="shared" si="3"/>
        <v>200802399.42636177</v>
      </c>
      <c r="F20" s="1330">
        <f t="shared" si="4"/>
        <v>2055695509.264168</v>
      </c>
      <c r="G20" s="1330">
        <f t="shared" si="5"/>
        <v>628771941.91514492</v>
      </c>
      <c r="H20" s="1330">
        <f t="shared" si="6"/>
        <v>142203987.13275051</v>
      </c>
      <c r="I20" s="1330">
        <f t="shared" si="7"/>
        <v>460573197.13630164</v>
      </c>
      <c r="J20" s="251">
        <f t="shared" si="8"/>
        <v>567908.57018263859</v>
      </c>
      <c r="K20" s="251">
        <f t="shared" si="9"/>
        <v>3681832.2180163525</v>
      </c>
      <c r="L20" s="1376">
        <f t="shared" si="10"/>
        <v>123992159.72875403</v>
      </c>
      <c r="M20" s="1330">
        <f t="shared" si="0"/>
        <v>3802177450.5888009</v>
      </c>
    </row>
    <row r="21" spans="1:15" x14ac:dyDescent="0.2">
      <c r="A21" s="585">
        <f t="shared" si="11"/>
        <v>11</v>
      </c>
      <c r="B21" s="700" t="s">
        <v>2666</v>
      </c>
      <c r="C21" s="1330">
        <f t="shared" si="1"/>
        <v>77308952.122897133</v>
      </c>
      <c r="D21" s="1332">
        <f t="shared" si="2"/>
        <v>108582226.43813592</v>
      </c>
      <c r="E21" s="1330">
        <f t="shared" si="3"/>
        <v>201449846.06356212</v>
      </c>
      <c r="F21" s="1330">
        <f t="shared" si="4"/>
        <v>2021919311.8436604</v>
      </c>
      <c r="G21" s="1330">
        <f t="shared" si="5"/>
        <v>629754839.47926366</v>
      </c>
      <c r="H21" s="1330">
        <f t="shared" si="6"/>
        <v>142508993.6808534</v>
      </c>
      <c r="I21" s="1330">
        <f t="shared" si="7"/>
        <v>461080269.80336231</v>
      </c>
      <c r="J21" s="251">
        <f t="shared" si="8"/>
        <v>568415.64980982244</v>
      </c>
      <c r="K21" s="251">
        <f t="shared" si="9"/>
        <v>3697358.4711751905</v>
      </c>
      <c r="L21" s="1330">
        <f t="shared" si="10"/>
        <v>124348813.92875403</v>
      </c>
      <c r="M21" s="1330">
        <f t="shared" si="0"/>
        <v>3771219027.4814739</v>
      </c>
    </row>
    <row r="22" spans="1:15" ht="13.5" thickBot="1" x14ac:dyDescent="0.25">
      <c r="A22" s="585">
        <f t="shared" si="11"/>
        <v>12</v>
      </c>
      <c r="B22" s="700" t="s">
        <v>2667</v>
      </c>
      <c r="C22" s="1330">
        <f t="shared" si="1"/>
        <v>77320751.811228737</v>
      </c>
      <c r="D22" s="1332">
        <f t="shared" si="2"/>
        <v>108584488.12392817</v>
      </c>
      <c r="E22" s="1330">
        <f t="shared" si="3"/>
        <v>205881247.98419827</v>
      </c>
      <c r="F22" s="1330">
        <f t="shared" si="4"/>
        <v>2056496507.2929645</v>
      </c>
      <c r="G22" s="1330">
        <f t="shared" si="5"/>
        <v>631322714.00321877</v>
      </c>
      <c r="H22" s="1330">
        <f t="shared" si="6"/>
        <v>143034699.81602445</v>
      </c>
      <c r="I22" s="1330">
        <f t="shared" si="7"/>
        <v>461725568.29317278</v>
      </c>
      <c r="J22" s="251">
        <f t="shared" si="8"/>
        <v>576146.6606556467</v>
      </c>
      <c r="K22" s="251">
        <f t="shared" si="9"/>
        <v>3766909.8418063098</v>
      </c>
      <c r="L22" s="1330">
        <f t="shared" si="10"/>
        <v>124245285.55524385</v>
      </c>
      <c r="M22" s="1330">
        <f t="shared" si="0"/>
        <v>3812954319.382441</v>
      </c>
    </row>
    <row r="23" spans="1:15" ht="13.5" thickBot="1" x14ac:dyDescent="0.25">
      <c r="A23" s="585">
        <f t="shared" si="11"/>
        <v>13</v>
      </c>
      <c r="B23" s="699" t="s">
        <v>2668</v>
      </c>
      <c r="C23" s="1327">
        <v>77316396.51413767</v>
      </c>
      <c r="D23" s="1328">
        <v>108586633.1352807</v>
      </c>
      <c r="E23" s="1329">
        <f>'7-PlantStudy'!E10</f>
        <v>207656916</v>
      </c>
      <c r="F23" s="1299">
        <f>'7-PlantStudy'!E11</f>
        <v>2231719300</v>
      </c>
      <c r="G23" s="1299">
        <f>'7-PlantStudy'!E20</f>
        <v>728242650.16347945</v>
      </c>
      <c r="H23" s="1299">
        <f>'7-PlantStudy'!E21</f>
        <v>148632888.4820841</v>
      </c>
      <c r="I23" s="1299">
        <f>'7-PlantStudy'!E22</f>
        <v>494953932.48711836</v>
      </c>
      <c r="J23" s="1275">
        <f>'7-PlantStudy'!E23</f>
        <v>645861.64518965012</v>
      </c>
      <c r="K23" s="1275">
        <f>'7-PlantStudy'!E24</f>
        <v>3959306.6940610548</v>
      </c>
      <c r="L23" s="1299">
        <f>'7-PlantStudy'!E25</f>
        <v>38747355.238424651</v>
      </c>
      <c r="M23" s="1299">
        <f t="shared" si="0"/>
        <v>4040461240.359776</v>
      </c>
      <c r="O23" s="1"/>
    </row>
    <row r="24" spans="1:15" x14ac:dyDescent="0.2">
      <c r="A24" s="585">
        <f t="shared" si="11"/>
        <v>14</v>
      </c>
      <c r="B24" s="589" t="s">
        <v>1330</v>
      </c>
      <c r="C24" s="1330">
        <f t="shared" ref="C24:M24" si="12">AVERAGE(C11:C23)</f>
        <v>76789215.846105754</v>
      </c>
      <c r="D24" s="1330">
        <f t="shared" si="12"/>
        <v>100500566.55592145</v>
      </c>
      <c r="E24" s="1297">
        <f t="shared" si="12"/>
        <v>195953731.47721499</v>
      </c>
      <c r="F24" s="1297">
        <f t="shared" si="12"/>
        <v>1946667830.8433495</v>
      </c>
      <c r="G24" s="1297">
        <f t="shared" si="12"/>
        <v>610629065.11769116</v>
      </c>
      <c r="H24" s="1297">
        <f t="shared" si="12"/>
        <v>137871505.69609141</v>
      </c>
      <c r="I24" s="1297">
        <f t="shared" si="12"/>
        <v>452861675.20420659</v>
      </c>
      <c r="J24" s="1273">
        <f t="shared" si="12"/>
        <v>550955.90449796978</v>
      </c>
      <c r="K24" s="1273">
        <f t="shared" si="12"/>
        <v>3660122.2378734751</v>
      </c>
      <c r="L24" s="1297">
        <f t="shared" si="12"/>
        <v>113051874.12106897</v>
      </c>
      <c r="M24" s="1297">
        <f t="shared" si="12"/>
        <v>3638536543.0040212</v>
      </c>
    </row>
    <row r="25" spans="1:15" x14ac:dyDescent="0.2">
      <c r="A25" s="548"/>
      <c r="B25" s="548"/>
      <c r="C25" s="548"/>
      <c r="D25" s="548"/>
      <c r="E25" s="548"/>
      <c r="F25" s="548"/>
      <c r="G25" s="548"/>
      <c r="H25" s="548"/>
      <c r="I25" s="548"/>
      <c r="J25" s="548"/>
      <c r="K25" s="548"/>
      <c r="L25" s="548"/>
    </row>
    <row r="26" spans="1:15" x14ac:dyDescent="0.2">
      <c r="A26" s="548"/>
      <c r="B26" s="446" t="s">
        <v>354</v>
      </c>
      <c r="C26" s="548"/>
      <c r="D26" s="548"/>
      <c r="E26" s="548"/>
      <c r="F26" s="548"/>
      <c r="G26" s="548"/>
      <c r="H26" s="548"/>
      <c r="I26" s="548"/>
      <c r="J26" s="548"/>
      <c r="K26" s="548"/>
      <c r="L26" s="548"/>
    </row>
    <row r="27" spans="1:15" x14ac:dyDescent="0.2">
      <c r="A27" s="548"/>
      <c r="B27" s="446"/>
      <c r="C27" s="548"/>
      <c r="D27" s="548"/>
      <c r="E27" s="548"/>
      <c r="F27" s="548"/>
      <c r="G27" s="548"/>
      <c r="H27" s="548"/>
      <c r="I27" s="548"/>
      <c r="J27" s="548"/>
      <c r="K27" s="548"/>
      <c r="L27" s="548"/>
    </row>
    <row r="28" spans="1:15" x14ac:dyDescent="0.2">
      <c r="A28" s="548"/>
      <c r="B28" s="257" t="s">
        <v>2032</v>
      </c>
      <c r="C28" s="550"/>
      <c r="D28" s="550"/>
      <c r="E28" s="550"/>
      <c r="F28" s="550"/>
      <c r="G28" s="550"/>
      <c r="H28" s="550"/>
      <c r="I28" s="548"/>
      <c r="J28" s="548"/>
      <c r="K28" s="548"/>
      <c r="L28" s="548"/>
    </row>
    <row r="29" spans="1:15" x14ac:dyDescent="0.2">
      <c r="A29" s="548"/>
      <c r="B29" s="446"/>
      <c r="C29" s="548"/>
      <c r="D29" s="548"/>
      <c r="E29" s="548"/>
      <c r="F29" s="548"/>
      <c r="G29" s="548"/>
      <c r="H29" s="548"/>
      <c r="I29" s="548"/>
      <c r="J29" s="548"/>
      <c r="K29" s="548"/>
      <c r="L29" s="548"/>
    </row>
    <row r="30" spans="1:15" x14ac:dyDescent="0.2">
      <c r="A30" s="446"/>
      <c r="B30" s="90" t="s">
        <v>396</v>
      </c>
      <c r="C30" s="90" t="s">
        <v>380</v>
      </c>
      <c r="D30" s="90" t="s">
        <v>381</v>
      </c>
      <c r="E30" s="90" t="s">
        <v>382</v>
      </c>
      <c r="F30" s="90" t="s">
        <v>383</v>
      </c>
      <c r="G30" s="548"/>
      <c r="H30" s="548"/>
      <c r="I30" s="548"/>
      <c r="J30" s="548"/>
      <c r="K30" s="548"/>
      <c r="L30" s="548"/>
    </row>
    <row r="31" spans="1:15" x14ac:dyDescent="0.2">
      <c r="A31" s="247"/>
      <c r="B31" s="268"/>
      <c r="C31" s="247"/>
      <c r="D31" s="247"/>
      <c r="E31" s="247"/>
      <c r="F31" s="268" t="s">
        <v>1331</v>
      </c>
      <c r="G31" s="548"/>
      <c r="H31" s="548"/>
      <c r="K31" s="548"/>
      <c r="L31" s="548"/>
    </row>
    <row r="32" spans="1:15" x14ac:dyDescent="0.2">
      <c r="A32" s="247"/>
      <c r="B32" s="117"/>
      <c r="C32" s="90"/>
      <c r="D32" s="90"/>
      <c r="E32" s="247"/>
      <c r="F32" s="247"/>
      <c r="G32" s="548"/>
      <c r="H32" s="548"/>
      <c r="K32" s="548"/>
      <c r="L32" s="548"/>
    </row>
    <row r="33" spans="1:12" ht="12.75" customHeight="1" x14ac:dyDescent="0.2">
      <c r="A33" s="52" t="s">
        <v>362</v>
      </c>
      <c r="B33" s="131" t="s">
        <v>2084</v>
      </c>
      <c r="C33" s="394">
        <v>360</v>
      </c>
      <c r="D33" s="394">
        <v>361</v>
      </c>
      <c r="E33" s="394">
        <v>362</v>
      </c>
      <c r="F33" s="3" t="s">
        <v>217</v>
      </c>
      <c r="G33" s="548"/>
      <c r="H33" s="548"/>
      <c r="K33" s="548"/>
      <c r="L33" s="548"/>
    </row>
    <row r="34" spans="1:12" ht="12.75" customHeight="1" x14ac:dyDescent="0.2">
      <c r="A34" s="585">
        <f>A24+1</f>
        <v>15</v>
      </c>
      <c r="B34" s="699" t="s">
        <v>2656</v>
      </c>
      <c r="C34" s="252">
        <v>75876.480999774722</v>
      </c>
      <c r="D34" s="252">
        <v>683246.94527539623</v>
      </c>
      <c r="E34" s="252">
        <v>5875711.4176010117</v>
      </c>
      <c r="F34" s="249">
        <f>SUM(C34:E34)</f>
        <v>6634834.843876183</v>
      </c>
      <c r="G34" s="548"/>
      <c r="H34" s="548"/>
      <c r="K34" s="548"/>
      <c r="L34" s="548"/>
    </row>
    <row r="35" spans="1:12" ht="12.75" customHeight="1" x14ac:dyDescent="0.2">
      <c r="A35" s="585">
        <f>A34+1</f>
        <v>16</v>
      </c>
      <c r="B35" s="699" t="s">
        <v>2668</v>
      </c>
      <c r="C35" s="451">
        <v>78348.646627332098</v>
      </c>
      <c r="D35" s="451">
        <v>718564.57265429304</v>
      </c>
      <c r="E35" s="451">
        <v>6051836.2912730929</v>
      </c>
      <c r="F35" s="393">
        <f>SUM(C35:E35)</f>
        <v>6848749.5105547179</v>
      </c>
      <c r="G35" s="548"/>
      <c r="H35" s="548"/>
      <c r="K35" s="548"/>
      <c r="L35" s="548"/>
    </row>
    <row r="36" spans="1:12" ht="12.75" customHeight="1" x14ac:dyDescent="0.2">
      <c r="A36" s="585">
        <f>A35+1</f>
        <v>17</v>
      </c>
      <c r="B36" s="589" t="s">
        <v>1332</v>
      </c>
      <c r="C36" s="249">
        <f>AVERAGE(C34:C35)</f>
        <v>77112.56381355341</v>
      </c>
      <c r="D36" s="249">
        <f>AVERAGE(D34:D35)</f>
        <v>700905.75896484463</v>
      </c>
      <c r="E36" s="249">
        <f>AVERAGE(E34:E35)</f>
        <v>5963773.8544370523</v>
      </c>
      <c r="F36" s="249">
        <f>AVERAGE(F34:F35)</f>
        <v>6741792.1772154504</v>
      </c>
      <c r="G36" s="548"/>
      <c r="H36" s="548"/>
      <c r="K36" s="548"/>
      <c r="L36" s="548"/>
    </row>
    <row r="37" spans="1:12" ht="12.75" customHeight="1" x14ac:dyDescent="0.2">
      <c r="A37" s="548"/>
      <c r="B37" s="548"/>
      <c r="C37" s="548"/>
      <c r="D37" s="548"/>
      <c r="E37" s="548"/>
      <c r="F37" s="548"/>
      <c r="G37" s="548"/>
      <c r="H37" s="548"/>
      <c r="K37" s="548"/>
      <c r="L37" s="548"/>
    </row>
    <row r="38" spans="1:12" x14ac:dyDescent="0.2">
      <c r="A38" s="548"/>
      <c r="B38" s="1" t="s">
        <v>1150</v>
      </c>
      <c r="C38" s="22"/>
      <c r="D38" s="22"/>
      <c r="E38" s="590"/>
      <c r="F38" s="591"/>
      <c r="G38" s="592"/>
      <c r="H38" s="548"/>
      <c r="K38" s="548"/>
      <c r="L38" s="548"/>
    </row>
    <row r="39" spans="1:12" x14ac:dyDescent="0.2">
      <c r="A39" s="548"/>
      <c r="B39" s="548" t="s">
        <v>1151</v>
      </c>
      <c r="C39" s="22"/>
      <c r="D39" s="22"/>
      <c r="E39" s="590"/>
      <c r="F39" s="591"/>
      <c r="G39" s="592"/>
      <c r="H39" s="548"/>
      <c r="K39" s="548"/>
      <c r="L39" s="548"/>
    </row>
    <row r="40" spans="1:12" x14ac:dyDescent="0.2">
      <c r="A40" s="548"/>
      <c r="B40" s="548"/>
      <c r="C40" s="22"/>
      <c r="D40" s="22"/>
      <c r="E40" s="590"/>
      <c r="F40" s="591"/>
      <c r="G40" s="592"/>
      <c r="H40" s="548"/>
      <c r="K40" s="548"/>
      <c r="L40" s="548"/>
    </row>
    <row r="41" spans="1:12" x14ac:dyDescent="0.2">
      <c r="A41" s="548"/>
      <c r="B41" s="548"/>
      <c r="C41" s="22"/>
      <c r="D41" s="448" t="s">
        <v>196</v>
      </c>
      <c r="E41" s="449" t="s">
        <v>200</v>
      </c>
      <c r="F41" s="591"/>
      <c r="G41" s="592"/>
      <c r="H41" s="548"/>
      <c r="K41" s="548"/>
      <c r="L41" s="548"/>
    </row>
    <row r="42" spans="1:12" x14ac:dyDescent="0.2">
      <c r="A42" s="585">
        <f>A36+1</f>
        <v>18</v>
      </c>
      <c r="B42" s="548"/>
      <c r="C42" s="590" t="s">
        <v>355</v>
      </c>
      <c r="D42" s="1295">
        <f>M24+F36</f>
        <v>3645278335.1812367</v>
      </c>
      <c r="E42" s="593" t="str">
        <f>"Sum of Line "&amp;A24&amp;", "&amp;M7&amp;" and Line "&amp;A36&amp;", "&amp;F30&amp;""</f>
        <v>Sum of Line 14, Col 12 and Line 17, Col 5</v>
      </c>
      <c r="F42" s="548"/>
      <c r="G42" s="548"/>
      <c r="H42" s="548"/>
      <c r="K42" s="548"/>
      <c r="L42" s="548"/>
    </row>
    <row r="43" spans="1:12" x14ac:dyDescent="0.2">
      <c r="A43" s="585">
        <f>A42+1</f>
        <v>19</v>
      </c>
      <c r="B43" s="548"/>
      <c r="C43" s="590" t="s">
        <v>175</v>
      </c>
      <c r="D43" s="591">
        <f>M23+F35</f>
        <v>4047309989.8703308</v>
      </c>
      <c r="E43" s="593" t="str">
        <f>"Sum of Line "&amp;A23&amp;", "&amp;M7&amp;" and Line "&amp;A35&amp;", "&amp;F30&amp;""</f>
        <v>Sum of Line 13, Col 12 and Line 16, Col 5</v>
      </c>
      <c r="F43" s="548"/>
      <c r="G43" s="548"/>
      <c r="H43" s="548"/>
      <c r="I43" s="548"/>
      <c r="J43" s="548"/>
      <c r="K43" s="548"/>
      <c r="L43" s="548"/>
    </row>
    <row r="44" spans="1:12" x14ac:dyDescent="0.2">
      <c r="A44" s="548"/>
      <c r="B44" s="548"/>
      <c r="C44" s="22"/>
      <c r="D44" s="22"/>
      <c r="E44" s="594"/>
      <c r="F44" s="595"/>
      <c r="G44" s="596"/>
      <c r="H44" s="548"/>
      <c r="I44" s="548"/>
      <c r="J44" s="548"/>
      <c r="K44" s="548"/>
      <c r="L44" s="548"/>
    </row>
    <row r="45" spans="1:12" x14ac:dyDescent="0.2">
      <c r="A45" s="548"/>
      <c r="B45" s="1" t="s">
        <v>2033</v>
      </c>
      <c r="C45" s="548"/>
      <c r="D45" s="548"/>
      <c r="E45" s="594"/>
      <c r="F45" s="595"/>
      <c r="G45" s="596"/>
      <c r="H45" s="548"/>
      <c r="I45" s="548"/>
      <c r="J45" s="548"/>
      <c r="K45" s="548"/>
      <c r="L45" s="548"/>
    </row>
    <row r="46" spans="1:12" x14ac:dyDescent="0.2">
      <c r="A46" s="548"/>
      <c r="B46" s="552" t="s">
        <v>336</v>
      </c>
      <c r="C46" s="548"/>
      <c r="D46" s="548"/>
      <c r="E46" s="594"/>
      <c r="F46" s="595"/>
      <c r="G46" s="596"/>
      <c r="H46" s="548"/>
      <c r="I46" s="548"/>
      <c r="J46" s="548"/>
      <c r="K46" s="548"/>
      <c r="L46" s="548"/>
    </row>
    <row r="47" spans="1:12" ht="12.75" customHeight="1" x14ac:dyDescent="0.2">
      <c r="A47" s="548"/>
      <c r="B47" s="552"/>
      <c r="C47" s="548"/>
      <c r="D47" s="548"/>
      <c r="E47" s="594"/>
      <c r="F47" s="595"/>
      <c r="G47" s="596"/>
      <c r="H47" s="548"/>
      <c r="I47" s="548"/>
      <c r="J47" s="548"/>
      <c r="K47" s="548"/>
      <c r="L47" s="548"/>
    </row>
    <row r="48" spans="1:12" x14ac:dyDescent="0.2">
      <c r="A48" s="548"/>
      <c r="B48" s="1"/>
      <c r="C48" s="268" t="s">
        <v>397</v>
      </c>
      <c r="D48" s="548"/>
      <c r="E48" s="594"/>
      <c r="F48" s="90" t="s">
        <v>396</v>
      </c>
      <c r="G48" s="90" t="s">
        <v>380</v>
      </c>
      <c r="H48" s="90" t="s">
        <v>381</v>
      </c>
      <c r="I48" s="548"/>
      <c r="J48" s="548"/>
      <c r="K48" s="548"/>
      <c r="L48" s="548"/>
    </row>
    <row r="49" spans="1:12" x14ac:dyDescent="0.2">
      <c r="A49" s="548"/>
      <c r="B49" s="1"/>
      <c r="C49" s="585" t="s">
        <v>448</v>
      </c>
      <c r="D49" s="594"/>
      <c r="F49" s="585" t="s">
        <v>1370</v>
      </c>
      <c r="G49" s="585" t="s">
        <v>1371</v>
      </c>
      <c r="H49" s="79" t="s">
        <v>217</v>
      </c>
      <c r="I49" s="596"/>
      <c r="J49" s="548"/>
      <c r="K49" s="548"/>
      <c r="L49" s="548"/>
    </row>
    <row r="50" spans="1:12" x14ac:dyDescent="0.2">
      <c r="A50" s="548"/>
      <c r="B50" s="548"/>
      <c r="C50" s="585" t="s">
        <v>214</v>
      </c>
      <c r="D50" s="26" t="s">
        <v>215</v>
      </c>
      <c r="F50" s="26" t="s">
        <v>416</v>
      </c>
      <c r="G50" s="26" t="s">
        <v>416</v>
      </c>
      <c r="H50" s="26" t="s">
        <v>1333</v>
      </c>
      <c r="I50" s="26"/>
      <c r="J50" s="548"/>
      <c r="K50" s="548"/>
      <c r="L50" s="548"/>
    </row>
    <row r="51" spans="1:12" x14ac:dyDescent="0.2">
      <c r="A51" s="548"/>
      <c r="B51" s="548"/>
      <c r="C51" s="3" t="s">
        <v>213</v>
      </c>
      <c r="D51" s="25" t="s">
        <v>200</v>
      </c>
      <c r="F51" s="31" t="s">
        <v>3</v>
      </c>
      <c r="G51" s="31" t="s">
        <v>3</v>
      </c>
      <c r="H51" s="31" t="s">
        <v>3</v>
      </c>
      <c r="I51" s="29" t="s">
        <v>189</v>
      </c>
      <c r="J51" s="548"/>
      <c r="K51" s="548"/>
      <c r="L51" s="548"/>
    </row>
    <row r="52" spans="1:12" x14ac:dyDescent="0.2">
      <c r="A52" s="585">
        <f>A43+1</f>
        <v>20</v>
      </c>
      <c r="B52" s="548"/>
      <c r="C52" s="597" t="s">
        <v>201</v>
      </c>
      <c r="D52" s="598" t="s">
        <v>1372</v>
      </c>
      <c r="F52" s="114">
        <v>2123098622</v>
      </c>
      <c r="G52" s="587">
        <v>1557464316</v>
      </c>
      <c r="H52" s="591">
        <f>SUM(F52:G52)</f>
        <v>3680562938</v>
      </c>
      <c r="I52" s="598" t="s">
        <v>2034</v>
      </c>
      <c r="J52" s="550"/>
      <c r="K52" s="548"/>
      <c r="L52" s="548"/>
    </row>
    <row r="53" spans="1:12" ht="12.75" customHeight="1" x14ac:dyDescent="0.2">
      <c r="A53" s="585">
        <f>A52+1</f>
        <v>21</v>
      </c>
      <c r="B53" s="548"/>
      <c r="C53" s="586" t="s">
        <v>201</v>
      </c>
      <c r="D53" s="598" t="s">
        <v>2078</v>
      </c>
      <c r="E53" s="14"/>
      <c r="F53" s="114">
        <v>2405863603</v>
      </c>
      <c r="G53" s="587">
        <v>1688953361</v>
      </c>
      <c r="H53" s="591">
        <f>SUM(F53:G53)</f>
        <v>4094816964</v>
      </c>
      <c r="I53" s="547" t="s">
        <v>2035</v>
      </c>
      <c r="J53" s="550"/>
      <c r="K53" s="548"/>
      <c r="L53" s="548"/>
    </row>
    <row r="54" spans="1:12" ht="12.75" customHeight="1" x14ac:dyDescent="0.2">
      <c r="A54" s="548"/>
      <c r="B54" s="548"/>
      <c r="C54" s="586"/>
      <c r="D54" s="599"/>
      <c r="E54" s="600"/>
      <c r="F54" s="591"/>
      <c r="G54" s="552"/>
      <c r="H54" s="548"/>
      <c r="I54" s="548"/>
      <c r="J54" s="548"/>
      <c r="K54" s="548"/>
      <c r="L54" s="548"/>
    </row>
    <row r="55" spans="1:12" ht="12.75" customHeight="1" x14ac:dyDescent="0.2">
      <c r="A55" s="548"/>
      <c r="B55" s="548"/>
      <c r="C55" s="22" t="s">
        <v>1374</v>
      </c>
      <c r="D55" s="22"/>
      <c r="E55" s="594"/>
      <c r="F55" s="449" t="s">
        <v>196</v>
      </c>
      <c r="G55" s="450" t="s">
        <v>200</v>
      </c>
      <c r="H55" s="548"/>
      <c r="I55" s="548"/>
      <c r="J55" s="548"/>
      <c r="K55" s="548"/>
      <c r="L55" s="548"/>
    </row>
    <row r="56" spans="1:12" x14ac:dyDescent="0.2">
      <c r="A56" s="585">
        <f>A53+1</f>
        <v>22</v>
      </c>
      <c r="B56" s="548"/>
      <c r="C56" s="22"/>
      <c r="D56" s="22"/>
      <c r="E56" s="590" t="s">
        <v>96</v>
      </c>
      <c r="F56" s="591">
        <f>(H52+H53)/2</f>
        <v>3887689951</v>
      </c>
      <c r="G56" s="601" t="str">
        <f>"Average of Line "&amp;A52&amp;" and "&amp;A53&amp;"."</f>
        <v>Average of Line 20 and 21.</v>
      </c>
      <c r="H56" s="548"/>
      <c r="I56" s="548"/>
      <c r="J56" s="548"/>
      <c r="K56" s="548"/>
      <c r="L56" s="548"/>
    </row>
    <row r="57" spans="1:12" x14ac:dyDescent="0.2">
      <c r="A57" s="585">
        <f>A56+1</f>
        <v>23</v>
      </c>
      <c r="B57" s="548"/>
      <c r="C57" s="22"/>
      <c r="D57" s="22"/>
      <c r="E57" s="602" t="s">
        <v>267</v>
      </c>
      <c r="F57" s="1294">
        <f>'27-Allocators'!G15</f>
        <v>3.7193704666678068E-2</v>
      </c>
      <c r="G57" s="601" t="str">
        <f>"27-Allocators, Line "&amp;'27-Allocators'!A15&amp;""</f>
        <v>27-Allocators, Line 9</v>
      </c>
      <c r="H57" s="548"/>
      <c r="I57" s="548"/>
      <c r="J57" s="548"/>
      <c r="K57" s="548"/>
      <c r="L57" s="548"/>
    </row>
    <row r="58" spans="1:12" x14ac:dyDescent="0.2">
      <c r="A58" s="585">
        <f>A57+1</f>
        <v>24</v>
      </c>
      <c r="B58" s="548"/>
      <c r="C58" s="22"/>
      <c r="D58" s="22"/>
      <c r="E58" s="602" t="s">
        <v>337</v>
      </c>
      <c r="F58" s="1295">
        <f>F56*F57</f>
        <v>144597591.87310612</v>
      </c>
      <c r="G58" s="601" t="str">
        <f>"Line "&amp;A56&amp;" * Line "&amp;A57&amp;"."</f>
        <v>Line 22 * Line 23.</v>
      </c>
      <c r="H58" s="548"/>
      <c r="I58" s="548"/>
      <c r="J58" s="548"/>
      <c r="K58" s="548"/>
      <c r="L58" s="548"/>
    </row>
    <row r="59" spans="1:12" x14ac:dyDescent="0.2">
      <c r="A59" s="548"/>
      <c r="B59" s="548"/>
      <c r="C59" s="22"/>
      <c r="D59" s="22"/>
      <c r="E59" s="602"/>
      <c r="F59" s="591"/>
      <c r="G59" s="592"/>
      <c r="H59" s="548"/>
      <c r="I59" s="548"/>
      <c r="J59" s="548"/>
      <c r="K59" s="548"/>
      <c r="L59" s="548"/>
    </row>
    <row r="60" spans="1:12" x14ac:dyDescent="0.2">
      <c r="A60" s="548"/>
      <c r="B60" s="548"/>
      <c r="C60" s="22" t="s">
        <v>1373</v>
      </c>
      <c r="D60" s="22"/>
      <c r="E60" s="594"/>
      <c r="F60" s="449" t="s">
        <v>196</v>
      </c>
      <c r="G60" s="450" t="s">
        <v>200</v>
      </c>
      <c r="H60" s="548"/>
      <c r="I60" s="548"/>
      <c r="J60" s="548"/>
      <c r="K60" s="548"/>
      <c r="L60" s="548"/>
    </row>
    <row r="61" spans="1:12" x14ac:dyDescent="0.2">
      <c r="A61" s="585">
        <f>A58+1</f>
        <v>25</v>
      </c>
      <c r="B61" s="548"/>
      <c r="C61" s="22"/>
      <c r="D61" s="22"/>
      <c r="E61" s="590" t="s">
        <v>175</v>
      </c>
      <c r="F61" s="591">
        <f>H53</f>
        <v>4094816964</v>
      </c>
      <c r="G61" s="601" t="str">
        <f>"Line "&amp;A53&amp;"."</f>
        <v>Line 21.</v>
      </c>
      <c r="H61" s="548"/>
      <c r="I61" s="548"/>
      <c r="J61" s="548"/>
      <c r="K61" s="548"/>
      <c r="L61" s="548"/>
    </row>
    <row r="62" spans="1:12" x14ac:dyDescent="0.2">
      <c r="A62" s="585">
        <f>A61+1</f>
        <v>26</v>
      </c>
      <c r="B62" s="548"/>
      <c r="C62" s="22"/>
      <c r="D62" s="22"/>
      <c r="E62" s="602" t="s">
        <v>267</v>
      </c>
      <c r="F62" s="1379">
        <f>'27-Allocators'!G15</f>
        <v>3.7193704666678068E-2</v>
      </c>
      <c r="G62" s="601" t="str">
        <f>"27-Allocators, Line "&amp;'27-Allocators'!A15&amp;""</f>
        <v>27-Allocators, Line 9</v>
      </c>
      <c r="H62" s="548"/>
      <c r="I62" s="548"/>
      <c r="J62" s="548"/>
      <c r="K62" s="548"/>
      <c r="L62" s="548"/>
    </row>
    <row r="63" spans="1:12" x14ac:dyDescent="0.2">
      <c r="A63" s="585">
        <f>A62+1</f>
        <v>27</v>
      </c>
      <c r="B63" s="548"/>
      <c r="C63" s="22"/>
      <c r="D63" s="22"/>
      <c r="E63" s="602" t="s">
        <v>337</v>
      </c>
      <c r="F63" s="591">
        <f>F61*F62</f>
        <v>152301412.82311931</v>
      </c>
      <c r="G63" s="601" t="str">
        <f>"Line "&amp;A61&amp;" * Line "&amp;A62&amp;"."</f>
        <v>Line 25 * Line 26.</v>
      </c>
      <c r="H63" s="548"/>
      <c r="I63" s="548"/>
      <c r="J63" s="548"/>
      <c r="K63" s="548"/>
      <c r="L63" s="548"/>
    </row>
    <row r="64" spans="1:12" x14ac:dyDescent="0.2">
      <c r="A64" s="548"/>
      <c r="B64" s="548"/>
      <c r="C64" s="548"/>
      <c r="D64" s="548"/>
      <c r="E64" s="548"/>
      <c r="F64" s="548"/>
      <c r="G64" s="548"/>
      <c r="H64" s="548"/>
      <c r="I64" s="548"/>
      <c r="J64" s="548"/>
      <c r="K64" s="548"/>
      <c r="L64" s="548"/>
    </row>
    <row r="65" spans="1:13" x14ac:dyDescent="0.2">
      <c r="A65" s="548"/>
      <c r="B65" s="548"/>
      <c r="C65" s="548"/>
      <c r="D65" s="548"/>
      <c r="E65" s="548"/>
      <c r="F65" s="548"/>
      <c r="G65" s="548"/>
      <c r="H65" s="548"/>
      <c r="I65" s="548"/>
      <c r="J65" s="548"/>
      <c r="K65" s="548"/>
      <c r="L65" s="548"/>
    </row>
    <row r="66" spans="1:13" x14ac:dyDescent="0.2">
      <c r="A66" s="548"/>
      <c r="B66" s="1" t="s">
        <v>1763</v>
      </c>
      <c r="C66" s="548"/>
      <c r="D66" s="548"/>
      <c r="E66" s="548"/>
      <c r="F66" s="548"/>
      <c r="G66" s="548"/>
      <c r="H66" s="548"/>
      <c r="I66" s="548"/>
      <c r="J66" s="548"/>
      <c r="K66" s="548"/>
      <c r="L66" s="548"/>
    </row>
    <row r="67" spans="1:13" x14ac:dyDescent="0.2">
      <c r="A67" s="548"/>
      <c r="C67" s="548"/>
      <c r="D67" s="548"/>
      <c r="E67" s="548"/>
      <c r="F67" s="548"/>
      <c r="G67" s="548"/>
      <c r="H67" s="548"/>
      <c r="I67" s="548"/>
      <c r="J67" s="548"/>
      <c r="K67" s="548"/>
      <c r="L67" s="548"/>
    </row>
    <row r="68" spans="1:13" x14ac:dyDescent="0.2">
      <c r="B68" s="1" t="s">
        <v>1764</v>
      </c>
      <c r="C68" s="548"/>
      <c r="D68" s="548"/>
      <c r="E68" s="548"/>
      <c r="F68" s="548"/>
      <c r="G68" s="548"/>
      <c r="H68" s="548"/>
      <c r="I68" s="548"/>
      <c r="J68" s="548"/>
      <c r="K68" s="548"/>
      <c r="L68" s="548"/>
    </row>
    <row r="69" spans="1:13" x14ac:dyDescent="0.2">
      <c r="A69" s="548"/>
      <c r="C69" s="548"/>
      <c r="D69" s="548"/>
      <c r="E69" s="548"/>
      <c r="F69" s="548"/>
      <c r="G69" s="548"/>
      <c r="H69" s="548"/>
      <c r="I69" s="548"/>
      <c r="J69" s="548"/>
      <c r="K69" s="548"/>
      <c r="L69" s="548"/>
    </row>
    <row r="70" spans="1:13" x14ac:dyDescent="0.2">
      <c r="A70" s="446"/>
      <c r="B70" s="90" t="s">
        <v>396</v>
      </c>
      <c r="C70" s="90" t="s">
        <v>380</v>
      </c>
      <c r="D70" s="90" t="s">
        <v>381</v>
      </c>
      <c r="E70" s="90" t="s">
        <v>382</v>
      </c>
      <c r="F70" s="90" t="s">
        <v>383</v>
      </c>
      <c r="G70" s="90" t="s">
        <v>384</v>
      </c>
      <c r="H70" s="90" t="s">
        <v>385</v>
      </c>
      <c r="I70" s="90" t="s">
        <v>599</v>
      </c>
      <c r="J70" s="90" t="s">
        <v>1048</v>
      </c>
      <c r="K70" s="90" t="s">
        <v>1064</v>
      </c>
      <c r="L70" s="90" t="s">
        <v>1067</v>
      </c>
      <c r="M70" s="90" t="s">
        <v>1085</v>
      </c>
    </row>
    <row r="71" spans="1:13" x14ac:dyDescent="0.2">
      <c r="A71" s="247"/>
      <c r="B71" s="268"/>
      <c r="C71" s="247"/>
      <c r="D71" s="247"/>
      <c r="E71" s="247"/>
      <c r="F71" s="247"/>
      <c r="G71" s="247"/>
      <c r="H71" s="247"/>
      <c r="I71" s="247"/>
      <c r="J71" s="247"/>
      <c r="K71" s="247"/>
      <c r="M71" s="268" t="s">
        <v>1387</v>
      </c>
    </row>
    <row r="72" spans="1:13" x14ac:dyDescent="0.2">
      <c r="A72" s="247"/>
      <c r="B72" s="117"/>
      <c r="C72" s="90"/>
      <c r="D72" s="90"/>
      <c r="E72" s="247"/>
      <c r="F72" s="247"/>
      <c r="G72" s="247"/>
      <c r="H72" s="247"/>
      <c r="I72" s="247"/>
      <c r="J72" s="247"/>
      <c r="K72" s="247"/>
      <c r="L72" s="247"/>
    </row>
    <row r="73" spans="1:13" x14ac:dyDescent="0.2">
      <c r="A73" s="52"/>
      <c r="B73" s="131" t="s">
        <v>2084</v>
      </c>
      <c r="C73" s="90">
        <v>350.1</v>
      </c>
      <c r="D73" s="90">
        <v>350.2</v>
      </c>
      <c r="E73" s="90">
        <v>352</v>
      </c>
      <c r="F73" s="90">
        <v>353</v>
      </c>
      <c r="G73" s="90">
        <v>354</v>
      </c>
      <c r="H73" s="90">
        <v>355</v>
      </c>
      <c r="I73" s="90">
        <v>356</v>
      </c>
      <c r="J73" s="90">
        <v>357</v>
      </c>
      <c r="K73" s="90">
        <v>358</v>
      </c>
      <c r="L73" s="90">
        <v>359</v>
      </c>
      <c r="M73" s="3" t="s">
        <v>217</v>
      </c>
    </row>
    <row r="74" spans="1:13" x14ac:dyDescent="0.2">
      <c r="A74" s="585">
        <f>A63+1</f>
        <v>28</v>
      </c>
      <c r="B74" s="864" t="s">
        <v>2657</v>
      </c>
      <c r="C74" s="1338">
        <v>0</v>
      </c>
      <c r="D74" s="1338">
        <v>38961.65000000596</v>
      </c>
      <c r="E74" s="252">
        <v>112047.25999999046</v>
      </c>
      <c r="F74" s="252">
        <v>10017240.610001564</v>
      </c>
      <c r="G74" s="252">
        <v>290286.21000003815</v>
      </c>
      <c r="H74" s="252">
        <v>5121414.9800000191</v>
      </c>
      <c r="I74" s="252">
        <v>2238258.9800000191</v>
      </c>
      <c r="J74" s="252">
        <v>2404.9399999976158</v>
      </c>
      <c r="K74" s="252">
        <v>6956567.9600000083</v>
      </c>
      <c r="L74" s="252">
        <v>20.239999994635582</v>
      </c>
      <c r="M74" s="249">
        <f t="shared" ref="M74:M85" si="13">SUM(C74:L74)</f>
        <v>24777202.830001637</v>
      </c>
    </row>
    <row r="75" spans="1:13" x14ac:dyDescent="0.2">
      <c r="A75" s="585">
        <f t="shared" ref="A75:A86" si="14">A74+1</f>
        <v>29</v>
      </c>
      <c r="B75" s="863" t="s">
        <v>2658</v>
      </c>
      <c r="C75" s="1338">
        <v>2343786.2399999946</v>
      </c>
      <c r="D75" s="1338">
        <v>16638857.999999985</v>
      </c>
      <c r="E75" s="252">
        <v>28008180.630000055</v>
      </c>
      <c r="F75" s="252">
        <v>132181276.38999987</v>
      </c>
      <c r="G75" s="252">
        <v>80576.139999985695</v>
      </c>
      <c r="H75" s="252">
        <v>1788944.7400000095</v>
      </c>
      <c r="I75" s="252">
        <v>658101.55999994278</v>
      </c>
      <c r="J75" s="252">
        <v>-1916367.9799999967</v>
      </c>
      <c r="K75" s="252">
        <v>1945393.849999994</v>
      </c>
      <c r="L75" s="252">
        <v>20136.209999993443</v>
      </c>
      <c r="M75" s="249">
        <f t="shared" si="13"/>
        <v>181748885.77999985</v>
      </c>
    </row>
    <row r="76" spans="1:13" x14ac:dyDescent="0.2">
      <c r="A76" s="585">
        <f t="shared" si="14"/>
        <v>30</v>
      </c>
      <c r="B76" s="863" t="s">
        <v>2659</v>
      </c>
      <c r="C76" s="1338">
        <v>92168.399999991059</v>
      </c>
      <c r="D76" s="1338">
        <v>2082251.6100000143</v>
      </c>
      <c r="E76" s="252">
        <v>330612.42999994755</v>
      </c>
      <c r="F76" s="252">
        <v>16132881.759999752</v>
      </c>
      <c r="G76" s="252">
        <v>289553.73000001907</v>
      </c>
      <c r="H76" s="252">
        <v>3631131.3200000525</v>
      </c>
      <c r="I76" s="252">
        <v>5881.9700000286102</v>
      </c>
      <c r="J76" s="252">
        <v>84678.039999999106</v>
      </c>
      <c r="K76" s="252">
        <v>-608360.90999999642</v>
      </c>
      <c r="L76" s="252">
        <v>92982.490000009537</v>
      </c>
      <c r="M76" s="249">
        <f t="shared" si="13"/>
        <v>22133780.839999817</v>
      </c>
    </row>
    <row r="77" spans="1:13" x14ac:dyDescent="0.2">
      <c r="A77" s="585">
        <f t="shared" si="14"/>
        <v>31</v>
      </c>
      <c r="B77" s="864" t="s">
        <v>2660</v>
      </c>
      <c r="C77" s="1338">
        <v>0</v>
      </c>
      <c r="D77" s="1338">
        <v>-41711.370000004768</v>
      </c>
      <c r="E77" s="252">
        <v>1101803.2599999905</v>
      </c>
      <c r="F77" s="252">
        <v>30316380.860000134</v>
      </c>
      <c r="G77" s="252">
        <v>70581693.879999995</v>
      </c>
      <c r="H77" s="252">
        <v>8398050.3999999762</v>
      </c>
      <c r="I77" s="252">
        <v>39140884.469999909</v>
      </c>
      <c r="J77" s="252">
        <v>-923.50999999791384</v>
      </c>
      <c r="K77" s="252">
        <v>-44462.060000002384</v>
      </c>
      <c r="L77" s="252">
        <v>13615999.75</v>
      </c>
      <c r="M77" s="249">
        <f t="shared" si="13"/>
        <v>163067715.68000001</v>
      </c>
    </row>
    <row r="78" spans="1:13" x14ac:dyDescent="0.2">
      <c r="A78" s="585">
        <f t="shared" si="14"/>
        <v>32</v>
      </c>
      <c r="B78" s="863" t="s">
        <v>2661</v>
      </c>
      <c r="C78" s="1338">
        <v>0</v>
      </c>
      <c r="D78" s="1338">
        <v>86877.760000020266</v>
      </c>
      <c r="E78" s="252">
        <v>350667.33000004292</v>
      </c>
      <c r="F78" s="252">
        <v>17971084.869999409</v>
      </c>
      <c r="G78" s="252">
        <v>-68832.710000038147</v>
      </c>
      <c r="H78" s="252">
        <v>-1228644.0500000715</v>
      </c>
      <c r="I78" s="252">
        <v>-1254042.7399998903</v>
      </c>
      <c r="J78" s="252">
        <v>414601.78000000119</v>
      </c>
      <c r="K78" s="252">
        <v>2284505.2699999809</v>
      </c>
      <c r="L78" s="252">
        <v>72039.709999993443</v>
      </c>
      <c r="M78" s="249">
        <f t="shared" si="13"/>
        <v>18628257.219999447</v>
      </c>
    </row>
    <row r="79" spans="1:13" x14ac:dyDescent="0.2">
      <c r="A79" s="585">
        <f t="shared" si="14"/>
        <v>33</v>
      </c>
      <c r="B79" s="863" t="s">
        <v>2669</v>
      </c>
      <c r="C79" s="1338">
        <v>239906.49000000954</v>
      </c>
      <c r="D79" s="1338">
        <v>-229302.10000002384</v>
      </c>
      <c r="E79" s="252">
        <v>2692134.0099999905</v>
      </c>
      <c r="F79" s="252">
        <v>46305144.250000954</v>
      </c>
      <c r="G79" s="252">
        <v>-258094.76999998093</v>
      </c>
      <c r="H79" s="252">
        <v>2564784.3500000238</v>
      </c>
      <c r="I79" s="252">
        <v>902310.17000007629</v>
      </c>
      <c r="J79" s="252">
        <v>1787725.7599999979</v>
      </c>
      <c r="K79" s="252">
        <v>2536830.4500000179</v>
      </c>
      <c r="L79" s="252">
        <v>-68655.969999983907</v>
      </c>
      <c r="M79" s="249">
        <f t="shared" si="13"/>
        <v>56472782.640001081</v>
      </c>
    </row>
    <row r="80" spans="1:13" ht="13.5" thickBot="1" x14ac:dyDescent="0.25">
      <c r="A80" s="585">
        <f t="shared" si="14"/>
        <v>34</v>
      </c>
      <c r="B80" s="864" t="s">
        <v>2663</v>
      </c>
      <c r="C80" s="1339">
        <v>0</v>
      </c>
      <c r="D80" s="1339">
        <v>7.9300000071525574</v>
      </c>
      <c r="E80" s="252">
        <v>2599457.8299999833</v>
      </c>
      <c r="F80" s="252">
        <v>59141431.480000019</v>
      </c>
      <c r="G80" s="252">
        <v>581853.66999995708</v>
      </c>
      <c r="H80" s="252">
        <v>9298483.8200000525</v>
      </c>
      <c r="I80" s="252">
        <v>20755150.959999919</v>
      </c>
      <c r="J80" s="252">
        <v>-143058.24000000209</v>
      </c>
      <c r="K80" s="252">
        <v>-656665.43000000715</v>
      </c>
      <c r="L80" s="252">
        <v>121884.69999998808</v>
      </c>
      <c r="M80" s="249">
        <f t="shared" si="13"/>
        <v>91698546.719999909</v>
      </c>
    </row>
    <row r="81" spans="1:13" x14ac:dyDescent="0.2">
      <c r="A81" s="585">
        <f t="shared" si="14"/>
        <v>35</v>
      </c>
      <c r="B81" s="863" t="s">
        <v>2664</v>
      </c>
      <c r="C81" s="1272">
        <v>0</v>
      </c>
      <c r="D81" s="1333">
        <v>8765621.5099999905</v>
      </c>
      <c r="E81" s="252">
        <v>-1236706.1099999547</v>
      </c>
      <c r="F81" s="252">
        <v>106859752.18000031</v>
      </c>
      <c r="G81" s="252">
        <v>5517958.810000062</v>
      </c>
      <c r="H81" s="252">
        <v>5683542.3899999857</v>
      </c>
      <c r="I81" s="252">
        <v>-8532757.1299999952</v>
      </c>
      <c r="J81" s="252">
        <v>-105.92000000178814</v>
      </c>
      <c r="K81" s="252">
        <v>-73659.40000000596</v>
      </c>
      <c r="L81" s="252">
        <v>86074.560000002384</v>
      </c>
      <c r="M81" s="249">
        <f t="shared" si="13"/>
        <v>117069720.89000039</v>
      </c>
    </row>
    <row r="82" spans="1:13" x14ac:dyDescent="0.2">
      <c r="A82" s="585">
        <f t="shared" si="14"/>
        <v>36</v>
      </c>
      <c r="B82" s="863" t="s">
        <v>2665</v>
      </c>
      <c r="C82" s="1334">
        <v>0</v>
      </c>
      <c r="D82" s="1335">
        <v>-308506.16999998689</v>
      </c>
      <c r="E82" s="252">
        <v>1305402.439999938</v>
      </c>
      <c r="F82" s="252">
        <v>9625631.6999993324</v>
      </c>
      <c r="G82" s="252">
        <v>1686006.2799999714</v>
      </c>
      <c r="H82" s="252">
        <v>9016397.5199999809</v>
      </c>
      <c r="I82" s="252">
        <v>-2075707.7999999523</v>
      </c>
      <c r="J82" s="252">
        <v>14852.740000002086</v>
      </c>
      <c r="K82" s="252">
        <v>-72859.959999978542</v>
      </c>
      <c r="L82" s="252">
        <v>227711.98999999464</v>
      </c>
      <c r="M82" s="249">
        <f t="shared" si="13"/>
        <v>19418928.739999302</v>
      </c>
    </row>
    <row r="83" spans="1:13" x14ac:dyDescent="0.2">
      <c r="A83" s="585">
        <f t="shared" si="14"/>
        <v>37</v>
      </c>
      <c r="B83" s="864" t="s">
        <v>2666</v>
      </c>
      <c r="C83" s="1334">
        <v>0</v>
      </c>
      <c r="D83" s="1335">
        <v>3703.0499999821186</v>
      </c>
      <c r="E83" s="252">
        <v>1559064.530000031</v>
      </c>
      <c r="F83" s="252">
        <v>-90173463.429999828</v>
      </c>
      <c r="G83" s="252">
        <v>958820.77999997139</v>
      </c>
      <c r="H83" s="252">
        <v>1780439.8900001049</v>
      </c>
      <c r="I83" s="252">
        <v>412973.99999988079</v>
      </c>
      <c r="J83" s="252">
        <v>13789.490000002086</v>
      </c>
      <c r="K83" s="252">
        <v>697091.78999999166</v>
      </c>
      <c r="L83" s="252">
        <v>356654.20000000298</v>
      </c>
      <c r="M83" s="249">
        <f t="shared" si="13"/>
        <v>-84390925.699999854</v>
      </c>
    </row>
    <row r="84" spans="1:13" x14ac:dyDescent="0.2">
      <c r="A84" s="585">
        <f t="shared" si="14"/>
        <v>38</v>
      </c>
      <c r="B84" s="864" t="s">
        <v>2667</v>
      </c>
      <c r="C84" s="1334">
        <v>9696</v>
      </c>
      <c r="D84" s="1335">
        <v>2265.580000013113</v>
      </c>
      <c r="E84" s="252">
        <v>3738337.0600000024</v>
      </c>
      <c r="F84" s="252">
        <v>81207435.800000191</v>
      </c>
      <c r="G84" s="252">
        <v>616589.96000003815</v>
      </c>
      <c r="H84" s="252">
        <v>3068747.7999999523</v>
      </c>
      <c r="I84" s="252">
        <v>1982141.7400001287</v>
      </c>
      <c r="J84" s="252">
        <v>210236.60000000149</v>
      </c>
      <c r="K84" s="252">
        <v>3122690.900000006</v>
      </c>
      <c r="L84" s="252">
        <v>120156.90999999642</v>
      </c>
      <c r="M84" s="249">
        <f t="shared" si="13"/>
        <v>94078298.350000322</v>
      </c>
    </row>
    <row r="85" spans="1:13" ht="13.5" thickBot="1" x14ac:dyDescent="0.25">
      <c r="A85" s="585">
        <f t="shared" si="14"/>
        <v>39</v>
      </c>
      <c r="B85" s="863" t="s">
        <v>2668</v>
      </c>
      <c r="C85" s="1336">
        <v>-3578.8200000077486</v>
      </c>
      <c r="D85" s="1337">
        <v>2654.6500000059605</v>
      </c>
      <c r="E85" s="451">
        <v>3187947.7899999619</v>
      </c>
      <c r="F85" s="451">
        <v>180456478.5999999</v>
      </c>
      <c r="G85" s="451">
        <v>90199205.730000019</v>
      </c>
      <c r="H85" s="451">
        <v>8826318.4900001287</v>
      </c>
      <c r="I85" s="451">
        <v>33807796.019999981</v>
      </c>
      <c r="J85" s="451">
        <v>1895824.6999999955</v>
      </c>
      <c r="K85" s="451">
        <v>8638160.4599999785</v>
      </c>
      <c r="L85" s="451">
        <v>-85499254.859999999</v>
      </c>
      <c r="M85" s="393">
        <f t="shared" si="13"/>
        <v>241511552.75999993</v>
      </c>
    </row>
    <row r="86" spans="1:13" x14ac:dyDescent="0.2">
      <c r="A86" s="585">
        <f t="shared" si="14"/>
        <v>40</v>
      </c>
      <c r="B86" s="589" t="s">
        <v>5</v>
      </c>
      <c r="C86" s="1330">
        <f>SUM(C74:C85)</f>
        <v>2681978.3099999875</v>
      </c>
      <c r="D86" s="1330">
        <f t="shared" ref="D86:L86" si="15">SUM(D74:D85)</f>
        <v>27041682.100000009</v>
      </c>
      <c r="E86" s="249">
        <f t="shared" si="15"/>
        <v>43748948.459999979</v>
      </c>
      <c r="F86" s="249">
        <f t="shared" si="15"/>
        <v>600041275.0700016</v>
      </c>
      <c r="G86" s="249">
        <f t="shared" si="15"/>
        <v>170475617.71000004</v>
      </c>
      <c r="H86" s="249">
        <f t="shared" si="15"/>
        <v>57949611.650000215</v>
      </c>
      <c r="I86" s="249">
        <f t="shared" si="15"/>
        <v>88040992.200000048</v>
      </c>
      <c r="J86" s="249">
        <f t="shared" si="15"/>
        <v>2363658.3999999985</v>
      </c>
      <c r="K86" s="249">
        <f t="shared" si="15"/>
        <v>24725232.919999987</v>
      </c>
      <c r="L86" s="249">
        <f t="shared" si="15"/>
        <v>-70854250.070000008</v>
      </c>
      <c r="M86" s="249">
        <f>SUM(M74:M85)</f>
        <v>946214746.75000191</v>
      </c>
    </row>
    <row r="88" spans="1:13" x14ac:dyDescent="0.2">
      <c r="B88" s="44" t="s">
        <v>2028</v>
      </c>
      <c r="C88" s="14"/>
      <c r="D88" s="14"/>
      <c r="E88" s="14"/>
    </row>
    <row r="89" spans="1:13" x14ac:dyDescent="0.2">
      <c r="B89" s="14"/>
      <c r="C89" s="14"/>
      <c r="D89" s="14"/>
    </row>
    <row r="90" spans="1:13" x14ac:dyDescent="0.2">
      <c r="A90" s="446"/>
      <c r="B90" s="384" t="s">
        <v>396</v>
      </c>
      <c r="C90" s="384" t="s">
        <v>380</v>
      </c>
      <c r="D90" s="384" t="s">
        <v>381</v>
      </c>
      <c r="E90" s="90" t="s">
        <v>382</v>
      </c>
      <c r="F90" s="90" t="s">
        <v>383</v>
      </c>
      <c r="G90" s="90" t="s">
        <v>384</v>
      </c>
      <c r="H90" s="90" t="s">
        <v>385</v>
      </c>
      <c r="I90" s="90" t="s">
        <v>599</v>
      </c>
      <c r="J90" s="90" t="s">
        <v>1048</v>
      </c>
      <c r="K90" s="90" t="s">
        <v>1064</v>
      </c>
      <c r="L90" s="90" t="s">
        <v>1067</v>
      </c>
      <c r="M90" s="90" t="s">
        <v>1085</v>
      </c>
    </row>
    <row r="91" spans="1:13" x14ac:dyDescent="0.2">
      <c r="A91" s="247"/>
      <c r="B91" s="517"/>
      <c r="C91" s="257"/>
      <c r="D91" s="257"/>
      <c r="E91" s="247"/>
      <c r="F91" s="247"/>
      <c r="G91" s="247"/>
      <c r="H91" s="247"/>
      <c r="I91" s="247"/>
      <c r="J91" s="247"/>
      <c r="K91" s="247"/>
      <c r="M91" s="268" t="s">
        <v>1387</v>
      </c>
    </row>
    <row r="92" spans="1:13" x14ac:dyDescent="0.2">
      <c r="A92" s="247"/>
      <c r="B92" s="117"/>
      <c r="C92" s="384"/>
      <c r="D92" s="384"/>
      <c r="E92" s="247"/>
      <c r="F92" s="247"/>
      <c r="G92" s="247"/>
      <c r="H92" s="247"/>
      <c r="I92" s="247"/>
      <c r="J92" s="247"/>
      <c r="K92" s="247"/>
      <c r="L92" s="247"/>
    </row>
    <row r="93" spans="1:13" ht="13.5" thickBot="1" x14ac:dyDescent="0.25">
      <c r="A93" s="52"/>
      <c r="B93" s="131" t="s">
        <v>2084</v>
      </c>
      <c r="C93" s="384">
        <v>350.1</v>
      </c>
      <c r="D93" s="384">
        <v>350.2</v>
      </c>
      <c r="E93" s="90">
        <v>352</v>
      </c>
      <c r="F93" s="90">
        <v>353</v>
      </c>
      <c r="G93" s="90">
        <v>354</v>
      </c>
      <c r="H93" s="90">
        <v>355</v>
      </c>
      <c r="I93" s="90">
        <v>356</v>
      </c>
      <c r="J93" s="90">
        <v>357</v>
      </c>
      <c r="K93" s="90">
        <v>358</v>
      </c>
      <c r="L93" s="90">
        <v>359</v>
      </c>
      <c r="M93" s="3" t="s">
        <v>217</v>
      </c>
    </row>
    <row r="94" spans="1:13" x14ac:dyDescent="0.2">
      <c r="A94" s="585">
        <f>A86+1</f>
        <v>41</v>
      </c>
      <c r="B94" s="700" t="s">
        <v>2657</v>
      </c>
      <c r="C94" s="587">
        <v>0</v>
      </c>
      <c r="D94" s="587">
        <v>0</v>
      </c>
      <c r="E94" s="1340">
        <v>0</v>
      </c>
      <c r="F94" s="1341">
        <v>7282.5799999833107</v>
      </c>
      <c r="G94" s="252">
        <v>-37554.759999990463</v>
      </c>
      <c r="H94" s="252">
        <v>0</v>
      </c>
      <c r="I94" s="252">
        <v>-43229.439999997616</v>
      </c>
      <c r="J94" s="252">
        <v>0</v>
      </c>
      <c r="K94" s="252">
        <v>0</v>
      </c>
      <c r="L94" s="252">
        <v>0</v>
      </c>
      <c r="M94" s="1330">
        <f t="shared" ref="M94:M105" si="16">SUM(C94:L94)</f>
        <v>-73501.620000004768</v>
      </c>
    </row>
    <row r="95" spans="1:13" x14ac:dyDescent="0.2">
      <c r="A95" s="585">
        <f t="shared" ref="A95:A106" si="17">A94+1</f>
        <v>42</v>
      </c>
      <c r="B95" s="699" t="s">
        <v>2658</v>
      </c>
      <c r="C95" s="587">
        <v>2343786.2400000002</v>
      </c>
      <c r="D95" s="587">
        <v>16469544.740000002</v>
      </c>
      <c r="E95" s="1342">
        <v>27271407.394632116</v>
      </c>
      <c r="F95" s="1343">
        <v>125064191.92286792</v>
      </c>
      <c r="G95" s="252">
        <v>47155.09999999404</v>
      </c>
      <c r="H95" s="252">
        <v>0</v>
      </c>
      <c r="I95" s="252">
        <v>54280.420000001788</v>
      </c>
      <c r="J95" s="252">
        <v>0</v>
      </c>
      <c r="K95" s="252">
        <v>0</v>
      </c>
      <c r="L95" s="252">
        <v>0</v>
      </c>
      <c r="M95" s="1330">
        <f t="shared" si="16"/>
        <v>171250365.81750005</v>
      </c>
    </row>
    <row r="96" spans="1:13" x14ac:dyDescent="0.2">
      <c r="A96" s="585">
        <f t="shared" si="17"/>
        <v>43</v>
      </c>
      <c r="B96" s="699" t="s">
        <v>2659</v>
      </c>
      <c r="C96" s="587">
        <v>0</v>
      </c>
      <c r="D96" s="587">
        <v>0</v>
      </c>
      <c r="E96" s="1342">
        <v>128265.26999999583</v>
      </c>
      <c r="F96" s="1343">
        <v>531672.30000001192</v>
      </c>
      <c r="G96" s="252">
        <v>280096.84999999404</v>
      </c>
      <c r="H96" s="252">
        <v>0</v>
      </c>
      <c r="I96" s="252">
        <v>322420.57999999821</v>
      </c>
      <c r="J96" s="252">
        <v>0</v>
      </c>
      <c r="K96" s="252">
        <v>0</v>
      </c>
      <c r="L96" s="252">
        <v>0</v>
      </c>
      <c r="M96" s="1330">
        <f t="shared" si="16"/>
        <v>1262455</v>
      </c>
    </row>
    <row r="97" spans="1:13" x14ac:dyDescent="0.2">
      <c r="A97" s="585">
        <f t="shared" si="17"/>
        <v>44</v>
      </c>
      <c r="B97" s="700" t="s">
        <v>2660</v>
      </c>
      <c r="C97" s="587">
        <v>0</v>
      </c>
      <c r="D97" s="587">
        <v>0</v>
      </c>
      <c r="E97" s="1342">
        <v>232230.45000000298</v>
      </c>
      <c r="F97" s="1343">
        <v>1057167.4600000381</v>
      </c>
      <c r="G97" s="252">
        <v>70700149.700000018</v>
      </c>
      <c r="H97" s="252">
        <v>0</v>
      </c>
      <c r="I97" s="252">
        <v>40976201.709999979</v>
      </c>
      <c r="J97" s="252">
        <v>0</v>
      </c>
      <c r="K97" s="252">
        <v>0</v>
      </c>
      <c r="L97" s="252">
        <v>13617281.439999998</v>
      </c>
      <c r="M97" s="1330">
        <f t="shared" si="16"/>
        <v>126583030.76000004</v>
      </c>
    </row>
    <row r="98" spans="1:13" x14ac:dyDescent="0.2">
      <c r="A98" s="585">
        <f t="shared" si="17"/>
        <v>45</v>
      </c>
      <c r="B98" s="699" t="s">
        <v>2661</v>
      </c>
      <c r="C98" s="587">
        <v>0</v>
      </c>
      <c r="D98" s="587">
        <v>6469.2999999970198</v>
      </c>
      <c r="E98" s="1342">
        <v>-122330.95000000298</v>
      </c>
      <c r="F98" s="1343">
        <v>-637634.74000000954</v>
      </c>
      <c r="G98" s="252">
        <v>284965.27000001073</v>
      </c>
      <c r="H98" s="252">
        <v>0</v>
      </c>
      <c r="I98" s="252">
        <v>-156943.26999999583</v>
      </c>
      <c r="J98" s="252">
        <v>0</v>
      </c>
      <c r="K98" s="252">
        <v>0</v>
      </c>
      <c r="L98" s="252">
        <v>63022.79999999702</v>
      </c>
      <c r="M98" s="1330">
        <f t="shared" si="16"/>
        <v>-562451.59000000358</v>
      </c>
    </row>
    <row r="99" spans="1:13" x14ac:dyDescent="0.2">
      <c r="A99" s="585">
        <f t="shared" si="17"/>
        <v>46</v>
      </c>
      <c r="B99" s="699" t="s">
        <v>2669</v>
      </c>
      <c r="C99" s="587">
        <v>0</v>
      </c>
      <c r="D99" s="587">
        <v>10584.020000003278</v>
      </c>
      <c r="E99" s="1342">
        <v>136122.93000000715</v>
      </c>
      <c r="F99" s="1343">
        <v>600281.50999999046</v>
      </c>
      <c r="G99" s="252">
        <v>-270812.28999999166</v>
      </c>
      <c r="H99" s="252">
        <v>2224.2400000020862</v>
      </c>
      <c r="I99" s="252">
        <v>96684.890000000596</v>
      </c>
      <c r="J99" s="252">
        <v>0</v>
      </c>
      <c r="K99" s="252">
        <v>0</v>
      </c>
      <c r="L99" s="252">
        <v>-68661.680000007153</v>
      </c>
      <c r="M99" s="1330">
        <f t="shared" si="16"/>
        <v>506423.62000000477</v>
      </c>
    </row>
    <row r="100" spans="1:13" ht="13.5" thickBot="1" x14ac:dyDescent="0.25">
      <c r="A100" s="585">
        <f t="shared" si="17"/>
        <v>47</v>
      </c>
      <c r="B100" s="700" t="s">
        <v>2663</v>
      </c>
      <c r="C100" s="587">
        <v>0</v>
      </c>
      <c r="D100" s="587">
        <v>0</v>
      </c>
      <c r="E100" s="1342">
        <v>167732.18999999762</v>
      </c>
      <c r="F100" s="1343">
        <v>16005937.699999928</v>
      </c>
      <c r="G100" s="252">
        <v>666287.37999999523</v>
      </c>
      <c r="H100" s="252">
        <v>171.09000000357628</v>
      </c>
      <c r="I100" s="252">
        <v>240636.67000000179</v>
      </c>
      <c r="J100" s="252">
        <v>0</v>
      </c>
      <c r="K100" s="252">
        <v>0</v>
      </c>
      <c r="L100" s="252">
        <v>121906.43000000715</v>
      </c>
      <c r="M100" s="1330">
        <f t="shared" si="16"/>
        <v>17202671.459999934</v>
      </c>
    </row>
    <row r="101" spans="1:13" ht="13.5" thickBot="1" x14ac:dyDescent="0.25">
      <c r="A101" s="585">
        <f t="shared" si="17"/>
        <v>48</v>
      </c>
      <c r="B101" s="699" t="s">
        <v>2664</v>
      </c>
      <c r="C101" s="587">
        <v>0</v>
      </c>
      <c r="D101" s="587">
        <v>8757431.6700000018</v>
      </c>
      <c r="E101" s="1342">
        <v>276116.67999999225</v>
      </c>
      <c r="F101" s="1343">
        <v>103951480.80869997</v>
      </c>
      <c r="G101" s="252">
        <v>5550042.900000006</v>
      </c>
      <c r="H101" s="1347">
        <v>3067932.700000003</v>
      </c>
      <c r="I101" s="252">
        <v>-8474142.0400000066</v>
      </c>
      <c r="J101" s="252">
        <v>0</v>
      </c>
      <c r="K101" s="252">
        <v>0</v>
      </c>
      <c r="L101" s="252">
        <v>113348.12000000477</v>
      </c>
      <c r="M101" s="1330">
        <f t="shared" si="16"/>
        <v>113242210.83869997</v>
      </c>
    </row>
    <row r="102" spans="1:13" x14ac:dyDescent="0.2">
      <c r="A102" s="585">
        <f t="shared" si="17"/>
        <v>49</v>
      </c>
      <c r="B102" s="699" t="s">
        <v>2665</v>
      </c>
      <c r="C102" s="587">
        <v>0</v>
      </c>
      <c r="D102" s="587">
        <v>-539.13000000268221</v>
      </c>
      <c r="E102" s="1342">
        <v>36693.020000010729</v>
      </c>
      <c r="F102" s="1343">
        <v>106887.81000006199</v>
      </c>
      <c r="G102" s="252">
        <v>1626619.0399999917</v>
      </c>
      <c r="H102" s="252">
        <v>0</v>
      </c>
      <c r="I102" s="252">
        <v>940090.43000000715</v>
      </c>
      <c r="J102" s="252">
        <v>0</v>
      </c>
      <c r="K102" s="252">
        <v>0</v>
      </c>
      <c r="L102" s="252">
        <v>229144.32999999821</v>
      </c>
      <c r="M102" s="1330">
        <f t="shared" si="16"/>
        <v>2938895.5000000671</v>
      </c>
    </row>
    <row r="103" spans="1:13" x14ac:dyDescent="0.2">
      <c r="A103" s="585">
        <f t="shared" si="17"/>
        <v>50</v>
      </c>
      <c r="B103" s="700" t="s">
        <v>2666</v>
      </c>
      <c r="C103" s="587">
        <v>0</v>
      </c>
      <c r="D103" s="587">
        <v>0</v>
      </c>
      <c r="E103" s="1342">
        <v>42588.619999989867</v>
      </c>
      <c r="F103" s="1343">
        <v>-372066.88999998569</v>
      </c>
      <c r="G103" s="252">
        <v>950939.56999999285</v>
      </c>
      <c r="H103" s="252">
        <v>0</v>
      </c>
      <c r="I103" s="252">
        <v>540862.03000000119</v>
      </c>
      <c r="J103" s="252">
        <v>0</v>
      </c>
      <c r="K103" s="252">
        <v>0</v>
      </c>
      <c r="L103" s="252">
        <v>356654.20000000298</v>
      </c>
      <c r="M103" s="1330">
        <f t="shared" si="16"/>
        <v>1518977.5300000012</v>
      </c>
    </row>
    <row r="104" spans="1:13" ht="13.5" thickBot="1" x14ac:dyDescent="0.25">
      <c r="A104" s="585">
        <f t="shared" si="17"/>
        <v>51</v>
      </c>
      <c r="B104" s="700" t="s">
        <v>2667</v>
      </c>
      <c r="C104" s="587">
        <v>0</v>
      </c>
      <c r="D104" s="587">
        <v>2251.7100000008941</v>
      </c>
      <c r="E104" s="1342">
        <v>4891250.1099999994</v>
      </c>
      <c r="F104" s="1343">
        <v>6958079.3899999857</v>
      </c>
      <c r="G104" s="252">
        <v>305199.81000000238</v>
      </c>
      <c r="H104" s="252">
        <v>0</v>
      </c>
      <c r="I104" s="252">
        <v>165258.93999999762</v>
      </c>
      <c r="J104" s="252">
        <v>0</v>
      </c>
      <c r="K104" s="252">
        <v>0</v>
      </c>
      <c r="L104" s="252">
        <v>81149.530000001192</v>
      </c>
      <c r="M104" s="1330">
        <f t="shared" si="16"/>
        <v>12403189.489999987</v>
      </c>
    </row>
    <row r="105" spans="1:13" ht="13.5" thickBot="1" x14ac:dyDescent="0.25">
      <c r="A105" s="585">
        <f t="shared" si="17"/>
        <v>52</v>
      </c>
      <c r="B105" s="699" t="s">
        <v>2668</v>
      </c>
      <c r="C105" s="123">
        <v>0</v>
      </c>
      <c r="D105" s="123">
        <v>839.46999999880791</v>
      </c>
      <c r="E105" s="1344">
        <v>838621.09000000358</v>
      </c>
      <c r="F105" s="1345">
        <v>172122877.78039992</v>
      </c>
      <c r="G105" s="1346">
        <v>87999265.421825737</v>
      </c>
      <c r="H105" s="451">
        <v>4930858.799999997</v>
      </c>
      <c r="I105" s="1346">
        <v>33020299.267196923</v>
      </c>
      <c r="J105" s="451">
        <v>0</v>
      </c>
      <c r="K105" s="451">
        <v>0</v>
      </c>
      <c r="L105" s="1346">
        <v>-85499023.879408121</v>
      </c>
      <c r="M105" s="1348">
        <f t="shared" si="16"/>
        <v>213413737.95001447</v>
      </c>
    </row>
    <row r="106" spans="1:13" x14ac:dyDescent="0.2">
      <c r="A106" s="585">
        <f t="shared" si="17"/>
        <v>53</v>
      </c>
      <c r="B106" s="589" t="s">
        <v>5</v>
      </c>
      <c r="C106" s="249">
        <f>SUM(C94:C105)</f>
        <v>2343786.2400000002</v>
      </c>
      <c r="D106" s="249">
        <f t="shared" ref="D106:L106" si="18">SUM(D94:D105)</f>
        <v>25246581.780000001</v>
      </c>
      <c r="E106" s="1330">
        <f t="shared" si="18"/>
        <v>33898696.804632112</v>
      </c>
      <c r="F106" s="1330">
        <f t="shared" si="18"/>
        <v>425396157.63196778</v>
      </c>
      <c r="G106" s="1330">
        <f t="shared" si="18"/>
        <v>168102353.99182576</v>
      </c>
      <c r="H106" s="1330">
        <f t="shared" si="18"/>
        <v>8001186.8300000057</v>
      </c>
      <c r="I106" s="1330">
        <f t="shared" si="18"/>
        <v>67682420.18719691</v>
      </c>
      <c r="J106" s="249">
        <f t="shared" si="18"/>
        <v>0</v>
      </c>
      <c r="K106" s="249">
        <f t="shared" si="18"/>
        <v>0</v>
      </c>
      <c r="L106" s="1330">
        <f t="shared" si="18"/>
        <v>-70985178.709408119</v>
      </c>
      <c r="M106" s="1330">
        <f>SUM(M94:M105)</f>
        <v>659686004.7562145</v>
      </c>
    </row>
    <row r="108" spans="1:13" x14ac:dyDescent="0.2">
      <c r="B108" s="44" t="s">
        <v>2029</v>
      </c>
      <c r="C108" s="14"/>
      <c r="D108" s="14"/>
      <c r="E108" s="14"/>
      <c r="F108" s="14"/>
      <c r="G108" s="14"/>
    </row>
    <row r="109" spans="1:13" x14ac:dyDescent="0.2">
      <c r="B109" s="14"/>
      <c r="C109" s="14"/>
      <c r="D109" s="14"/>
      <c r="E109" s="14"/>
      <c r="F109" s="14"/>
      <c r="G109" s="14"/>
    </row>
    <row r="110" spans="1:13" x14ac:dyDescent="0.2">
      <c r="A110" s="446"/>
      <c r="B110" s="384" t="s">
        <v>396</v>
      </c>
      <c r="C110" s="384" t="s">
        <v>380</v>
      </c>
      <c r="D110" s="384" t="s">
        <v>381</v>
      </c>
      <c r="E110" s="384" t="s">
        <v>382</v>
      </c>
      <c r="F110" s="384" t="s">
        <v>383</v>
      </c>
      <c r="G110" s="384" t="s">
        <v>384</v>
      </c>
      <c r="H110" s="90" t="s">
        <v>385</v>
      </c>
      <c r="I110" s="90" t="s">
        <v>599</v>
      </c>
      <c r="J110" s="90" t="s">
        <v>1048</v>
      </c>
      <c r="K110" s="90" t="s">
        <v>1064</v>
      </c>
      <c r="L110" s="90" t="s">
        <v>1067</v>
      </c>
      <c r="M110" s="90" t="s">
        <v>1085</v>
      </c>
    </row>
    <row r="111" spans="1:13" x14ac:dyDescent="0.2">
      <c r="A111" s="247"/>
      <c r="B111" s="517"/>
      <c r="C111" s="257"/>
      <c r="D111" s="257"/>
      <c r="E111" s="257"/>
      <c r="F111" s="257"/>
      <c r="G111" s="257"/>
      <c r="H111" s="247"/>
      <c r="I111" s="247"/>
      <c r="J111" s="247"/>
      <c r="K111" s="247"/>
      <c r="M111" s="268" t="s">
        <v>1387</v>
      </c>
    </row>
    <row r="112" spans="1:13" x14ac:dyDescent="0.2">
      <c r="A112" s="247"/>
      <c r="B112" s="117"/>
      <c r="C112" s="384"/>
      <c r="D112" s="384"/>
      <c r="E112" s="257"/>
      <c r="F112" s="257"/>
      <c r="G112" s="257"/>
      <c r="H112" s="247"/>
      <c r="I112" s="247"/>
      <c r="J112" s="247"/>
      <c r="K112" s="247"/>
      <c r="L112" s="247"/>
    </row>
    <row r="113" spans="1:13" x14ac:dyDescent="0.2">
      <c r="A113" s="52"/>
      <c r="B113" s="131" t="s">
        <v>2084</v>
      </c>
      <c r="C113" s="384">
        <v>350.1</v>
      </c>
      <c r="D113" s="384">
        <v>350.2</v>
      </c>
      <c r="E113" s="384">
        <v>352</v>
      </c>
      <c r="F113" s="384">
        <v>353</v>
      </c>
      <c r="G113" s="384">
        <v>354</v>
      </c>
      <c r="H113" s="90">
        <v>355</v>
      </c>
      <c r="I113" s="90">
        <v>356</v>
      </c>
      <c r="J113" s="90">
        <v>357</v>
      </c>
      <c r="K113" s="90">
        <v>358</v>
      </c>
      <c r="L113" s="90">
        <v>359</v>
      </c>
      <c r="M113" s="3" t="s">
        <v>217</v>
      </c>
    </row>
    <row r="114" spans="1:13" x14ac:dyDescent="0.2">
      <c r="A114" s="585">
        <f>A106+1</f>
        <v>54</v>
      </c>
      <c r="B114" s="864" t="s">
        <v>2657</v>
      </c>
      <c r="C114" s="563">
        <f t="shared" ref="C114:L114" si="19">C74-C94</f>
        <v>0</v>
      </c>
      <c r="D114" s="563">
        <f t="shared" si="19"/>
        <v>38961.65000000596</v>
      </c>
      <c r="E114" s="1290">
        <f t="shared" si="19"/>
        <v>112047.25999999046</v>
      </c>
      <c r="F114" s="1290">
        <f t="shared" si="19"/>
        <v>10009958.030001581</v>
      </c>
      <c r="G114" s="563">
        <f t="shared" si="19"/>
        <v>327840.97000002861</v>
      </c>
      <c r="H114" s="563">
        <f t="shared" si="19"/>
        <v>5121414.9800000191</v>
      </c>
      <c r="I114" s="563">
        <f t="shared" si="19"/>
        <v>2281488.4200000167</v>
      </c>
      <c r="J114" s="563">
        <f t="shared" si="19"/>
        <v>2404.9399999976158</v>
      </c>
      <c r="K114" s="563">
        <f t="shared" si="19"/>
        <v>6956567.9600000083</v>
      </c>
      <c r="L114" s="563">
        <f t="shared" si="19"/>
        <v>20.239999994635582</v>
      </c>
      <c r="M114" s="1330">
        <f t="shared" ref="M114:M125" si="20">SUM(C114:L114)</f>
        <v>24850704.450001642</v>
      </c>
    </row>
    <row r="115" spans="1:13" x14ac:dyDescent="0.2">
      <c r="A115" s="585">
        <f t="shared" ref="A115:A126" si="21">A114+1</f>
        <v>55</v>
      </c>
      <c r="B115" s="863" t="s">
        <v>2658</v>
      </c>
      <c r="C115" s="563">
        <f t="shared" ref="C115:L115" si="22">C75-C95</f>
        <v>-5.5879354476928711E-9</v>
      </c>
      <c r="D115" s="563">
        <f t="shared" si="22"/>
        <v>169313.25999998301</v>
      </c>
      <c r="E115" s="1290">
        <f t="shared" si="22"/>
        <v>736773.23536793888</v>
      </c>
      <c r="F115" s="1290">
        <f t="shared" si="22"/>
        <v>7117084.4671319425</v>
      </c>
      <c r="G115" s="563">
        <f t="shared" si="22"/>
        <v>33421.039999991655</v>
      </c>
      <c r="H115" s="563">
        <f t="shared" si="22"/>
        <v>1788944.7400000095</v>
      </c>
      <c r="I115" s="563">
        <f t="shared" si="22"/>
        <v>603821.13999994099</v>
      </c>
      <c r="J115" s="563">
        <f t="shared" si="22"/>
        <v>-1916367.9799999967</v>
      </c>
      <c r="K115" s="563">
        <f t="shared" si="22"/>
        <v>1945393.849999994</v>
      </c>
      <c r="L115" s="563">
        <f t="shared" si="22"/>
        <v>20136.209999993443</v>
      </c>
      <c r="M115" s="1330">
        <f t="shared" si="20"/>
        <v>10498519.962499792</v>
      </c>
    </row>
    <row r="116" spans="1:13" x14ac:dyDescent="0.2">
      <c r="A116" s="585">
        <f t="shared" si="21"/>
        <v>56</v>
      </c>
      <c r="B116" s="863" t="s">
        <v>2659</v>
      </c>
      <c r="C116" s="563">
        <f t="shared" ref="C116:L116" si="23">C76-C96</f>
        <v>92168.399999991059</v>
      </c>
      <c r="D116" s="563">
        <f t="shared" si="23"/>
        <v>2082251.6100000143</v>
      </c>
      <c r="E116" s="1290">
        <f t="shared" si="23"/>
        <v>202347.15999995172</v>
      </c>
      <c r="F116" s="1290">
        <f t="shared" si="23"/>
        <v>15601209.45999974</v>
      </c>
      <c r="G116" s="563">
        <f t="shared" si="23"/>
        <v>9456.880000025034</v>
      </c>
      <c r="H116" s="563">
        <f t="shared" si="23"/>
        <v>3631131.3200000525</v>
      </c>
      <c r="I116" s="563">
        <f t="shared" si="23"/>
        <v>-316538.6099999696</v>
      </c>
      <c r="J116" s="563">
        <f t="shared" si="23"/>
        <v>84678.039999999106</v>
      </c>
      <c r="K116" s="563">
        <f t="shared" si="23"/>
        <v>-608360.90999999642</v>
      </c>
      <c r="L116" s="563">
        <f t="shared" si="23"/>
        <v>92982.490000009537</v>
      </c>
      <c r="M116" s="1330">
        <f t="shared" si="20"/>
        <v>20871325.839999817</v>
      </c>
    </row>
    <row r="117" spans="1:13" x14ac:dyDescent="0.2">
      <c r="A117" s="585">
        <f t="shared" si="21"/>
        <v>57</v>
      </c>
      <c r="B117" s="864" t="s">
        <v>2660</v>
      </c>
      <c r="C117" s="563">
        <f t="shared" ref="C117:L117" si="24">C77-C97</f>
        <v>0</v>
      </c>
      <c r="D117" s="563">
        <f t="shared" si="24"/>
        <v>-41711.370000004768</v>
      </c>
      <c r="E117" s="1290">
        <f t="shared" si="24"/>
        <v>869572.80999998748</v>
      </c>
      <c r="F117" s="1290">
        <f t="shared" si="24"/>
        <v>29259213.400000095</v>
      </c>
      <c r="G117" s="563">
        <f t="shared" si="24"/>
        <v>-118455.82000002265</v>
      </c>
      <c r="H117" s="563">
        <f t="shared" si="24"/>
        <v>8398050.3999999762</v>
      </c>
      <c r="I117" s="563">
        <f t="shared" si="24"/>
        <v>-1835317.2400000691</v>
      </c>
      <c r="J117" s="563">
        <f t="shared" si="24"/>
        <v>-923.50999999791384</v>
      </c>
      <c r="K117" s="563">
        <f t="shared" si="24"/>
        <v>-44462.060000002384</v>
      </c>
      <c r="L117" s="563">
        <f t="shared" si="24"/>
        <v>-1281.6899999976158</v>
      </c>
      <c r="M117" s="1330">
        <f t="shared" si="20"/>
        <v>36484684.919999965</v>
      </c>
    </row>
    <row r="118" spans="1:13" x14ac:dyDescent="0.2">
      <c r="A118" s="585">
        <f t="shared" si="21"/>
        <v>58</v>
      </c>
      <c r="B118" s="863" t="s">
        <v>2661</v>
      </c>
      <c r="C118" s="563">
        <f t="shared" ref="C118:L118" si="25">C78-C98</f>
        <v>0</v>
      </c>
      <c r="D118" s="563">
        <f t="shared" si="25"/>
        <v>80408.460000023246</v>
      </c>
      <c r="E118" s="1290">
        <f t="shared" si="25"/>
        <v>472998.2800000459</v>
      </c>
      <c r="F118" s="1290">
        <f t="shared" si="25"/>
        <v>18608719.609999418</v>
      </c>
      <c r="G118" s="563">
        <f t="shared" si="25"/>
        <v>-353797.98000004888</v>
      </c>
      <c r="H118" s="563">
        <f t="shared" si="25"/>
        <v>-1228644.0500000715</v>
      </c>
      <c r="I118" s="563">
        <f t="shared" si="25"/>
        <v>-1097099.4699998945</v>
      </c>
      <c r="J118" s="563">
        <f t="shared" si="25"/>
        <v>414601.78000000119</v>
      </c>
      <c r="K118" s="563">
        <f t="shared" si="25"/>
        <v>2284505.2699999809</v>
      </c>
      <c r="L118" s="563">
        <f t="shared" si="25"/>
        <v>9016.9099999964237</v>
      </c>
      <c r="M118" s="1330">
        <f t="shared" si="20"/>
        <v>19190708.809999451</v>
      </c>
    </row>
    <row r="119" spans="1:13" x14ac:dyDescent="0.2">
      <c r="A119" s="585">
        <f t="shared" si="21"/>
        <v>59</v>
      </c>
      <c r="B119" s="863" t="s">
        <v>2669</v>
      </c>
      <c r="C119" s="563">
        <f t="shared" ref="C119:L119" si="26">C79-C99</f>
        <v>239906.49000000954</v>
      </c>
      <c r="D119" s="563">
        <f t="shared" si="26"/>
        <v>-239886.12000002712</v>
      </c>
      <c r="E119" s="1290">
        <f t="shared" si="26"/>
        <v>2556011.0799999833</v>
      </c>
      <c r="F119" s="1290">
        <f t="shared" si="26"/>
        <v>45704862.740000963</v>
      </c>
      <c r="G119" s="563">
        <f t="shared" si="26"/>
        <v>12717.520000010729</v>
      </c>
      <c r="H119" s="563">
        <f t="shared" si="26"/>
        <v>2562560.1100000218</v>
      </c>
      <c r="I119" s="563">
        <f t="shared" si="26"/>
        <v>805625.2800000757</v>
      </c>
      <c r="J119" s="563">
        <f t="shared" si="26"/>
        <v>1787725.7599999979</v>
      </c>
      <c r="K119" s="563">
        <f t="shared" si="26"/>
        <v>2536830.4500000179</v>
      </c>
      <c r="L119" s="563">
        <f t="shared" si="26"/>
        <v>5.7100000232458115</v>
      </c>
      <c r="M119" s="1330">
        <f t="shared" si="20"/>
        <v>55966359.020001076</v>
      </c>
    </row>
    <row r="120" spans="1:13" x14ac:dyDescent="0.2">
      <c r="A120" s="585">
        <f t="shared" si="21"/>
        <v>60</v>
      </c>
      <c r="B120" s="864" t="s">
        <v>2663</v>
      </c>
      <c r="C120" s="563">
        <f t="shared" ref="C120:L120" si="27">C80-C100</f>
        <v>0</v>
      </c>
      <c r="D120" s="563">
        <f t="shared" si="27"/>
        <v>7.9300000071525574</v>
      </c>
      <c r="E120" s="1290">
        <f t="shared" si="27"/>
        <v>2431725.6399999857</v>
      </c>
      <c r="F120" s="1290">
        <f t="shared" si="27"/>
        <v>43135493.780000091</v>
      </c>
      <c r="G120" s="563">
        <f t="shared" si="27"/>
        <v>-84433.710000038147</v>
      </c>
      <c r="H120" s="563">
        <f t="shared" si="27"/>
        <v>9298312.7300000489</v>
      </c>
      <c r="I120" s="563">
        <f t="shared" si="27"/>
        <v>20514514.289999917</v>
      </c>
      <c r="J120" s="563">
        <f t="shared" si="27"/>
        <v>-143058.24000000209</v>
      </c>
      <c r="K120" s="563">
        <f t="shared" si="27"/>
        <v>-656665.43000000715</v>
      </c>
      <c r="L120" s="563">
        <f t="shared" si="27"/>
        <v>-21.730000019073486</v>
      </c>
      <c r="M120" s="1330">
        <f t="shared" si="20"/>
        <v>74495875.25999999</v>
      </c>
    </row>
    <row r="121" spans="1:13" x14ac:dyDescent="0.2">
      <c r="A121" s="585">
        <f t="shared" si="21"/>
        <v>61</v>
      </c>
      <c r="B121" s="863" t="s">
        <v>2664</v>
      </c>
      <c r="C121" s="1290">
        <f t="shared" ref="C121:L121" si="28">C81-C101</f>
        <v>0</v>
      </c>
      <c r="D121" s="1290">
        <f t="shared" si="28"/>
        <v>8189.8399999886751</v>
      </c>
      <c r="E121" s="1290">
        <f t="shared" si="28"/>
        <v>-1512822.789999947</v>
      </c>
      <c r="F121" s="1290">
        <f t="shared" si="28"/>
        <v>2908271.3713003397</v>
      </c>
      <c r="G121" s="563">
        <f t="shared" si="28"/>
        <v>-32084.089999943972</v>
      </c>
      <c r="H121" s="1290">
        <f t="shared" si="28"/>
        <v>2615609.6899999827</v>
      </c>
      <c r="I121" s="563">
        <f t="shared" si="28"/>
        <v>-58615.089999988675</v>
      </c>
      <c r="J121" s="563">
        <f t="shared" si="28"/>
        <v>-105.92000000178814</v>
      </c>
      <c r="K121" s="563">
        <f t="shared" si="28"/>
        <v>-73659.40000000596</v>
      </c>
      <c r="L121" s="563">
        <f t="shared" si="28"/>
        <v>-27273.560000002384</v>
      </c>
      <c r="M121" s="1330">
        <f t="shared" si="20"/>
        <v>3827510.0513004214</v>
      </c>
    </row>
    <row r="122" spans="1:13" x14ac:dyDescent="0.2">
      <c r="A122" s="585">
        <f t="shared" si="21"/>
        <v>62</v>
      </c>
      <c r="B122" s="863" t="s">
        <v>2665</v>
      </c>
      <c r="C122" s="1290">
        <f t="shared" ref="C122:L122" si="29">C82-C102</f>
        <v>0</v>
      </c>
      <c r="D122" s="1290">
        <f t="shared" si="29"/>
        <v>-307967.0399999842</v>
      </c>
      <c r="E122" s="1290">
        <f t="shared" si="29"/>
        <v>1268709.4199999273</v>
      </c>
      <c r="F122" s="1290">
        <f t="shared" si="29"/>
        <v>9518743.8899992704</v>
      </c>
      <c r="G122" s="563">
        <f t="shared" si="29"/>
        <v>59387.239999979734</v>
      </c>
      <c r="H122" s="563">
        <f t="shared" si="29"/>
        <v>9016397.5199999809</v>
      </c>
      <c r="I122" s="563">
        <f t="shared" si="29"/>
        <v>-3015798.2299999595</v>
      </c>
      <c r="J122" s="563">
        <f t="shared" si="29"/>
        <v>14852.740000002086</v>
      </c>
      <c r="K122" s="563">
        <f t="shared" si="29"/>
        <v>-72859.959999978542</v>
      </c>
      <c r="L122" s="563">
        <f t="shared" si="29"/>
        <v>-1432.3400000035763</v>
      </c>
      <c r="M122" s="1330">
        <f t="shared" si="20"/>
        <v>16480033.239999235</v>
      </c>
    </row>
    <row r="123" spans="1:13" x14ac:dyDescent="0.2">
      <c r="A123" s="585">
        <f t="shared" si="21"/>
        <v>63</v>
      </c>
      <c r="B123" s="864" t="s">
        <v>2666</v>
      </c>
      <c r="C123" s="1290">
        <f t="shared" ref="C123:L123" si="30">C83-C103</f>
        <v>0</v>
      </c>
      <c r="D123" s="1290">
        <f t="shared" si="30"/>
        <v>3703.0499999821186</v>
      </c>
      <c r="E123" s="1290">
        <f t="shared" si="30"/>
        <v>1516475.9100000411</v>
      </c>
      <c r="F123" s="1290">
        <f t="shared" si="30"/>
        <v>-89801396.539999843</v>
      </c>
      <c r="G123" s="563">
        <f t="shared" si="30"/>
        <v>7881.2099999785423</v>
      </c>
      <c r="H123" s="563">
        <f t="shared" si="30"/>
        <v>1780439.8900001049</v>
      </c>
      <c r="I123" s="563">
        <f t="shared" si="30"/>
        <v>-127888.0300001204</v>
      </c>
      <c r="J123" s="563">
        <f t="shared" si="30"/>
        <v>13789.490000002086</v>
      </c>
      <c r="K123" s="563">
        <f t="shared" si="30"/>
        <v>697091.78999999166</v>
      </c>
      <c r="L123" s="563">
        <f t="shared" si="30"/>
        <v>0</v>
      </c>
      <c r="M123" s="1330">
        <f t="shared" si="20"/>
        <v>-85909903.22999987</v>
      </c>
    </row>
    <row r="124" spans="1:13" x14ac:dyDescent="0.2">
      <c r="A124" s="585">
        <f t="shared" si="21"/>
        <v>64</v>
      </c>
      <c r="B124" s="864" t="s">
        <v>2667</v>
      </c>
      <c r="C124" s="1290">
        <f t="shared" ref="C124:L124" si="31">C84-C104</f>
        <v>9696</v>
      </c>
      <c r="D124" s="1290">
        <f t="shared" si="31"/>
        <v>13.870000012218952</v>
      </c>
      <c r="E124" s="1290">
        <f t="shared" si="31"/>
        <v>-1152913.049999997</v>
      </c>
      <c r="F124" s="1290">
        <f t="shared" si="31"/>
        <v>74249356.410000205</v>
      </c>
      <c r="G124" s="563">
        <f t="shared" si="31"/>
        <v>311390.15000003576</v>
      </c>
      <c r="H124" s="563">
        <f t="shared" si="31"/>
        <v>3068747.7999999523</v>
      </c>
      <c r="I124" s="563">
        <f t="shared" si="31"/>
        <v>1816882.8000001311</v>
      </c>
      <c r="J124" s="563">
        <f t="shared" si="31"/>
        <v>210236.60000000149</v>
      </c>
      <c r="K124" s="563">
        <f t="shared" si="31"/>
        <v>3122690.900000006</v>
      </c>
      <c r="L124" s="563">
        <f t="shared" si="31"/>
        <v>39007.379999995232</v>
      </c>
      <c r="M124" s="1330">
        <f t="shared" si="20"/>
        <v>81675108.860000342</v>
      </c>
    </row>
    <row r="125" spans="1:13" x14ac:dyDescent="0.2">
      <c r="A125" s="585">
        <f t="shared" si="21"/>
        <v>65</v>
      </c>
      <c r="B125" s="863" t="s">
        <v>2668</v>
      </c>
      <c r="C125" s="1349">
        <f t="shared" ref="C125:L125" si="32">C85-C105</f>
        <v>-3578.8200000077486</v>
      </c>
      <c r="D125" s="1349">
        <f t="shared" si="32"/>
        <v>1815.1800000071526</v>
      </c>
      <c r="E125" s="1349">
        <f t="shared" si="32"/>
        <v>2349326.6999999583</v>
      </c>
      <c r="F125" s="1349">
        <f t="shared" si="32"/>
        <v>8333600.8195999861</v>
      </c>
      <c r="G125" s="1349">
        <f t="shared" si="32"/>
        <v>2199940.3081742823</v>
      </c>
      <c r="H125" s="118">
        <f t="shared" si="32"/>
        <v>3895459.6900001317</v>
      </c>
      <c r="I125" s="1349">
        <f t="shared" si="32"/>
        <v>787496.75280305743</v>
      </c>
      <c r="J125" s="118">
        <f t="shared" si="32"/>
        <v>1895824.6999999955</v>
      </c>
      <c r="K125" s="118">
        <f t="shared" si="32"/>
        <v>8638160.4599999785</v>
      </c>
      <c r="L125" s="1349">
        <f t="shared" si="32"/>
        <v>-230.98059187829494</v>
      </c>
      <c r="M125" s="1348">
        <f t="shared" si="20"/>
        <v>28097814.809985511</v>
      </c>
    </row>
    <row r="126" spans="1:13" x14ac:dyDescent="0.2">
      <c r="A126" s="585">
        <f t="shared" si="21"/>
        <v>66</v>
      </c>
      <c r="B126" s="589" t="s">
        <v>5</v>
      </c>
      <c r="C126" s="1330">
        <f>SUM(C114:C125)</f>
        <v>338192.06999998726</v>
      </c>
      <c r="D126" s="1330">
        <f t="shared" ref="D126:L126" si="33">SUM(D114:D125)</f>
        <v>1795100.3200000077</v>
      </c>
      <c r="E126" s="1330">
        <f t="shared" si="33"/>
        <v>9850251.6553678662</v>
      </c>
      <c r="F126" s="1330">
        <f t="shared" si="33"/>
        <v>174645117.43803379</v>
      </c>
      <c r="G126" s="1330">
        <f t="shared" si="33"/>
        <v>2373263.7181742787</v>
      </c>
      <c r="H126" s="1330">
        <f t="shared" si="33"/>
        <v>49948424.820000209</v>
      </c>
      <c r="I126" s="1330">
        <f t="shared" si="33"/>
        <v>20358572.012803137</v>
      </c>
      <c r="J126" s="249">
        <f t="shared" si="33"/>
        <v>2363658.3999999985</v>
      </c>
      <c r="K126" s="249">
        <f t="shared" si="33"/>
        <v>24725232.919999987</v>
      </c>
      <c r="L126" s="1330">
        <f t="shared" si="33"/>
        <v>130928.63940811157</v>
      </c>
      <c r="M126" s="1330">
        <f>SUM(M114:M125)</f>
        <v>286528741.99378735</v>
      </c>
    </row>
    <row r="128" spans="1:13" x14ac:dyDescent="0.2">
      <c r="B128" s="1" t="s">
        <v>1765</v>
      </c>
    </row>
    <row r="129" spans="1:13" x14ac:dyDescent="0.2">
      <c r="B129" s="552" t="s">
        <v>1766</v>
      </c>
    </row>
    <row r="130" spans="1:13" x14ac:dyDescent="0.2">
      <c r="B130" s="16"/>
      <c r="C130" s="90">
        <v>350.1</v>
      </c>
      <c r="D130" s="90">
        <v>350.2</v>
      </c>
      <c r="E130" s="90">
        <v>352</v>
      </c>
      <c r="F130" s="90">
        <v>353</v>
      </c>
      <c r="G130" s="90">
        <v>354</v>
      </c>
      <c r="H130" s="90">
        <v>355</v>
      </c>
      <c r="I130" s="90">
        <v>356</v>
      </c>
      <c r="J130" s="90">
        <v>357</v>
      </c>
      <c r="K130" s="90">
        <v>358</v>
      </c>
      <c r="L130" s="90">
        <v>359</v>
      </c>
      <c r="M130" s="3" t="s">
        <v>217</v>
      </c>
    </row>
    <row r="131" spans="1:13" x14ac:dyDescent="0.2">
      <c r="A131" s="585">
        <f>A126+1</f>
        <v>67</v>
      </c>
      <c r="B131" s="16"/>
      <c r="C131" s="1350">
        <f t="shared" ref="C131:M131" si="34">C23-C11</f>
        <v>2755354.0021928251</v>
      </c>
      <c r="D131" s="1350">
        <f t="shared" si="34"/>
        <v>26537681.119841456</v>
      </c>
      <c r="E131" s="1285">
        <f t="shared" si="34"/>
        <v>37827545.028268158</v>
      </c>
      <c r="F131" s="1285">
        <f t="shared" si="34"/>
        <v>490360273.16014194</v>
      </c>
      <c r="G131" s="1285">
        <f t="shared" si="34"/>
        <v>177725844.28683126</v>
      </c>
      <c r="H131" s="1285">
        <f t="shared" si="34"/>
        <v>16557834.388331473</v>
      </c>
      <c r="I131" s="1285">
        <f t="shared" si="34"/>
        <v>73061369.090125442</v>
      </c>
      <c r="J131" s="1285">
        <f t="shared" si="34"/>
        <v>86918.589466456207</v>
      </c>
      <c r="K131" s="1285">
        <f t="shared" si="34"/>
        <v>550702.54912507208</v>
      </c>
      <c r="L131" s="1285">
        <f t="shared" si="34"/>
        <v>-71605051.836886406</v>
      </c>
      <c r="M131" s="1285">
        <f t="shared" si="34"/>
        <v>753858470.37743807</v>
      </c>
    </row>
    <row r="132" spans="1:13" x14ac:dyDescent="0.2">
      <c r="B132" s="16"/>
      <c r="C132" s="7"/>
      <c r="D132" s="7"/>
      <c r="E132" s="7"/>
      <c r="F132" s="7"/>
      <c r="G132" s="7"/>
      <c r="H132" s="7"/>
      <c r="I132" s="7"/>
      <c r="J132" s="7"/>
      <c r="K132" s="7"/>
      <c r="L132" s="7"/>
      <c r="M132" s="7"/>
    </row>
    <row r="133" spans="1:13" x14ac:dyDescent="0.2">
      <c r="B133" s="552" t="s">
        <v>1767</v>
      </c>
      <c r="C133" s="7"/>
      <c r="D133" s="7"/>
      <c r="E133" s="7"/>
      <c r="F133" s="7"/>
      <c r="G133" s="7"/>
      <c r="H133" s="7"/>
      <c r="I133" s="7"/>
      <c r="J133" s="7"/>
      <c r="K133" s="7"/>
      <c r="L133" s="7"/>
      <c r="M133" s="7"/>
    </row>
    <row r="134" spans="1:13" x14ac:dyDescent="0.2">
      <c r="B134" s="16"/>
      <c r="C134" s="90">
        <v>350.1</v>
      </c>
      <c r="D134" s="90">
        <v>350.2</v>
      </c>
      <c r="E134" s="90">
        <v>352</v>
      </c>
      <c r="F134" s="90">
        <v>353</v>
      </c>
      <c r="G134" s="90">
        <v>354</v>
      </c>
      <c r="H134" s="90">
        <v>355</v>
      </c>
      <c r="I134" s="90">
        <v>356</v>
      </c>
      <c r="J134" s="90">
        <v>357</v>
      </c>
      <c r="K134" s="90">
        <v>358</v>
      </c>
      <c r="L134" s="90">
        <v>359</v>
      </c>
      <c r="M134" s="3" t="s">
        <v>217</v>
      </c>
    </row>
    <row r="135" spans="1:13" x14ac:dyDescent="0.2">
      <c r="A135" s="585">
        <f>A131+1</f>
        <v>68</v>
      </c>
      <c r="B135" s="16"/>
      <c r="C135" s="7">
        <f t="shared" ref="C135:M135" si="35">C106</f>
        <v>2343786.2400000002</v>
      </c>
      <c r="D135" s="7">
        <f t="shared" si="35"/>
        <v>25246581.780000001</v>
      </c>
      <c r="E135" s="1350">
        <f t="shared" si="35"/>
        <v>33898696.804632112</v>
      </c>
      <c r="F135" s="1350">
        <f t="shared" si="35"/>
        <v>425396157.63196778</v>
      </c>
      <c r="G135" s="1350">
        <f t="shared" si="35"/>
        <v>168102353.99182576</v>
      </c>
      <c r="H135" s="1350">
        <f t="shared" si="35"/>
        <v>8001186.8300000057</v>
      </c>
      <c r="I135" s="1350">
        <f t="shared" si="35"/>
        <v>67682420.18719691</v>
      </c>
      <c r="J135" s="7">
        <f t="shared" si="35"/>
        <v>0</v>
      </c>
      <c r="K135" s="7">
        <f t="shared" si="35"/>
        <v>0</v>
      </c>
      <c r="L135" s="1350">
        <f t="shared" si="35"/>
        <v>-70985178.709408119</v>
      </c>
      <c r="M135" s="1350">
        <f t="shared" si="35"/>
        <v>659686004.7562145</v>
      </c>
    </row>
    <row r="136" spans="1:13" x14ac:dyDescent="0.2">
      <c r="B136" s="16"/>
      <c r="C136" s="7"/>
      <c r="D136" s="7"/>
      <c r="E136" s="7"/>
      <c r="F136" s="7"/>
      <c r="G136" s="7"/>
      <c r="H136" s="7"/>
      <c r="I136" s="7"/>
      <c r="J136" s="7"/>
      <c r="K136" s="7"/>
      <c r="L136" s="7"/>
      <c r="M136" s="7"/>
    </row>
    <row r="137" spans="1:13" x14ac:dyDescent="0.2">
      <c r="B137" s="552" t="s">
        <v>1768</v>
      </c>
      <c r="C137" s="7"/>
      <c r="D137" s="7"/>
      <c r="E137" s="7"/>
      <c r="F137" s="7"/>
      <c r="G137" s="7"/>
      <c r="H137" s="7"/>
      <c r="I137" s="7"/>
      <c r="J137" s="7"/>
      <c r="K137" s="7"/>
      <c r="L137" s="7"/>
      <c r="M137" s="7"/>
    </row>
    <row r="138" spans="1:13" x14ac:dyDescent="0.2">
      <c r="C138" s="90">
        <v>350.1</v>
      </c>
      <c r="D138" s="90">
        <v>350.2</v>
      </c>
      <c r="E138" s="90">
        <v>352</v>
      </c>
      <c r="F138" s="90">
        <v>353</v>
      </c>
      <c r="G138" s="90">
        <v>354</v>
      </c>
      <c r="H138" s="90">
        <v>355</v>
      </c>
      <c r="I138" s="90">
        <v>356</v>
      </c>
      <c r="J138" s="90">
        <v>357</v>
      </c>
      <c r="K138" s="90">
        <v>358</v>
      </c>
      <c r="L138" s="90">
        <v>359</v>
      </c>
      <c r="M138" s="3" t="s">
        <v>217</v>
      </c>
    </row>
    <row r="139" spans="1:13" x14ac:dyDescent="0.2">
      <c r="A139" s="585">
        <f>A135+1</f>
        <v>69</v>
      </c>
      <c r="C139" s="1350">
        <f t="shared" ref="C139:M139" si="36">C131-C135</f>
        <v>411567.76219282486</v>
      </c>
      <c r="D139" s="1350">
        <f t="shared" si="36"/>
        <v>1291099.3398414552</v>
      </c>
      <c r="E139" s="1285">
        <f t="shared" si="36"/>
        <v>3928848.2236360461</v>
      </c>
      <c r="F139" s="1285">
        <f t="shared" si="36"/>
        <v>64964115.528174162</v>
      </c>
      <c r="G139" s="1285">
        <f t="shared" si="36"/>
        <v>9623490.2950055003</v>
      </c>
      <c r="H139" s="1285">
        <f t="shared" si="36"/>
        <v>8556647.5583314672</v>
      </c>
      <c r="I139" s="1285">
        <f t="shared" si="36"/>
        <v>5378948.9029285312</v>
      </c>
      <c r="J139" s="1285">
        <f t="shared" si="36"/>
        <v>86918.589466456207</v>
      </c>
      <c r="K139" s="1285">
        <f t="shared" si="36"/>
        <v>550702.54912507208</v>
      </c>
      <c r="L139" s="1285">
        <f t="shared" si="36"/>
        <v>-619873.12747828662</v>
      </c>
      <c r="M139" s="1285">
        <f t="shared" si="36"/>
        <v>94172465.621223569</v>
      </c>
    </row>
    <row r="141" spans="1:13" x14ac:dyDescent="0.2">
      <c r="B141" s="44" t="s">
        <v>2030</v>
      </c>
      <c r="C141" s="14"/>
      <c r="D141" s="14"/>
      <c r="E141" s="14"/>
      <c r="F141" s="14"/>
      <c r="G141" s="14"/>
    </row>
    <row r="142" spans="1:13" x14ac:dyDescent="0.2">
      <c r="A142" s="446"/>
      <c r="B142" s="384" t="s">
        <v>396</v>
      </c>
      <c r="C142" s="384" t="s">
        <v>380</v>
      </c>
      <c r="D142" s="384" t="s">
        <v>381</v>
      </c>
      <c r="E142" s="384" t="s">
        <v>382</v>
      </c>
      <c r="F142" s="384" t="s">
        <v>383</v>
      </c>
      <c r="G142" s="384" t="s">
        <v>384</v>
      </c>
      <c r="H142" s="90" t="s">
        <v>385</v>
      </c>
      <c r="I142" s="90" t="s">
        <v>599</v>
      </c>
      <c r="J142" s="90" t="s">
        <v>1048</v>
      </c>
      <c r="K142" s="90" t="s">
        <v>1064</v>
      </c>
      <c r="L142" s="90" t="s">
        <v>1067</v>
      </c>
      <c r="M142" s="90" t="s">
        <v>1085</v>
      </c>
    </row>
    <row r="143" spans="1:13" x14ac:dyDescent="0.2">
      <c r="A143" s="247"/>
      <c r="B143" s="515"/>
      <c r="C143" s="257"/>
      <c r="D143" s="257"/>
      <c r="E143" s="257"/>
      <c r="F143" s="603"/>
      <c r="G143" s="257"/>
      <c r="H143" s="247"/>
      <c r="I143" s="247"/>
      <c r="J143" s="247"/>
      <c r="K143" s="247"/>
      <c r="L143" s="247"/>
      <c r="M143" s="268" t="s">
        <v>1387</v>
      </c>
    </row>
    <row r="144" spans="1:13" x14ac:dyDescent="0.2">
      <c r="A144" s="247"/>
      <c r="B144" s="117"/>
      <c r="C144" s="384"/>
      <c r="D144" s="384"/>
      <c r="E144" s="257"/>
      <c r="F144" s="257"/>
      <c r="G144" s="257"/>
      <c r="H144" s="247"/>
      <c r="I144" s="247"/>
      <c r="J144" s="247"/>
      <c r="K144" s="247"/>
      <c r="L144" s="247"/>
    </row>
    <row r="145" spans="1:13" x14ac:dyDescent="0.2">
      <c r="A145" s="52"/>
      <c r="B145" s="131" t="s">
        <v>2084</v>
      </c>
      <c r="C145" s="384">
        <v>350.1</v>
      </c>
      <c r="D145" s="384">
        <v>350.2</v>
      </c>
      <c r="E145" s="384">
        <v>352</v>
      </c>
      <c r="F145" s="384">
        <v>353</v>
      </c>
      <c r="G145" s="384">
        <v>354</v>
      </c>
      <c r="H145" s="90">
        <v>355</v>
      </c>
      <c r="I145" s="90">
        <v>356</v>
      </c>
      <c r="J145" s="90">
        <v>357</v>
      </c>
      <c r="K145" s="90">
        <v>358</v>
      </c>
      <c r="L145" s="90">
        <v>359</v>
      </c>
      <c r="M145" s="3" t="s">
        <v>217</v>
      </c>
    </row>
    <row r="146" spans="1:13" x14ac:dyDescent="0.2">
      <c r="A146" s="585">
        <f>A139+1</f>
        <v>70</v>
      </c>
      <c r="B146" s="700" t="s">
        <v>2657</v>
      </c>
      <c r="C146" s="1290">
        <f t="shared" ref="C146:C157" si="37">C114*($C$139/$C$126)</f>
        <v>0</v>
      </c>
      <c r="D146" s="1290">
        <f t="shared" ref="D146:D157" si="38">D114*($D$139/$D$126)</f>
        <v>28022.590177100137</v>
      </c>
      <c r="E146" s="1296">
        <f t="shared" ref="E146:E157" si="39">E114*($E$139/$E$126)</f>
        <v>44690.906772351744</v>
      </c>
      <c r="F146" s="1296">
        <f t="shared" ref="F146:F157" si="40">F114*($F$139/$F$126)</f>
        <v>3723482.6798059642</v>
      </c>
      <c r="G146" s="1296">
        <f t="shared" ref="G146:G157" si="41">G114*($G$139/$G$126)</f>
        <v>1329382.1369028243</v>
      </c>
      <c r="H146" s="1296">
        <f t="shared" ref="H146:H157" si="42">H114*($H$139/$H$126)</f>
        <v>877347.84713915992</v>
      </c>
      <c r="I146" s="1296">
        <f t="shared" ref="I146:I157" si="43">I114*($I$139/$I$126)</f>
        <v>602793.24237896409</v>
      </c>
      <c r="J146" s="1296">
        <f t="shared" ref="J146:J157" si="44">J114*($J$139/$J$126)</f>
        <v>88.436633885527655</v>
      </c>
      <c r="K146" s="1296">
        <f t="shared" ref="K146:K157" si="45">K114*($K$139/$K$126)</f>
        <v>154942.91686267394</v>
      </c>
      <c r="L146" s="1296">
        <f t="shared" ref="L146:L157" si="46">L114*($L$139/$L$126)</f>
        <v>-95.824963533975065</v>
      </c>
      <c r="M146" s="1297">
        <f t="shared" ref="M146:M157" si="47">SUM(C146:L146)</f>
        <v>6760654.9317093901</v>
      </c>
    </row>
    <row r="147" spans="1:13" x14ac:dyDescent="0.2">
      <c r="A147" s="585">
        <f t="shared" ref="A147:A158" si="48">A146+1</f>
        <v>71</v>
      </c>
      <c r="B147" s="699" t="s">
        <v>2658</v>
      </c>
      <c r="C147" s="1290">
        <f t="shared" si="37"/>
        <v>-6.8003193791179154E-9</v>
      </c>
      <c r="D147" s="1290">
        <f t="shared" si="38"/>
        <v>121776.05662305369</v>
      </c>
      <c r="E147" s="1296">
        <f t="shared" si="39"/>
        <v>293867.64097752434</v>
      </c>
      <c r="F147" s="1296">
        <f t="shared" si="40"/>
        <v>2647397.7877485328</v>
      </c>
      <c r="G147" s="1296">
        <f t="shared" si="41"/>
        <v>135520.99230520148</v>
      </c>
      <c r="H147" s="1296">
        <f t="shared" si="42"/>
        <v>306463.51104513049</v>
      </c>
      <c r="I147" s="1296">
        <f t="shared" si="43"/>
        <v>159535.89753373555</v>
      </c>
      <c r="J147" s="1296">
        <f t="shared" si="44"/>
        <v>-70470.420649735926</v>
      </c>
      <c r="K147" s="1296">
        <f t="shared" si="45"/>
        <v>43329.555507671044</v>
      </c>
      <c r="L147" s="1296">
        <f t="shared" si="46"/>
        <v>-95333.576555002219</v>
      </c>
      <c r="M147" s="1297">
        <f t="shared" si="47"/>
        <v>3542087.4445361048</v>
      </c>
    </row>
    <row r="148" spans="1:13" x14ac:dyDescent="0.2">
      <c r="A148" s="585">
        <f t="shared" si="48"/>
        <v>72</v>
      </c>
      <c r="B148" s="699" t="s">
        <v>2659</v>
      </c>
      <c r="C148" s="1290">
        <f t="shared" si="37"/>
        <v>112165.67595121586</v>
      </c>
      <c r="D148" s="1290">
        <f t="shared" si="38"/>
        <v>1497628.6556813796</v>
      </c>
      <c r="E148" s="1296">
        <f t="shared" si="39"/>
        <v>80707.712649187088</v>
      </c>
      <c r="F148" s="1296">
        <f t="shared" si="40"/>
        <v>5803304.3729280066</v>
      </c>
      <c r="G148" s="1296">
        <f t="shared" si="41"/>
        <v>38347.273505400386</v>
      </c>
      <c r="H148" s="1296">
        <f t="shared" si="42"/>
        <v>622047.86347573227</v>
      </c>
      <c r="I148" s="1296">
        <f t="shared" si="43"/>
        <v>-83632.830825418205</v>
      </c>
      <c r="J148" s="1296">
        <f t="shared" si="44"/>
        <v>3113.8576520126953</v>
      </c>
      <c r="K148" s="1296">
        <f t="shared" si="45"/>
        <v>-13549.959468897361</v>
      </c>
      <c r="L148" s="1296">
        <f t="shared" si="46"/>
        <v>-440219.55118135555</v>
      </c>
      <c r="M148" s="1297">
        <f t="shared" si="47"/>
        <v>7619913.0703672627</v>
      </c>
    </row>
    <row r="149" spans="1:13" x14ac:dyDescent="0.2">
      <c r="A149" s="585">
        <f t="shared" si="48"/>
        <v>73</v>
      </c>
      <c r="B149" s="700" t="s">
        <v>2660</v>
      </c>
      <c r="C149" s="1290">
        <f t="shared" si="37"/>
        <v>0</v>
      </c>
      <c r="D149" s="1290">
        <f t="shared" si="38"/>
        <v>-30000.285594561425</v>
      </c>
      <c r="E149" s="1296">
        <f t="shared" si="39"/>
        <v>346835.76718863705</v>
      </c>
      <c r="F149" s="1296">
        <f t="shared" si="40"/>
        <v>10883779.331852976</v>
      </c>
      <c r="G149" s="1296">
        <f t="shared" si="41"/>
        <v>-480333.65421104222</v>
      </c>
      <c r="H149" s="1296">
        <f t="shared" si="42"/>
        <v>1438667.139331504</v>
      </c>
      <c r="I149" s="1296">
        <f t="shared" si="43"/>
        <v>-484910.12279327941</v>
      </c>
      <c r="J149" s="1296">
        <f t="shared" si="44"/>
        <v>-33.960146930701022</v>
      </c>
      <c r="K149" s="1296">
        <f t="shared" si="45"/>
        <v>-990.29885221211612</v>
      </c>
      <c r="L149" s="1296">
        <f t="shared" si="46"/>
        <v>6068.077941906311</v>
      </c>
      <c r="M149" s="1297">
        <f t="shared" si="47"/>
        <v>11679081.994716998</v>
      </c>
    </row>
    <row r="150" spans="1:13" x14ac:dyDescent="0.2">
      <c r="A150" s="585">
        <f t="shared" si="48"/>
        <v>74</v>
      </c>
      <c r="B150" s="699" t="s">
        <v>2661</v>
      </c>
      <c r="C150" s="1290">
        <f t="shared" si="37"/>
        <v>0</v>
      </c>
      <c r="D150" s="1290">
        <f t="shared" si="38"/>
        <v>57832.594906839317</v>
      </c>
      <c r="E150" s="1296">
        <f t="shared" si="39"/>
        <v>188658.98224522916</v>
      </c>
      <c r="F150" s="1296">
        <f t="shared" si="40"/>
        <v>6922031.5363487583</v>
      </c>
      <c r="G150" s="1296">
        <f t="shared" si="41"/>
        <v>-1434636.7834512158</v>
      </c>
      <c r="H150" s="1296">
        <f t="shared" si="42"/>
        <v>-210478.59163482531</v>
      </c>
      <c r="I150" s="1296">
        <f t="shared" si="43"/>
        <v>-289865.22172813601</v>
      </c>
      <c r="J150" s="1296">
        <f t="shared" si="44"/>
        <v>15246.112512655009</v>
      </c>
      <c r="K150" s="1296">
        <f t="shared" si="45"/>
        <v>50882.549003653679</v>
      </c>
      <c r="L150" s="1296">
        <f t="shared" si="46"/>
        <v>-42689.973921333956</v>
      </c>
      <c r="M150" s="1297">
        <f t="shared" si="47"/>
        <v>5256981.2042816244</v>
      </c>
    </row>
    <row r="151" spans="1:13" x14ac:dyDescent="0.2">
      <c r="A151" s="585">
        <f t="shared" si="48"/>
        <v>75</v>
      </c>
      <c r="B151" s="699" t="s">
        <v>2669</v>
      </c>
      <c r="C151" s="1290">
        <f t="shared" si="37"/>
        <v>291957.69500107726</v>
      </c>
      <c r="D151" s="1290">
        <f t="shared" si="38"/>
        <v>-172534.54178491919</v>
      </c>
      <c r="E151" s="1296">
        <f t="shared" si="39"/>
        <v>1019484.5718260943</v>
      </c>
      <c r="F151" s="1296">
        <f t="shared" si="40"/>
        <v>17001196.636912938</v>
      </c>
      <c r="G151" s="1296">
        <f t="shared" si="41"/>
        <v>51569.039445305425</v>
      </c>
      <c r="H151" s="1296">
        <f t="shared" si="42"/>
        <v>438991.2952676214</v>
      </c>
      <c r="I151" s="1296">
        <f t="shared" si="43"/>
        <v>212854.67435057281</v>
      </c>
      <c r="J151" s="1296">
        <f t="shared" si="44"/>
        <v>65739.872314903172</v>
      </c>
      <c r="K151" s="1296">
        <f t="shared" si="45"/>
        <v>56502.561574781488</v>
      </c>
      <c r="L151" s="1296">
        <f t="shared" si="46"/>
        <v>-27.033623722902487</v>
      </c>
      <c r="M151" s="1297">
        <f t="shared" si="47"/>
        <v>18965734.771284662</v>
      </c>
    </row>
    <row r="152" spans="1:13" x14ac:dyDescent="0.2">
      <c r="A152" s="585">
        <f t="shared" si="48"/>
        <v>76</v>
      </c>
      <c r="B152" s="700" t="s">
        <v>2663</v>
      </c>
      <c r="C152" s="1290">
        <f t="shared" si="37"/>
        <v>0</v>
      </c>
      <c r="D152" s="1290">
        <f t="shared" si="38"/>
        <v>5.7035351507136705</v>
      </c>
      <c r="E152" s="1296">
        <f t="shared" si="39"/>
        <v>969912.37334305176</v>
      </c>
      <c r="F152" s="1296">
        <f t="shared" si="40"/>
        <v>16045448.291922845</v>
      </c>
      <c r="G152" s="1296">
        <f t="shared" si="41"/>
        <v>-342375.34688380855</v>
      </c>
      <c r="H152" s="1296">
        <f t="shared" si="42"/>
        <v>1592890.7709197502</v>
      </c>
      <c r="I152" s="1296">
        <f t="shared" si="43"/>
        <v>5420150.4931147331</v>
      </c>
      <c r="J152" s="1296">
        <f t="shared" si="44"/>
        <v>-5260.6672911593114</v>
      </c>
      <c r="K152" s="1296">
        <f t="shared" si="45"/>
        <v>-14625.841034273892</v>
      </c>
      <c r="L152" s="1296">
        <f t="shared" si="46"/>
        <v>102.8792717377906</v>
      </c>
      <c r="M152" s="1297">
        <f t="shared" si="47"/>
        <v>23666248.656898022</v>
      </c>
    </row>
    <row r="153" spans="1:13" x14ac:dyDescent="0.2">
      <c r="A153" s="585">
        <f t="shared" si="48"/>
        <v>77</v>
      </c>
      <c r="B153" s="699" t="s">
        <v>2664</v>
      </c>
      <c r="C153" s="1290">
        <f t="shared" si="37"/>
        <v>0</v>
      </c>
      <c r="D153" s="1290">
        <f t="shared" si="38"/>
        <v>5890.4212202427088</v>
      </c>
      <c r="E153" s="1296">
        <f t="shared" si="39"/>
        <v>-603400.94234327949</v>
      </c>
      <c r="F153" s="1296">
        <f t="shared" si="40"/>
        <v>1081812.5357525246</v>
      </c>
      <c r="G153" s="1296">
        <f t="shared" si="41"/>
        <v>-130099.71305509597</v>
      </c>
      <c r="H153" s="1296">
        <f t="shared" si="42"/>
        <v>448079.20065829181</v>
      </c>
      <c r="I153" s="1296">
        <f t="shared" si="43"/>
        <v>-15486.723423048412</v>
      </c>
      <c r="J153" s="1296">
        <f t="shared" si="44"/>
        <v>-3.8949862621614311</v>
      </c>
      <c r="K153" s="1296">
        <f t="shared" si="45"/>
        <v>-1640.6081786276914</v>
      </c>
      <c r="L153" s="1296">
        <f t="shared" si="46"/>
        <v>129124.89590585916</v>
      </c>
      <c r="M153" s="1297">
        <f t="shared" si="47"/>
        <v>914275.17155060463</v>
      </c>
    </row>
    <row r="154" spans="1:13" x14ac:dyDescent="0.2">
      <c r="A154" s="585">
        <f t="shared" si="48"/>
        <v>78</v>
      </c>
      <c r="B154" s="699" t="s">
        <v>2665</v>
      </c>
      <c r="C154" s="1290">
        <f t="shared" si="37"/>
        <v>0</v>
      </c>
      <c r="D154" s="1290">
        <f t="shared" si="38"/>
        <v>-221500.735979427</v>
      </c>
      <c r="E154" s="1296">
        <f t="shared" si="39"/>
        <v>506034.45733903738</v>
      </c>
      <c r="F154" s="1296">
        <f t="shared" si="40"/>
        <v>3540761.8994697756</v>
      </c>
      <c r="G154" s="1296">
        <f t="shared" si="41"/>
        <v>240812.90393914783</v>
      </c>
      <c r="H154" s="1296">
        <f t="shared" si="42"/>
        <v>1544595.9727955523</v>
      </c>
      <c r="I154" s="1296">
        <f t="shared" si="43"/>
        <v>-796805.61929935333</v>
      </c>
      <c r="J154" s="1296">
        <f t="shared" si="44"/>
        <v>546.17842007635068</v>
      </c>
      <c r="K154" s="1296">
        <f t="shared" si="45"/>
        <v>-1622.8023343991613</v>
      </c>
      <c r="L154" s="1296">
        <f t="shared" si="46"/>
        <v>6781.3205684275881</v>
      </c>
      <c r="M154" s="1297">
        <f t="shared" si="47"/>
        <v>4819603.5749188382</v>
      </c>
    </row>
    <row r="155" spans="1:13" x14ac:dyDescent="0.2">
      <c r="A155" s="585">
        <f t="shared" si="48"/>
        <v>79</v>
      </c>
      <c r="B155" s="700" t="s">
        <v>2666</v>
      </c>
      <c r="C155" s="1290">
        <f t="shared" si="37"/>
        <v>0</v>
      </c>
      <c r="D155" s="1290">
        <f t="shared" si="38"/>
        <v>2663.363911815688</v>
      </c>
      <c r="E155" s="1296">
        <f t="shared" si="39"/>
        <v>604858.01720037486</v>
      </c>
      <c r="F155" s="1296">
        <f t="shared" si="40"/>
        <v>-33404130.530507714</v>
      </c>
      <c r="G155" s="1296">
        <f t="shared" si="41"/>
        <v>31957.994118765775</v>
      </c>
      <c r="H155" s="1296">
        <f t="shared" si="42"/>
        <v>305006.5481028973</v>
      </c>
      <c r="I155" s="1296">
        <f t="shared" si="43"/>
        <v>-33789.362939317594</v>
      </c>
      <c r="J155" s="1296">
        <f t="shared" si="44"/>
        <v>507.07962718385414</v>
      </c>
      <c r="K155" s="1296">
        <f t="shared" si="45"/>
        <v>15526.253158837988</v>
      </c>
      <c r="L155" s="1296">
        <f t="shared" si="46"/>
        <v>0</v>
      </c>
      <c r="M155" s="1297">
        <f t="shared" si="47"/>
        <v>-32477400.637327157</v>
      </c>
    </row>
    <row r="156" spans="1:13" x14ac:dyDescent="0.2">
      <c r="A156" s="585">
        <f t="shared" si="48"/>
        <v>80</v>
      </c>
      <c r="B156" s="700" t="s">
        <v>2667</v>
      </c>
      <c r="C156" s="1290">
        <f t="shared" si="37"/>
        <v>11799.688331609255</v>
      </c>
      <c r="D156" s="1290">
        <f t="shared" si="38"/>
        <v>9.975792249525524</v>
      </c>
      <c r="E156" s="1296">
        <f t="shared" si="39"/>
        <v>-459848.18936386268</v>
      </c>
      <c r="F156" s="1296">
        <f t="shared" si="40"/>
        <v>27619116.059304003</v>
      </c>
      <c r="G156" s="1296">
        <f t="shared" si="41"/>
        <v>1262674.713955069</v>
      </c>
      <c r="H156" s="1296">
        <f t="shared" si="42"/>
        <v>525706.13517106196</v>
      </c>
      <c r="I156" s="1296">
        <f t="shared" si="43"/>
        <v>480039.54981048818</v>
      </c>
      <c r="J156" s="1296">
        <f t="shared" si="44"/>
        <v>7731.0108458242976</v>
      </c>
      <c r="K156" s="1296">
        <f t="shared" si="45"/>
        <v>69551.370631119207</v>
      </c>
      <c r="L156" s="1296">
        <f t="shared" si="46"/>
        <v>-184677.90351018481</v>
      </c>
      <c r="M156" s="1297">
        <f t="shared" si="47"/>
        <v>29332102.41096738</v>
      </c>
    </row>
    <row r="157" spans="1:13" x14ac:dyDescent="0.2">
      <c r="A157" s="585">
        <f t="shared" si="48"/>
        <v>81</v>
      </c>
      <c r="B157" s="699" t="s">
        <v>2668</v>
      </c>
      <c r="C157" s="1349">
        <f t="shared" si="37"/>
        <v>-4355.2970910706754</v>
      </c>
      <c r="D157" s="1349">
        <f t="shared" si="38"/>
        <v>1305.5413525315607</v>
      </c>
      <c r="E157" s="1298">
        <f t="shared" si="39"/>
        <v>937046.92580170045</v>
      </c>
      <c r="F157" s="1298">
        <f t="shared" si="40"/>
        <v>3099914.926635555</v>
      </c>
      <c r="G157" s="1298">
        <f t="shared" si="41"/>
        <v>8920670.738434948</v>
      </c>
      <c r="H157" s="1298">
        <f t="shared" si="42"/>
        <v>667329.86605959083</v>
      </c>
      <c r="I157" s="1298">
        <f t="shared" si="43"/>
        <v>208064.92674859034</v>
      </c>
      <c r="J157" s="1298">
        <f t="shared" si="44"/>
        <v>69714.984534003393</v>
      </c>
      <c r="K157" s="1298">
        <f t="shared" si="45"/>
        <v>192396.85225474494</v>
      </c>
      <c r="L157" s="1298">
        <f t="shared" si="46"/>
        <v>1093.5625889160037</v>
      </c>
      <c r="M157" s="1299">
        <f t="shared" si="47"/>
        <v>14093183.027319508</v>
      </c>
    </row>
    <row r="158" spans="1:13" x14ac:dyDescent="0.2">
      <c r="A158" s="585">
        <f t="shared" si="48"/>
        <v>82</v>
      </c>
      <c r="B158" s="589" t="s">
        <v>5</v>
      </c>
      <c r="C158" s="1330">
        <f>SUM(C146:C157)</f>
        <v>411567.76219282486</v>
      </c>
      <c r="D158" s="1330">
        <f t="shared" ref="D158:L158" si="49">SUM(D146:D157)</f>
        <v>1291099.3398414555</v>
      </c>
      <c r="E158" s="1297">
        <f t="shared" si="49"/>
        <v>3928848.2236360461</v>
      </c>
      <c r="F158" s="1297">
        <f t="shared" si="49"/>
        <v>64964115.528174169</v>
      </c>
      <c r="G158" s="1297">
        <f t="shared" si="49"/>
        <v>9623490.2950055003</v>
      </c>
      <c r="H158" s="1297">
        <f t="shared" si="49"/>
        <v>8556647.5583314672</v>
      </c>
      <c r="I158" s="1297">
        <f t="shared" si="49"/>
        <v>5378948.9029285302</v>
      </c>
      <c r="J158" s="1297">
        <f t="shared" si="49"/>
        <v>86918.589466456207</v>
      </c>
      <c r="K158" s="1297">
        <f t="shared" si="49"/>
        <v>550702.54912507208</v>
      </c>
      <c r="L158" s="1297">
        <f t="shared" si="49"/>
        <v>-619873.12747828651</v>
      </c>
      <c r="M158" s="1297">
        <f>SUM(M146:M157)</f>
        <v>94172465.621223226</v>
      </c>
    </row>
    <row r="160" spans="1:13" x14ac:dyDescent="0.2">
      <c r="B160" s="452" t="s">
        <v>258</v>
      </c>
    </row>
    <row r="161" spans="2:44" x14ac:dyDescent="0.2">
      <c r="B161" s="550" t="s">
        <v>2290</v>
      </c>
      <c r="C161" s="14"/>
      <c r="D161" s="14"/>
      <c r="E161" s="14"/>
      <c r="F161" s="14"/>
      <c r="G161" s="14"/>
      <c r="H161" s="14"/>
      <c r="I161" s="14"/>
      <c r="J161" s="14"/>
      <c r="K161" s="14"/>
      <c r="L161" s="14"/>
    </row>
    <row r="162" spans="2:44" x14ac:dyDescent="0.2">
      <c r="B162" s="1147" t="s">
        <v>2335</v>
      </c>
      <c r="C162" s="550"/>
      <c r="D162" s="550"/>
      <c r="E162" s="550"/>
      <c r="F162" s="550"/>
      <c r="G162" s="550"/>
      <c r="H162" s="550"/>
      <c r="I162" s="14"/>
      <c r="J162" s="550"/>
      <c r="K162" s="550"/>
      <c r="L162" s="550"/>
      <c r="M162" s="550"/>
      <c r="N162" s="548"/>
      <c r="O162" s="548"/>
      <c r="P162" s="548"/>
      <c r="Q162" s="548"/>
      <c r="R162" s="548"/>
      <c r="S162" s="548"/>
      <c r="T162" s="548"/>
      <c r="U162" s="548"/>
      <c r="V162" s="548"/>
      <c r="W162" s="548"/>
      <c r="X162" s="548"/>
      <c r="Y162" s="548"/>
      <c r="Z162" s="548"/>
      <c r="AA162" s="548"/>
      <c r="AB162" s="548"/>
      <c r="AC162" s="548"/>
      <c r="AD162" s="548"/>
      <c r="AE162" s="548"/>
      <c r="AF162" s="548"/>
      <c r="AG162" s="548"/>
      <c r="AH162" s="548"/>
      <c r="AI162" s="548"/>
      <c r="AJ162" s="548"/>
      <c r="AK162" s="548"/>
      <c r="AL162" s="548"/>
      <c r="AM162" s="548"/>
      <c r="AN162" s="548"/>
      <c r="AO162" s="548"/>
      <c r="AP162" s="548"/>
      <c r="AQ162" s="548"/>
      <c r="AR162" s="548"/>
    </row>
    <row r="163" spans="2:44" x14ac:dyDescent="0.2">
      <c r="B163" s="14" t="s">
        <v>2291</v>
      </c>
      <c r="C163" s="14"/>
      <c r="D163" s="14"/>
      <c r="E163" s="14"/>
      <c r="F163" s="14"/>
      <c r="G163" s="14"/>
      <c r="H163" s="14"/>
      <c r="I163" s="14"/>
      <c r="J163" s="14"/>
      <c r="K163" s="14"/>
      <c r="L163" s="14"/>
      <c r="M163" s="14"/>
    </row>
    <row r="164" spans="2:44" x14ac:dyDescent="0.2">
      <c r="B164" s="547" t="s">
        <v>2292</v>
      </c>
      <c r="C164" s="14"/>
      <c r="D164" s="14"/>
      <c r="E164" s="14"/>
      <c r="F164" s="14"/>
      <c r="G164" s="14"/>
      <c r="H164" s="14"/>
      <c r="I164" s="14"/>
      <c r="J164" s="14"/>
      <c r="K164" s="14"/>
      <c r="L164" s="14"/>
      <c r="M164" s="14"/>
    </row>
    <row r="165" spans="2:44" x14ac:dyDescent="0.2">
      <c r="B165" s="547" t="s">
        <v>2294</v>
      </c>
      <c r="C165" s="14"/>
      <c r="D165" s="14"/>
      <c r="E165" s="14"/>
      <c r="F165" s="14"/>
      <c r="G165" s="14"/>
      <c r="H165" s="14"/>
      <c r="I165" s="14"/>
      <c r="J165" s="14"/>
      <c r="K165" s="14"/>
      <c r="L165" s="14"/>
      <c r="M165" s="14"/>
    </row>
    <row r="166" spans="2:44" x14ac:dyDescent="0.2">
      <c r="B166" s="120" t="s">
        <v>2293</v>
      </c>
      <c r="C166" s="14"/>
      <c r="D166" s="14"/>
      <c r="E166" s="14"/>
      <c r="F166" s="14"/>
      <c r="G166" s="14"/>
      <c r="H166" s="14"/>
      <c r="I166" s="14"/>
      <c r="J166" s="14"/>
      <c r="K166" s="14"/>
      <c r="L166" s="14"/>
      <c r="M166" s="14"/>
    </row>
    <row r="167" spans="2:44" x14ac:dyDescent="0.2">
      <c r="B167" s="550" t="s">
        <v>2295</v>
      </c>
      <c r="C167" s="14"/>
      <c r="D167" s="14"/>
      <c r="E167" s="14"/>
      <c r="F167" s="14"/>
      <c r="G167" s="14"/>
      <c r="H167" s="14"/>
      <c r="I167" s="14"/>
      <c r="J167" s="14"/>
      <c r="K167" s="14"/>
      <c r="L167" s="14"/>
      <c r="M167" s="14"/>
    </row>
    <row r="168" spans="2:44" x14ac:dyDescent="0.2">
      <c r="B168" s="547" t="s">
        <v>2296</v>
      </c>
      <c r="C168" s="14"/>
      <c r="D168" s="14"/>
      <c r="E168" s="14"/>
      <c r="F168" s="14"/>
      <c r="G168" s="14"/>
      <c r="H168" s="14"/>
      <c r="I168" s="14"/>
      <c r="J168" s="14"/>
      <c r="K168" s="14"/>
      <c r="L168" s="14"/>
      <c r="M168" s="14"/>
    </row>
    <row r="169" spans="2:44" x14ac:dyDescent="0.2">
      <c r="B169" s="547" t="s">
        <v>2297</v>
      </c>
      <c r="C169" s="14"/>
      <c r="D169" s="14"/>
      <c r="E169" s="14"/>
      <c r="F169" s="14"/>
      <c r="G169" s="14"/>
      <c r="H169" s="14"/>
      <c r="I169" s="14"/>
      <c r="J169" s="14"/>
      <c r="K169" s="14"/>
      <c r="L169" s="14"/>
      <c r="M169" s="14"/>
    </row>
    <row r="170" spans="2:44" x14ac:dyDescent="0.2">
      <c r="B170" s="547" t="s">
        <v>2298</v>
      </c>
      <c r="C170" s="14"/>
      <c r="D170" s="14"/>
      <c r="E170" s="14"/>
      <c r="F170" s="14"/>
      <c r="G170" s="14"/>
      <c r="H170" s="14"/>
      <c r="I170" s="14"/>
      <c r="J170" s="14"/>
      <c r="K170" s="14"/>
      <c r="L170" s="14"/>
      <c r="M170" s="14"/>
    </row>
    <row r="171" spans="2:44" x14ac:dyDescent="0.2">
      <c r="B171" s="550" t="str">
        <f>"2) Amounts on Line "&amp;A34&amp;" must match 6-Plant Study amounts for Distribution Plant - ISO for previous year."</f>
        <v>2) Amounts on Line 15 must match 6-Plant Study amounts for Distribution Plant - ISO for previous year.</v>
      </c>
      <c r="C171" s="14"/>
      <c r="D171" s="14"/>
      <c r="E171" s="14"/>
      <c r="F171" s="14"/>
      <c r="G171" s="14"/>
      <c r="H171" s="14"/>
      <c r="I171" s="14"/>
      <c r="J171" s="14"/>
      <c r="K171" s="14"/>
      <c r="L171" s="14"/>
    </row>
    <row r="172" spans="2:44" x14ac:dyDescent="0.2">
      <c r="B172" s="547" t="str">
        <f>"Amounts on Line "&amp;A35&amp;" must match amounts on 6-PlantStudy for Distribution Plant - ISO."</f>
        <v>Amounts on Line 16 must match amounts on 6-PlantStudy for Distribution Plant - ISO.</v>
      </c>
      <c r="C172" s="14"/>
      <c r="D172" s="14"/>
      <c r="E172" s="14"/>
      <c r="F172" s="14"/>
      <c r="G172" s="14"/>
      <c r="H172" s="14"/>
      <c r="I172" s="14"/>
      <c r="J172" s="14"/>
      <c r="K172" s="14"/>
      <c r="L172" s="14"/>
    </row>
    <row r="173" spans="2:44" x14ac:dyDescent="0.2">
      <c r="B173" s="550" t="s">
        <v>2630</v>
      </c>
      <c r="C173" s="14"/>
      <c r="D173" s="14"/>
      <c r="E173" s="14"/>
      <c r="F173" s="14"/>
      <c r="G173" s="14"/>
      <c r="H173" s="14"/>
      <c r="I173" s="14"/>
      <c r="J173" s="14"/>
      <c r="K173" s="14"/>
      <c r="L173" s="14"/>
    </row>
    <row r="174" spans="2:44" x14ac:dyDescent="0.2">
      <c r="B174" s="14" t="str">
        <f>"4) Column 12 matches 'Activity for Incentive Projects' on 14-IncentivePlant, Lines "&amp;'14-IncentivePlant'!A94&amp;" to "&amp;'14-IncentivePlant'!A107&amp;".  Other columns from SCE internal accounting records."</f>
        <v>4) Column 12 matches 'Activity for Incentive Projects' on 14-IncentivePlant, Lines 39 to 52.  Other columns from SCE internal accounting records.</v>
      </c>
      <c r="C174" s="14"/>
      <c r="D174" s="14"/>
      <c r="E174" s="14"/>
      <c r="F174" s="14"/>
      <c r="G174" s="14"/>
      <c r="H174" s="14"/>
      <c r="I174" s="14"/>
      <c r="J174" s="14"/>
      <c r="K174" s="14"/>
      <c r="L174" s="14"/>
    </row>
    <row r="175" spans="2:44" x14ac:dyDescent="0.2">
      <c r="B175" s="550" t="str">
        <f>"5) Amount in matrix on lines "&amp;A74&amp;" to "&amp;A85&amp;" minus amount in matrix on lines "&amp;A94&amp;" to "&amp;A105&amp;""</f>
        <v>5) Amount in matrix on lines 28 to 39 minus amount in matrix on lines 41 to 52</v>
      </c>
      <c r="C175" s="14"/>
      <c r="D175" s="14"/>
      <c r="E175" s="14"/>
      <c r="F175" s="14"/>
      <c r="G175" s="14"/>
      <c r="H175" s="14"/>
      <c r="I175" s="14"/>
      <c r="J175" s="14"/>
      <c r="K175" s="14"/>
      <c r="L175" s="14"/>
    </row>
    <row r="176" spans="2:44" x14ac:dyDescent="0.2">
      <c r="B176" s="14" t="str">
        <f>"6) Amount on Line "&amp;A23&amp;" less amount on Line "&amp;A11&amp;" for each account."</f>
        <v>6) Amount on Line 13 less amount on Line 1 for each account.</v>
      </c>
      <c r="C176" s="14"/>
      <c r="D176" s="14"/>
      <c r="E176" s="14"/>
      <c r="F176" s="14"/>
      <c r="G176" s="14"/>
      <c r="H176" s="14"/>
      <c r="I176" s="14"/>
      <c r="J176" s="14"/>
      <c r="K176" s="14"/>
      <c r="L176" s="14"/>
    </row>
    <row r="177" spans="2:12" x14ac:dyDescent="0.2">
      <c r="B177" s="14" t="str">
        <f>"7) Line "&amp;A106&amp;""</f>
        <v>7) Line 53</v>
      </c>
      <c r="C177" s="14"/>
      <c r="D177" s="14"/>
      <c r="E177" s="14"/>
      <c r="F177" s="14"/>
      <c r="G177" s="14"/>
      <c r="H177" s="14"/>
      <c r="I177" s="14"/>
      <c r="J177" s="14"/>
      <c r="K177" s="14"/>
      <c r="L177" s="14"/>
    </row>
    <row r="178" spans="2:12" x14ac:dyDescent="0.2">
      <c r="B178" s="14" t="str">
        <f>"8) Amount on Line "&amp;A131&amp;" less amount on Line "&amp;A135&amp;" for each account."</f>
        <v>8) Amount on Line 67 less amount on Line 68 for each account.</v>
      </c>
      <c r="C178" s="14"/>
      <c r="D178" s="14"/>
      <c r="E178" s="14"/>
      <c r="F178" s="14"/>
      <c r="G178" s="14"/>
      <c r="H178" s="14"/>
      <c r="I178" s="14"/>
      <c r="J178" s="14"/>
      <c r="K178" s="14"/>
      <c r="L178" s="14"/>
    </row>
    <row r="179" spans="2:12" x14ac:dyDescent="0.2">
      <c r="B179" s="550" t="str">
        <f>"9) For each column (FERC Account) divide Line "&amp;A139&amp;" by Line "&amp;A126&amp;" to arrive at a ratio for each column."</f>
        <v>9) For each column (FERC Account) divide Line 69 by Line 66 to arrive at a ratio for each column.</v>
      </c>
      <c r="C179" s="14"/>
      <c r="D179" s="14"/>
      <c r="E179" s="14"/>
      <c r="F179" s="14"/>
      <c r="G179" s="14"/>
      <c r="H179" s="14"/>
      <c r="I179" s="14"/>
      <c r="J179" s="14"/>
      <c r="K179" s="14"/>
      <c r="L179" s="14"/>
    </row>
    <row r="180" spans="2:12" x14ac:dyDescent="0.2">
      <c r="B180" s="550" t="str">
        <f>"Apply the ratio of each column to each monthly value from Lines "&amp;A114&amp;"-"&amp;A125&amp;" to calculate the values for"</f>
        <v>Apply the ratio of each column to each monthly value from Lines 54-65 to calculate the values for</v>
      </c>
      <c r="C180" s="14"/>
      <c r="D180" s="14"/>
      <c r="E180" s="14"/>
      <c r="F180" s="14"/>
      <c r="G180" s="14"/>
      <c r="H180" s="14"/>
      <c r="I180" s="14"/>
      <c r="J180" s="14"/>
      <c r="K180" s="14"/>
      <c r="L180" s="14"/>
    </row>
    <row r="181" spans="2:12" x14ac:dyDescent="0.2">
      <c r="B181" s="550" t="str">
        <f>"the corresponsing months listed in Lines "&amp;A146&amp;"-"&amp;A157&amp;"."</f>
        <v>the corresponsing months listed in Lines 70-81.</v>
      </c>
      <c r="C181" s="14"/>
      <c r="D181" s="14"/>
      <c r="E181" s="14"/>
      <c r="F181" s="14"/>
      <c r="G181" s="14"/>
      <c r="H181" s="14"/>
      <c r="I181" s="14"/>
      <c r="J181" s="14"/>
      <c r="K181" s="14"/>
      <c r="L181" s="14"/>
    </row>
    <row r="182" spans="2:12" x14ac:dyDescent="0.2">
      <c r="B182" s="14"/>
      <c r="C182" s="14"/>
      <c r="D182" s="14"/>
      <c r="E182" s="14"/>
      <c r="F182" s="14"/>
      <c r="G182" s="14"/>
      <c r="H182" s="14"/>
      <c r="I182" s="14"/>
      <c r="J182" s="14"/>
      <c r="K182" s="14"/>
      <c r="L182" s="14"/>
    </row>
  </sheetData>
  <phoneticPr fontId="12" type="noConversion"/>
  <pageMargins left="0.75" right="0.75" top="1" bottom="1" header="0.5" footer="0.5"/>
  <pageSetup scale="70" orientation="landscape" cellComments="asDisplayed" r:id="rId1"/>
  <headerFooter alignWithMargins="0">
    <oddHeader>&amp;CSchedule 6
Plant In Service
&amp;RTO8 Annual Update (Revised)
Attachment  1</oddHeader>
    <oddFooter>&amp;R&amp;A</oddFooter>
  </headerFooter>
  <rowBreaks count="3" manualBreakCount="3">
    <brk id="37" max="16383" man="1"/>
    <brk id="87"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Layout" zoomScaleNormal="90" workbookViewId="0">
      <selection activeCell="E28" sqref="E28"/>
    </sheetView>
  </sheetViews>
  <sheetFormatPr defaultRowHeight="12.75" x14ac:dyDescent="0.2"/>
  <cols>
    <col min="1" max="1" width="4.7109375" customWidth="1"/>
    <col min="2" max="2" width="25.7109375" style="133" customWidth="1"/>
    <col min="3" max="5" width="15.7109375" style="133" customWidth="1"/>
    <col min="6" max="6" width="12.28515625" style="133" customWidth="1"/>
    <col min="8" max="8" width="15.5703125" customWidth="1"/>
  </cols>
  <sheetData>
    <row r="1" spans="1:8" x14ac:dyDescent="0.2">
      <c r="A1" s="1" t="s">
        <v>479</v>
      </c>
      <c r="B1" s="183"/>
      <c r="C1" s="183"/>
      <c r="D1" s="183"/>
      <c r="E1" s="184" t="s">
        <v>499</v>
      </c>
      <c r="F1" s="199"/>
      <c r="G1" s="12"/>
    </row>
    <row r="2" spans="1:8" x14ac:dyDescent="0.2">
      <c r="B2" s="183"/>
      <c r="C2" s="183"/>
      <c r="G2" s="12"/>
    </row>
    <row r="3" spans="1:8" x14ac:dyDescent="0.2">
      <c r="A3" s="1148" t="s">
        <v>2036</v>
      </c>
      <c r="B3" s="1149"/>
      <c r="C3" s="1149"/>
      <c r="D3" s="1149"/>
      <c r="E3" s="1150" t="s">
        <v>2031</v>
      </c>
      <c r="F3" s="184">
        <v>2012</v>
      </c>
      <c r="G3" s="12"/>
    </row>
    <row r="4" spans="1:8" x14ac:dyDescent="0.2">
      <c r="A4" s="181"/>
      <c r="B4" s="183"/>
      <c r="C4" s="183"/>
      <c r="D4" s="183"/>
      <c r="E4" s="183"/>
      <c r="F4" s="183"/>
      <c r="G4" s="12"/>
    </row>
    <row r="5" spans="1:8" x14ac:dyDescent="0.2">
      <c r="B5" s="181"/>
      <c r="C5" s="90" t="s">
        <v>396</v>
      </c>
      <c r="E5" s="90" t="s">
        <v>380</v>
      </c>
      <c r="F5" s="90" t="s">
        <v>381</v>
      </c>
      <c r="G5" s="12"/>
    </row>
    <row r="6" spans="1:8" x14ac:dyDescent="0.2">
      <c r="B6" s="181"/>
      <c r="C6" s="90"/>
      <c r="E6" s="90"/>
      <c r="F6" s="90"/>
      <c r="G6" s="12"/>
    </row>
    <row r="7" spans="1:8" x14ac:dyDescent="0.2">
      <c r="A7" s="52" t="s">
        <v>362</v>
      </c>
      <c r="B7" s="181"/>
      <c r="C7" s="182" t="s">
        <v>217</v>
      </c>
      <c r="D7" s="182"/>
      <c r="E7" s="182" t="s">
        <v>1259</v>
      </c>
      <c r="F7" s="182" t="s">
        <v>481</v>
      </c>
      <c r="G7" s="12"/>
    </row>
    <row r="8" spans="1:8" x14ac:dyDescent="0.2">
      <c r="A8" s="2">
        <v>1</v>
      </c>
      <c r="B8" s="174" t="s">
        <v>112</v>
      </c>
      <c r="C8" s="174" t="s">
        <v>416</v>
      </c>
      <c r="D8" s="174" t="s">
        <v>485</v>
      </c>
      <c r="E8" s="174" t="s">
        <v>1260</v>
      </c>
      <c r="F8" s="174" t="s">
        <v>482</v>
      </c>
      <c r="G8" s="185" t="s">
        <v>189</v>
      </c>
    </row>
    <row r="9" spans="1:8" ht="12.75" customHeight="1" thickBot="1" x14ac:dyDescent="0.25">
      <c r="A9" s="2">
        <f>A8+1</f>
        <v>2</v>
      </c>
      <c r="B9" s="175" t="s">
        <v>475</v>
      </c>
      <c r="C9" s="186"/>
      <c r="D9" s="186"/>
      <c r="E9" s="186"/>
      <c r="F9" s="187"/>
      <c r="G9" s="12"/>
    </row>
    <row r="10" spans="1:8" x14ac:dyDescent="0.2">
      <c r="A10" s="2">
        <f t="shared" ref="A10:A28" si="0">A9+1</f>
        <v>3</v>
      </c>
      <c r="B10" s="176">
        <v>352</v>
      </c>
      <c r="C10" s="188">
        <v>378255078.49000001</v>
      </c>
      <c r="D10" s="168" t="s">
        <v>486</v>
      </c>
      <c r="E10" s="1269">
        <v>207656916</v>
      </c>
      <c r="F10" s="170">
        <f>E10/C10</f>
        <v>0.54898645863254381</v>
      </c>
      <c r="G10" s="12"/>
      <c r="H10" s="145"/>
    </row>
    <row r="11" spans="1:8" ht="13.5" thickBot="1" x14ac:dyDescent="0.25">
      <c r="A11" s="2">
        <f t="shared" si="0"/>
        <v>4</v>
      </c>
      <c r="B11" s="176">
        <v>353</v>
      </c>
      <c r="C11" s="123">
        <v>4021792061</v>
      </c>
      <c r="D11" s="168" t="s">
        <v>487</v>
      </c>
      <c r="E11" s="1270">
        <v>2231719300</v>
      </c>
      <c r="F11" s="171">
        <f>E11/C11</f>
        <v>0.55490668491823847</v>
      </c>
      <c r="G11" s="12"/>
    </row>
    <row r="12" spans="1:8" x14ac:dyDescent="0.2">
      <c r="A12" s="2">
        <f t="shared" si="0"/>
        <v>5</v>
      </c>
      <c r="B12" s="178" t="s">
        <v>470</v>
      </c>
      <c r="C12" s="166">
        <f>SUM(C10:C11)</f>
        <v>4400047139.4899998</v>
      </c>
      <c r="D12" s="13" t="str">
        <f>"L "&amp;A10&amp;" + L "&amp;A11&amp;""</f>
        <v>L 3 + L 4</v>
      </c>
      <c r="E12" s="166">
        <f>SUM(E10:E11)</f>
        <v>2439376216</v>
      </c>
      <c r="F12" s="170">
        <f>E12/C12</f>
        <v>0.55439774590295476</v>
      </c>
      <c r="G12" s="12"/>
    </row>
    <row r="13" spans="1:8" x14ac:dyDescent="0.2">
      <c r="A13" s="2">
        <f t="shared" si="0"/>
        <v>6</v>
      </c>
      <c r="B13" s="189"/>
      <c r="C13" s="190"/>
      <c r="D13" s="190"/>
      <c r="E13" s="190"/>
      <c r="F13" s="170"/>
      <c r="G13" s="12"/>
    </row>
    <row r="14" spans="1:8" ht="13.5" thickBot="1" x14ac:dyDescent="0.25">
      <c r="A14" s="2">
        <f t="shared" si="0"/>
        <v>7</v>
      </c>
      <c r="B14" s="177" t="s">
        <v>471</v>
      </c>
      <c r="C14" s="191"/>
      <c r="D14" s="191"/>
      <c r="E14" s="191"/>
      <c r="F14" s="192"/>
      <c r="G14" s="12"/>
    </row>
    <row r="15" spans="1:8" ht="13.5" thickBot="1" x14ac:dyDescent="0.25">
      <c r="A15" s="2">
        <f t="shared" si="0"/>
        <v>8</v>
      </c>
      <c r="B15" s="176">
        <v>350</v>
      </c>
      <c r="C15" s="165">
        <v>268447150.04000002</v>
      </c>
      <c r="D15" s="168" t="s">
        <v>488</v>
      </c>
      <c r="E15" s="1271">
        <v>185903030</v>
      </c>
      <c r="F15" s="170">
        <f>E15/C15</f>
        <v>0.6925125857074641</v>
      </c>
      <c r="G15" s="12"/>
    </row>
    <row r="16" spans="1:8" x14ac:dyDescent="0.2">
      <c r="A16" s="2">
        <f t="shared" si="0"/>
        <v>9</v>
      </c>
      <c r="B16" s="176"/>
      <c r="C16" s="166"/>
      <c r="D16" s="166"/>
      <c r="E16" s="166"/>
      <c r="F16" s="170"/>
      <c r="G16" s="12"/>
    </row>
    <row r="17" spans="1:7" x14ac:dyDescent="0.2">
      <c r="A17" s="2">
        <f t="shared" si="0"/>
        <v>10</v>
      </c>
      <c r="B17" s="177" t="s">
        <v>472</v>
      </c>
      <c r="C17" s="166">
        <f>C12+C15</f>
        <v>4668494289.5299997</v>
      </c>
      <c r="D17" s="13" t="str">
        <f>"L "&amp;A12&amp;" + L "&amp;A15&amp;""</f>
        <v>L 5 + L 8</v>
      </c>
      <c r="E17" s="1331">
        <f>E12+E15</f>
        <v>2625279246</v>
      </c>
      <c r="F17" s="170">
        <f>E17/C17</f>
        <v>0.56233960741639888</v>
      </c>
      <c r="G17" s="12"/>
    </row>
    <row r="18" spans="1:7" x14ac:dyDescent="0.2">
      <c r="A18" s="2">
        <f t="shared" si="0"/>
        <v>11</v>
      </c>
      <c r="B18" s="189"/>
      <c r="C18" s="190"/>
      <c r="D18" s="190"/>
      <c r="E18" s="190"/>
      <c r="F18" s="170"/>
      <c r="G18" s="12"/>
    </row>
    <row r="19" spans="1:7" x14ac:dyDescent="0.2">
      <c r="A19" s="2">
        <f t="shared" si="0"/>
        <v>12</v>
      </c>
      <c r="B19" s="177" t="s">
        <v>473</v>
      </c>
      <c r="C19" s="190"/>
      <c r="D19" s="190"/>
      <c r="E19" s="190"/>
      <c r="F19" s="170"/>
      <c r="G19" s="12"/>
    </row>
    <row r="20" spans="1:7" x14ac:dyDescent="0.2">
      <c r="A20" s="2">
        <f t="shared" si="0"/>
        <v>13</v>
      </c>
      <c r="B20" s="176">
        <v>354</v>
      </c>
      <c r="C20" s="193">
        <v>772203665.50999999</v>
      </c>
      <c r="D20" s="168" t="s">
        <v>489</v>
      </c>
      <c r="E20" s="868">
        <v>728242650.16347945</v>
      </c>
      <c r="F20" s="194">
        <f>E20/C20</f>
        <v>0.94307069843098112</v>
      </c>
      <c r="G20" s="12"/>
    </row>
    <row r="21" spans="1:7" x14ac:dyDescent="0.2">
      <c r="A21" s="2">
        <f t="shared" si="0"/>
        <v>14</v>
      </c>
      <c r="B21" s="176">
        <v>355</v>
      </c>
      <c r="C21" s="193">
        <v>603692253.20000005</v>
      </c>
      <c r="D21" s="168" t="s">
        <v>490</v>
      </c>
      <c r="E21" s="868">
        <v>148632888.4820841</v>
      </c>
      <c r="F21" s="194">
        <f t="shared" ref="F21:F26" si="1">E21/C21</f>
        <v>0.24620638693676064</v>
      </c>
      <c r="G21" s="12"/>
    </row>
    <row r="22" spans="1:7" x14ac:dyDescent="0.2">
      <c r="A22" s="2">
        <f t="shared" si="0"/>
        <v>15</v>
      </c>
      <c r="B22" s="176">
        <v>356</v>
      </c>
      <c r="C22" s="193">
        <v>706020710.715047</v>
      </c>
      <c r="D22" s="168" t="s">
        <v>491</v>
      </c>
      <c r="E22" s="868">
        <v>494953932.48711836</v>
      </c>
      <c r="F22" s="194">
        <f t="shared" si="1"/>
        <v>0.70104732761428001</v>
      </c>
      <c r="G22" s="12"/>
    </row>
    <row r="23" spans="1:7" x14ac:dyDescent="0.2">
      <c r="A23" s="2">
        <f t="shared" si="0"/>
        <v>16</v>
      </c>
      <c r="B23" s="176">
        <v>357</v>
      </c>
      <c r="C23" s="193">
        <v>48517033.210000001</v>
      </c>
      <c r="D23" s="168" t="s">
        <v>492</v>
      </c>
      <c r="E23" s="868">
        <v>645861.64518965012</v>
      </c>
      <c r="F23" s="194">
        <f t="shared" si="1"/>
        <v>1.3312059754233479E-2</v>
      </c>
      <c r="G23" s="12"/>
    </row>
    <row r="24" spans="1:7" x14ac:dyDescent="0.2">
      <c r="A24" s="2">
        <f t="shared" si="0"/>
        <v>17</v>
      </c>
      <c r="B24" s="176">
        <v>358</v>
      </c>
      <c r="C24" s="193">
        <v>208167367.08000001</v>
      </c>
      <c r="D24" s="168" t="s">
        <v>493</v>
      </c>
      <c r="E24" s="868">
        <v>3959306.6940610548</v>
      </c>
      <c r="F24" s="194">
        <f t="shared" si="1"/>
        <v>1.9019824046386045E-2</v>
      </c>
      <c r="G24" s="12"/>
    </row>
    <row r="25" spans="1:7" x14ac:dyDescent="0.2">
      <c r="A25" s="2">
        <f t="shared" si="0"/>
        <v>18</v>
      </c>
      <c r="B25" s="176">
        <v>359</v>
      </c>
      <c r="C25" s="195">
        <v>43038583</v>
      </c>
      <c r="D25" s="168" t="s">
        <v>494</v>
      </c>
      <c r="E25" s="195">
        <v>38747355.238424651</v>
      </c>
      <c r="F25" s="196">
        <f t="shared" si="1"/>
        <v>0.90029347012713334</v>
      </c>
      <c r="G25" s="12"/>
    </row>
    <row r="26" spans="1:7" x14ac:dyDescent="0.2">
      <c r="A26" s="2">
        <f t="shared" si="0"/>
        <v>19</v>
      </c>
      <c r="B26" s="178" t="s">
        <v>474</v>
      </c>
      <c r="C26" s="166">
        <f>SUM(C20:C25)</f>
        <v>2381639612.7150469</v>
      </c>
      <c r="D26" s="169" t="str">
        <f>"Sum L"&amp;A20&amp;" to L"&amp;A25&amp;""</f>
        <v>Sum L13 to L18</v>
      </c>
      <c r="E26" s="166">
        <f>SUM(E20:E25)</f>
        <v>1415181994.7103572</v>
      </c>
      <c r="F26" s="170">
        <f t="shared" si="1"/>
        <v>0.59420492804831326</v>
      </c>
      <c r="G26" s="12"/>
    </row>
    <row r="27" spans="1:7" ht="13.5" thickBot="1" x14ac:dyDescent="0.25">
      <c r="A27" s="2">
        <f t="shared" si="0"/>
        <v>20</v>
      </c>
      <c r="B27" s="197"/>
      <c r="C27" s="166"/>
      <c r="D27" s="166"/>
      <c r="E27" s="166"/>
      <c r="F27" s="170"/>
      <c r="G27" s="12"/>
    </row>
    <row r="28" spans="1:7" x14ac:dyDescent="0.2">
      <c r="A28" s="2">
        <f t="shared" si="0"/>
        <v>21</v>
      </c>
      <c r="B28" s="198" t="s">
        <v>484</v>
      </c>
      <c r="C28" s="172">
        <f>C17+C26</f>
        <v>7050133902.2450466</v>
      </c>
      <c r="D28" s="13" t="str">
        <f>"L "&amp;A17&amp;" + L "&amp;A26&amp;""</f>
        <v>L 10 + L 19</v>
      </c>
      <c r="E28" s="1277">
        <f>E17+E26</f>
        <v>4040461240.7103572</v>
      </c>
      <c r="F28" s="1264">
        <f>E28/C28</f>
        <v>0.57310418450686607</v>
      </c>
      <c r="G28" s="12" t="s">
        <v>397</v>
      </c>
    </row>
    <row r="29" spans="1:7" x14ac:dyDescent="0.2">
      <c r="A29" s="2"/>
      <c r="B29" s="138"/>
      <c r="C29" s="134"/>
      <c r="D29" s="134"/>
      <c r="E29" s="1278">
        <v>3928567629</v>
      </c>
      <c r="F29" s="137"/>
    </row>
    <row r="30" spans="1:7" ht="13.5" thickBot="1" x14ac:dyDescent="0.25">
      <c r="A30" s="2"/>
      <c r="B30" s="135"/>
      <c r="C30" s="136"/>
      <c r="D30" s="136"/>
      <c r="E30" s="1279">
        <f>E28-E29</f>
        <v>111893611.71035719</v>
      </c>
      <c r="F30" s="136"/>
    </row>
    <row r="31" spans="1:7" x14ac:dyDescent="0.2">
      <c r="A31" s="181" t="s">
        <v>483</v>
      </c>
      <c r="C31" s="136"/>
      <c r="D31" s="136"/>
      <c r="E31" s="136"/>
      <c r="F31" s="136"/>
    </row>
    <row r="32" spans="1:7" x14ac:dyDescent="0.2">
      <c r="A32" s="2"/>
      <c r="B32" s="141"/>
      <c r="C32" s="136"/>
      <c r="D32" s="136"/>
      <c r="E32" s="136"/>
      <c r="F32" s="136"/>
    </row>
    <row r="33" spans="1:9" x14ac:dyDescent="0.2">
      <c r="A33" s="52" t="s">
        <v>362</v>
      </c>
      <c r="B33" s="181"/>
      <c r="C33" s="182" t="s">
        <v>217</v>
      </c>
      <c r="D33" s="182"/>
      <c r="E33" s="182" t="s">
        <v>338</v>
      </c>
      <c r="F33" s="182" t="s">
        <v>481</v>
      </c>
    </row>
    <row r="34" spans="1:9" x14ac:dyDescent="0.2">
      <c r="A34" s="2">
        <f>A28+1</f>
        <v>22</v>
      </c>
      <c r="B34" s="174" t="s">
        <v>112</v>
      </c>
      <c r="C34" s="174" t="s">
        <v>416</v>
      </c>
      <c r="D34" s="174" t="s">
        <v>485</v>
      </c>
      <c r="E34" s="174" t="s">
        <v>1260</v>
      </c>
      <c r="F34" s="174" t="s">
        <v>482</v>
      </c>
    </row>
    <row r="35" spans="1:9" x14ac:dyDescent="0.2">
      <c r="A35" s="2">
        <f t="shared" ref="A35:A42" si="2">A34+1</f>
        <v>23</v>
      </c>
      <c r="B35" s="175" t="s">
        <v>476</v>
      </c>
      <c r="C35" s="134"/>
      <c r="D35" s="134"/>
      <c r="E35" s="134"/>
      <c r="F35" s="137"/>
    </row>
    <row r="36" spans="1:9" x14ac:dyDescent="0.2">
      <c r="A36" s="2">
        <f t="shared" si="2"/>
        <v>24</v>
      </c>
      <c r="B36" s="176">
        <v>360</v>
      </c>
      <c r="C36" s="165">
        <v>105974876</v>
      </c>
      <c r="D36" s="168" t="s">
        <v>495</v>
      </c>
      <c r="E36" s="165">
        <v>78348.646627332098</v>
      </c>
      <c r="F36" s="170">
        <f>E36/C36</f>
        <v>7.3931340695630634E-4</v>
      </c>
    </row>
    <row r="37" spans="1:9" x14ac:dyDescent="0.2">
      <c r="A37" s="2">
        <f t="shared" si="2"/>
        <v>25</v>
      </c>
      <c r="B37" s="177" t="s">
        <v>477</v>
      </c>
      <c r="C37" s="166"/>
      <c r="D37" s="166"/>
      <c r="E37" s="166"/>
      <c r="F37" s="170"/>
    </row>
    <row r="38" spans="1:9" x14ac:dyDescent="0.2">
      <c r="A38" s="2">
        <f t="shared" si="2"/>
        <v>26</v>
      </c>
      <c r="B38" s="176">
        <v>361</v>
      </c>
      <c r="C38" s="165">
        <v>436830749</v>
      </c>
      <c r="D38" s="168" t="s">
        <v>496</v>
      </c>
      <c r="E38" s="165">
        <v>718564.57265429304</v>
      </c>
      <c r="F38" s="170">
        <f>E38/C38</f>
        <v>1.6449496156102624E-3</v>
      </c>
    </row>
    <row r="39" spans="1:9" x14ac:dyDescent="0.2">
      <c r="A39" s="2">
        <f t="shared" si="2"/>
        <v>27</v>
      </c>
      <c r="B39" s="176">
        <v>362</v>
      </c>
      <c r="C39" s="167">
        <v>1761037882</v>
      </c>
      <c r="D39" s="168" t="s">
        <v>497</v>
      </c>
      <c r="E39" s="167">
        <v>6051836.2912730929</v>
      </c>
      <c r="F39" s="171">
        <f>E39/C39</f>
        <v>3.4365168138234818E-3</v>
      </c>
    </row>
    <row r="40" spans="1:9" x14ac:dyDescent="0.2">
      <c r="A40" s="2">
        <f t="shared" si="2"/>
        <v>28</v>
      </c>
      <c r="B40" s="178" t="s">
        <v>478</v>
      </c>
      <c r="C40" s="166">
        <f>SUM(C38:C39)</f>
        <v>2197868631</v>
      </c>
      <c r="D40" s="13" t="str">
        <f>"L "&amp;A38&amp;" + L "&amp;A39&amp;""</f>
        <v>L 26 + L 27</v>
      </c>
      <c r="E40" s="166">
        <f>SUM(E38:E39)</f>
        <v>6770400.8639273858</v>
      </c>
      <c r="F40" s="170">
        <f>E40/C40</f>
        <v>3.0804392803253878E-3</v>
      </c>
    </row>
    <row r="41" spans="1:9" x14ac:dyDescent="0.2">
      <c r="A41" s="2">
        <f t="shared" si="2"/>
        <v>29</v>
      </c>
      <c r="B41" s="179"/>
      <c r="C41" s="146"/>
      <c r="D41" s="166"/>
      <c r="E41" s="166"/>
      <c r="F41" s="170"/>
    </row>
    <row r="42" spans="1:9" x14ac:dyDescent="0.2">
      <c r="A42" s="2">
        <f t="shared" si="2"/>
        <v>30</v>
      </c>
      <c r="B42" s="180" t="s">
        <v>1388</v>
      </c>
      <c r="C42" s="172">
        <f>C36+C40</f>
        <v>2303843507</v>
      </c>
      <c r="D42" s="13" t="str">
        <f>"L "&amp;A36&amp;" + L "&amp;A40&amp;""</f>
        <v>L 24 + L 28</v>
      </c>
      <c r="E42" s="172">
        <f>E36+E40</f>
        <v>6848749.5105547179</v>
      </c>
      <c r="F42" s="173">
        <f>E42/C42</f>
        <v>2.9727494466292837E-3</v>
      </c>
      <c r="G42" s="12" t="s">
        <v>398</v>
      </c>
      <c r="H42" s="12"/>
    </row>
    <row r="43" spans="1:9" x14ac:dyDescent="0.2">
      <c r="A43" s="2"/>
      <c r="B43" s="142"/>
      <c r="C43" s="143"/>
      <c r="D43" s="143"/>
      <c r="E43" s="143"/>
      <c r="F43" s="144"/>
      <c r="H43" s="147"/>
      <c r="I43" s="12"/>
    </row>
    <row r="44" spans="1:9" x14ac:dyDescent="0.2">
      <c r="A44" s="62"/>
      <c r="E44" s="139"/>
    </row>
    <row r="45" spans="1:9" x14ac:dyDescent="0.2">
      <c r="A45" s="89" t="s">
        <v>258</v>
      </c>
    </row>
    <row r="46" spans="1:9" x14ac:dyDescent="0.2">
      <c r="A46" s="13" t="s">
        <v>498</v>
      </c>
      <c r="E46" s="139"/>
    </row>
    <row r="47" spans="1:9" x14ac:dyDescent="0.2">
      <c r="A47" s="13" t="s">
        <v>503</v>
      </c>
    </row>
    <row r="48" spans="1:9" x14ac:dyDescent="0.2">
      <c r="A48" s="13" t="s">
        <v>500</v>
      </c>
      <c r="C48" s="139"/>
      <c r="D48" s="139"/>
    </row>
    <row r="49" spans="1:4" x14ac:dyDescent="0.2">
      <c r="A49" s="13" t="s">
        <v>502</v>
      </c>
      <c r="C49" s="140"/>
      <c r="D49" s="140"/>
    </row>
    <row r="50" spans="1:4" x14ac:dyDescent="0.2">
      <c r="A50" s="62"/>
      <c r="C50" s="139"/>
      <c r="D50" s="139"/>
    </row>
    <row r="51" spans="1:4" x14ac:dyDescent="0.2">
      <c r="A51" s="89" t="s">
        <v>422</v>
      </c>
    </row>
    <row r="52" spans="1:4" x14ac:dyDescent="0.2">
      <c r="A52" s="13" t="s">
        <v>501</v>
      </c>
    </row>
    <row r="53" spans="1:4" x14ac:dyDescent="0.2">
      <c r="A53" s="13" t="s">
        <v>1640</v>
      </c>
    </row>
    <row r="54" spans="1:4" x14ac:dyDescent="0.2">
      <c r="A54" s="552" t="s">
        <v>2596</v>
      </c>
    </row>
  </sheetData>
  <pageMargins left="0.7" right="0.7" top="0.75" bottom="0.75" header="0.3" footer="0.3"/>
  <pageSetup scale="90" orientation="portrait" cellComments="asDisplayed" r:id="rId1"/>
  <headerFooter>
    <oddHeader>&amp;CSchedule 7
Transmission Plant Study Summary
&amp;RTO8 Annual Update (Revised)
Attachment  1</oddHeader>
    <oddFooter>&amp;R7-PlantStudy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view="pageLayout" zoomScaleNormal="90" workbookViewId="0">
      <selection activeCell="N83" sqref="N83"/>
    </sheetView>
  </sheetViews>
  <sheetFormatPr defaultRowHeight="12.75" x14ac:dyDescent="0.2"/>
  <cols>
    <col min="1" max="1" width="4.7109375" customWidth="1"/>
    <col min="2" max="2" width="7.7109375" customWidth="1"/>
    <col min="3" max="3" width="10.7109375" customWidth="1"/>
    <col min="4" max="4" width="13.7109375" customWidth="1"/>
    <col min="5" max="6" width="14.7109375" customWidth="1"/>
    <col min="7" max="10" width="13.7109375" customWidth="1"/>
    <col min="11" max="12" width="11.7109375" customWidth="1"/>
    <col min="13" max="13" width="13.7109375" customWidth="1"/>
    <col min="14" max="14" width="14.7109375" customWidth="1"/>
    <col min="15" max="15" width="13.7109375" style="14" customWidth="1"/>
    <col min="16" max="23" width="9.140625" style="14"/>
  </cols>
  <sheetData>
    <row r="1" spans="1:18" x14ac:dyDescent="0.2">
      <c r="A1" s="1" t="s">
        <v>183</v>
      </c>
      <c r="B1" s="1"/>
      <c r="C1" s="247"/>
      <c r="D1" s="247"/>
      <c r="E1" s="247"/>
      <c r="F1" s="247"/>
      <c r="G1" s="247"/>
      <c r="H1" s="247"/>
      <c r="I1" s="247"/>
      <c r="J1" s="604" t="s">
        <v>499</v>
      </c>
      <c r="K1" s="199"/>
      <c r="L1" s="247"/>
      <c r="M1" s="247"/>
      <c r="N1" s="247"/>
      <c r="O1" s="257"/>
      <c r="P1" s="257"/>
      <c r="Q1" s="257"/>
      <c r="R1" s="257"/>
    </row>
    <row r="2" spans="1:18" x14ac:dyDescent="0.2">
      <c r="A2" s="247"/>
      <c r="B2" s="247"/>
      <c r="C2" s="247"/>
      <c r="D2" s="247"/>
      <c r="E2" s="247"/>
      <c r="F2" s="247"/>
      <c r="G2" s="247"/>
      <c r="H2" s="247"/>
      <c r="I2" s="247"/>
      <c r="L2" s="247"/>
      <c r="M2" s="247"/>
      <c r="N2" s="247"/>
      <c r="O2" s="257"/>
      <c r="P2" s="257"/>
      <c r="Q2" s="257"/>
      <c r="R2" s="257"/>
    </row>
    <row r="3" spans="1:18" x14ac:dyDescent="0.2">
      <c r="A3" s="247"/>
      <c r="B3" s="1" t="s">
        <v>360</v>
      </c>
      <c r="C3" s="247"/>
      <c r="D3" s="247"/>
      <c r="E3" s="247"/>
      <c r="F3" s="247"/>
      <c r="G3" s="1146" t="s">
        <v>2031</v>
      </c>
      <c r="H3" s="447">
        <v>2012</v>
      </c>
      <c r="I3" s="247"/>
      <c r="J3" s="247"/>
      <c r="K3" s="247"/>
      <c r="L3" s="247"/>
      <c r="M3" s="247"/>
      <c r="N3" s="247"/>
      <c r="O3" s="257"/>
      <c r="P3" s="257"/>
      <c r="Q3" s="257"/>
      <c r="R3" s="257"/>
    </row>
    <row r="4" spans="1:18" x14ac:dyDescent="0.2">
      <c r="A4" s="247"/>
      <c r="B4" s="247"/>
      <c r="C4" s="247"/>
      <c r="D4" s="247"/>
      <c r="E4" s="247"/>
      <c r="F4" s="247"/>
      <c r="G4" s="247"/>
      <c r="H4" s="247"/>
      <c r="I4" s="247"/>
      <c r="J4" s="247"/>
      <c r="K4" s="247"/>
      <c r="L4" s="247"/>
      <c r="M4" s="247"/>
      <c r="N4" s="247"/>
      <c r="O4" s="257"/>
      <c r="P4" s="257"/>
      <c r="Q4" s="257"/>
      <c r="R4" s="257"/>
    </row>
    <row r="5" spans="1:18" x14ac:dyDescent="0.2">
      <c r="A5" s="247"/>
      <c r="B5" s="247"/>
      <c r="C5" s="548" t="s">
        <v>1772</v>
      </c>
      <c r="D5" s="247"/>
      <c r="E5" s="247"/>
      <c r="F5" s="247"/>
      <c r="G5" s="247"/>
      <c r="H5" s="247"/>
      <c r="I5" s="247"/>
      <c r="J5" s="548"/>
      <c r="K5" s="247"/>
      <c r="L5" s="247"/>
      <c r="M5" s="247"/>
      <c r="N5" s="247"/>
      <c r="O5" s="257"/>
      <c r="P5" s="257"/>
      <c r="Q5" s="257"/>
      <c r="R5" s="257"/>
    </row>
    <row r="6" spans="1:18" x14ac:dyDescent="0.2">
      <c r="A6" s="247"/>
      <c r="B6" s="247"/>
      <c r="C6" s="247"/>
      <c r="D6" s="247"/>
      <c r="E6" s="247"/>
      <c r="F6" s="247"/>
      <c r="G6" s="247"/>
      <c r="H6" s="247"/>
      <c r="I6" s="247"/>
      <c r="J6" s="247"/>
      <c r="K6" s="247"/>
      <c r="L6" s="247"/>
      <c r="M6" s="247"/>
      <c r="N6" s="247"/>
      <c r="O6" s="257"/>
      <c r="P6" s="257"/>
      <c r="Q6" s="257"/>
      <c r="R6" s="257"/>
    </row>
    <row r="7" spans="1:18" x14ac:dyDescent="0.2">
      <c r="A7" s="247"/>
      <c r="B7" s="247"/>
      <c r="C7" s="90" t="s">
        <v>396</v>
      </c>
      <c r="D7" s="90" t="s">
        <v>380</v>
      </c>
      <c r="E7" s="90" t="s">
        <v>381</v>
      </c>
      <c r="F7" s="90" t="s">
        <v>382</v>
      </c>
      <c r="G7" s="90" t="s">
        <v>383</v>
      </c>
      <c r="H7" s="90" t="s">
        <v>384</v>
      </c>
      <c r="I7" s="90" t="s">
        <v>385</v>
      </c>
      <c r="J7" s="90" t="s">
        <v>599</v>
      </c>
      <c r="K7" s="90" t="s">
        <v>1048</v>
      </c>
      <c r="L7" s="90" t="s">
        <v>1064</v>
      </c>
      <c r="M7" s="90" t="s">
        <v>1067</v>
      </c>
      <c r="N7" s="90" t="s">
        <v>1085</v>
      </c>
      <c r="O7" s="257"/>
      <c r="P7" s="257"/>
      <c r="Q7" s="257"/>
      <c r="R7" s="257"/>
    </row>
    <row r="8" spans="1:18" x14ac:dyDescent="0.2">
      <c r="A8" s="247"/>
      <c r="B8" s="247"/>
      <c r="C8" s="268"/>
      <c r="D8" s="247"/>
      <c r="E8" s="247"/>
      <c r="F8" s="247"/>
      <c r="G8" s="247"/>
      <c r="H8" s="247"/>
      <c r="I8" s="247"/>
      <c r="J8" s="247"/>
      <c r="K8" s="247"/>
      <c r="L8" s="247"/>
      <c r="M8" s="247"/>
      <c r="N8" s="523" t="s">
        <v>1922</v>
      </c>
      <c r="O8" s="257"/>
      <c r="P8" s="257"/>
      <c r="Q8" s="257"/>
      <c r="R8" s="257"/>
    </row>
    <row r="9" spans="1:18" x14ac:dyDescent="0.2">
      <c r="A9" s="247"/>
      <c r="B9" s="247"/>
      <c r="C9" s="515"/>
      <c r="D9" s="605" t="s">
        <v>13</v>
      </c>
      <c r="E9" s="247"/>
      <c r="F9" s="247"/>
      <c r="G9" s="247"/>
      <c r="H9" s="247"/>
      <c r="I9" s="247"/>
      <c r="J9" s="247"/>
      <c r="K9" s="247"/>
      <c r="L9" s="247"/>
      <c r="M9" s="247"/>
      <c r="N9" s="247"/>
      <c r="O9" s="257"/>
      <c r="P9" s="257"/>
      <c r="Q9" s="257"/>
      <c r="R9" s="257"/>
    </row>
    <row r="10" spans="1:18" x14ac:dyDescent="0.2">
      <c r="A10" s="247"/>
      <c r="B10" s="247"/>
      <c r="C10" s="117"/>
      <c r="D10" s="605" t="s">
        <v>1065</v>
      </c>
      <c r="E10" s="247"/>
      <c r="F10" s="247"/>
      <c r="G10" s="247"/>
      <c r="H10" s="247"/>
      <c r="I10" s="247"/>
      <c r="J10" s="247"/>
      <c r="K10" s="247"/>
      <c r="L10" s="247"/>
      <c r="M10" s="247"/>
      <c r="N10" s="247"/>
      <c r="O10" s="257"/>
      <c r="P10" s="257"/>
      <c r="Q10" s="257"/>
      <c r="R10" s="257"/>
    </row>
    <row r="11" spans="1:18" ht="12.75" customHeight="1" thickBot="1" x14ac:dyDescent="0.25">
      <c r="A11" s="52" t="s">
        <v>362</v>
      </c>
      <c r="B11" s="52"/>
      <c r="C11" s="131" t="s">
        <v>2084</v>
      </c>
      <c r="D11" s="90">
        <v>350.1</v>
      </c>
      <c r="E11" s="90">
        <v>350.2</v>
      </c>
      <c r="F11" s="90">
        <v>352</v>
      </c>
      <c r="G11" s="90">
        <v>353</v>
      </c>
      <c r="H11" s="90">
        <v>354</v>
      </c>
      <c r="I11" s="90">
        <v>355</v>
      </c>
      <c r="J11" s="90">
        <v>356</v>
      </c>
      <c r="K11" s="90">
        <v>357</v>
      </c>
      <c r="L11" s="90">
        <v>358</v>
      </c>
      <c r="M11" s="90">
        <v>359</v>
      </c>
      <c r="N11" s="3" t="s">
        <v>217</v>
      </c>
      <c r="O11" s="257"/>
      <c r="P11" s="257"/>
      <c r="Q11" s="257"/>
      <c r="R11" s="257"/>
    </row>
    <row r="12" spans="1:18" ht="12.75" customHeight="1" thickBot="1" x14ac:dyDescent="0.25">
      <c r="A12" s="585">
        <v>1</v>
      </c>
      <c r="B12" s="585"/>
      <c r="C12" s="699" t="s">
        <v>2656</v>
      </c>
      <c r="D12" s="587">
        <v>0</v>
      </c>
      <c r="E12" s="1322">
        <v>6585987.3281545825</v>
      </c>
      <c r="F12" s="1325">
        <v>37119240.142935656</v>
      </c>
      <c r="G12" s="1325">
        <v>236118614.14700761</v>
      </c>
      <c r="H12" s="1325">
        <v>357349552.81567258</v>
      </c>
      <c r="I12" s="1325">
        <v>33638583.48029466</v>
      </c>
      <c r="J12" s="1325">
        <v>332289522.58153671</v>
      </c>
      <c r="K12" s="1325">
        <v>240592.79741319374</v>
      </c>
      <c r="L12" s="1325">
        <v>1461025.2132115618</v>
      </c>
      <c r="M12" s="1326">
        <v>11929354.627224382</v>
      </c>
      <c r="N12" s="1297">
        <f>SUM(D12:M12)</f>
        <v>1016732473.133451</v>
      </c>
      <c r="O12" s="257"/>
      <c r="P12" s="257"/>
      <c r="Q12" s="257"/>
      <c r="R12" s="257"/>
    </row>
    <row r="13" spans="1:18" ht="12.75" customHeight="1" x14ac:dyDescent="0.2">
      <c r="A13" s="585">
        <f>A12+1</f>
        <v>2</v>
      </c>
      <c r="B13" s="585"/>
      <c r="C13" s="700" t="s">
        <v>2657</v>
      </c>
      <c r="D13" s="251">
        <v>0</v>
      </c>
      <c r="E13" s="1330">
        <f t="shared" ref="E13:M23" si="0">E144+E91+E12</f>
        <v>6698491.5341474116</v>
      </c>
      <c r="F13" s="1293">
        <f t="shared" si="0"/>
        <v>37515240.623348005</v>
      </c>
      <c r="G13" s="1297">
        <f t="shared" si="0"/>
        <v>240501294.7980327</v>
      </c>
      <c r="H13" s="1297">
        <f t="shared" si="0"/>
        <v>358550430.32087684</v>
      </c>
      <c r="I13" s="1297">
        <f t="shared" si="0"/>
        <v>34278661.015166417</v>
      </c>
      <c r="J13" s="1297">
        <f t="shared" si="0"/>
        <v>333632644.42869258</v>
      </c>
      <c r="K13" s="1297">
        <f t="shared" si="0"/>
        <v>243244.34008715063</v>
      </c>
      <c r="L13" s="1297">
        <f t="shared" si="0"/>
        <v>1466426.6051718872</v>
      </c>
      <c r="M13" s="1297">
        <f t="shared" si="0"/>
        <v>12076449.463102205</v>
      </c>
      <c r="N13" s="1297">
        <f t="shared" ref="N13:N24" si="1">SUM(D13:M13)</f>
        <v>1024962883.1286253</v>
      </c>
      <c r="O13" s="257"/>
      <c r="P13" s="257"/>
      <c r="Q13" s="257"/>
      <c r="R13" s="257"/>
    </row>
    <row r="14" spans="1:18" ht="12.75" customHeight="1" x14ac:dyDescent="0.2">
      <c r="A14" s="585">
        <f t="shared" ref="A14:A25" si="2">A13+1</f>
        <v>3</v>
      </c>
      <c r="B14" s="585"/>
      <c r="C14" s="699" t="s">
        <v>2658</v>
      </c>
      <c r="D14" s="251">
        <v>0</v>
      </c>
      <c r="E14" s="1330">
        <f t="shared" si="0"/>
        <v>6811033.9009331446</v>
      </c>
      <c r="F14" s="1297">
        <f t="shared" si="0"/>
        <v>37900630.219626054</v>
      </c>
      <c r="G14" s="1297">
        <f t="shared" si="0"/>
        <v>239293440.34657374</v>
      </c>
      <c r="H14" s="1297">
        <f t="shared" si="0"/>
        <v>359483715.89380026</v>
      </c>
      <c r="I14" s="1297">
        <f t="shared" si="0"/>
        <v>35076345.853517249</v>
      </c>
      <c r="J14" s="1297">
        <f t="shared" si="0"/>
        <v>335254544.35167611</v>
      </c>
      <c r="K14" s="1297">
        <f t="shared" si="0"/>
        <v>245896.89543545232</v>
      </c>
      <c r="L14" s="1297">
        <f t="shared" si="0"/>
        <v>1472211.0467217793</v>
      </c>
      <c r="M14" s="1297">
        <f t="shared" si="0"/>
        <v>12223270.011207212</v>
      </c>
      <c r="N14" s="1297">
        <f t="shared" si="1"/>
        <v>1027761088.5194911</v>
      </c>
      <c r="O14" s="257"/>
      <c r="P14" s="257"/>
      <c r="Q14" s="257"/>
      <c r="R14" s="257"/>
    </row>
    <row r="15" spans="1:18" ht="12.75" customHeight="1" x14ac:dyDescent="0.2">
      <c r="A15" s="585">
        <f t="shared" si="2"/>
        <v>4</v>
      </c>
      <c r="B15" s="585"/>
      <c r="C15" s="699" t="s">
        <v>2659</v>
      </c>
      <c r="D15" s="251">
        <v>0</v>
      </c>
      <c r="E15" s="1330">
        <f t="shared" si="0"/>
        <v>6946573.7013961226</v>
      </c>
      <c r="F15" s="1297">
        <f t="shared" si="0"/>
        <v>38346333.865403958</v>
      </c>
      <c r="G15" s="1297">
        <f t="shared" si="0"/>
        <v>223614278.09695211</v>
      </c>
      <c r="H15" s="1297">
        <f t="shared" si="0"/>
        <v>344600178.69045353</v>
      </c>
      <c r="I15" s="1297">
        <f t="shared" si="0"/>
        <v>34766306.006258138</v>
      </c>
      <c r="J15" s="1297">
        <f t="shared" si="0"/>
        <v>326877624.47967732</v>
      </c>
      <c r="K15" s="1297">
        <f t="shared" si="0"/>
        <v>248369.59110802432</v>
      </c>
      <c r="L15" s="1297">
        <f t="shared" si="0"/>
        <v>1481878.2838978597</v>
      </c>
      <c r="M15" s="1297">
        <f t="shared" si="0"/>
        <v>7207046.6454054834</v>
      </c>
      <c r="N15" s="1297">
        <f t="shared" si="1"/>
        <v>984088589.36055267</v>
      </c>
      <c r="O15" s="257"/>
      <c r="P15" s="257"/>
      <c r="Q15" s="257"/>
      <c r="R15" s="257"/>
    </row>
    <row r="16" spans="1:18" ht="12.75" customHeight="1" x14ac:dyDescent="0.2">
      <c r="A16" s="585">
        <f t="shared" si="2"/>
        <v>5</v>
      </c>
      <c r="B16" s="585"/>
      <c r="C16" s="700" t="s">
        <v>2660</v>
      </c>
      <c r="D16" s="251">
        <v>0</v>
      </c>
      <c r="E16" s="1330">
        <f t="shared" si="0"/>
        <v>7084126.7993162051</v>
      </c>
      <c r="F16" s="1297">
        <f t="shared" si="0"/>
        <v>38794477.564696491</v>
      </c>
      <c r="G16" s="1297">
        <f t="shared" si="0"/>
        <v>225417146.56628287</v>
      </c>
      <c r="H16" s="1297">
        <f t="shared" si="0"/>
        <v>345355582.83113825</v>
      </c>
      <c r="I16" s="1297">
        <f t="shared" si="0"/>
        <v>35897649.999757841</v>
      </c>
      <c r="J16" s="1297">
        <f t="shared" si="0"/>
        <v>327170864.14378303</v>
      </c>
      <c r="K16" s="1297">
        <f t="shared" si="0"/>
        <v>250857.68842336995</v>
      </c>
      <c r="L16" s="1297">
        <f t="shared" si="0"/>
        <v>1490689.2101086655</v>
      </c>
      <c r="M16" s="1297">
        <f t="shared" si="0"/>
        <v>7037605.1403000429</v>
      </c>
      <c r="N16" s="1297">
        <f t="shared" si="1"/>
        <v>988498999.94380677</v>
      </c>
      <c r="O16" s="257"/>
      <c r="P16" s="257"/>
      <c r="Q16" s="257"/>
      <c r="R16" s="257"/>
    </row>
    <row r="17" spans="1:18" ht="12.75" customHeight="1" x14ac:dyDescent="0.2">
      <c r="A17" s="585">
        <f t="shared" si="2"/>
        <v>6</v>
      </c>
      <c r="B17" s="585"/>
      <c r="C17" s="699" t="s">
        <v>2661</v>
      </c>
      <c r="D17" s="251">
        <v>0</v>
      </c>
      <c r="E17" s="1330">
        <f t="shared" si="0"/>
        <v>7221633.3956902148</v>
      </c>
      <c r="F17" s="1297">
        <f t="shared" si="0"/>
        <v>39237166.582507305</v>
      </c>
      <c r="G17" s="1297">
        <f t="shared" si="0"/>
        <v>230214246.61946172</v>
      </c>
      <c r="H17" s="1297">
        <f t="shared" si="0"/>
        <v>346762274.04952085</v>
      </c>
      <c r="I17" s="1297">
        <f t="shared" si="0"/>
        <v>35688758.044665009</v>
      </c>
      <c r="J17" s="1297">
        <f t="shared" si="0"/>
        <v>326812129.79309905</v>
      </c>
      <c r="K17" s="1297">
        <f t="shared" si="0"/>
        <v>253342.56023214967</v>
      </c>
      <c r="L17" s="1297">
        <f t="shared" si="0"/>
        <v>1497048.1710368653</v>
      </c>
      <c r="M17" s="1297">
        <f t="shared" si="0"/>
        <v>6568304.6739249416</v>
      </c>
      <c r="N17" s="1297">
        <f t="shared" si="1"/>
        <v>994254903.89013803</v>
      </c>
      <c r="O17" s="257"/>
      <c r="P17" s="257"/>
      <c r="Q17" s="257"/>
      <c r="R17" s="257"/>
    </row>
    <row r="18" spans="1:18" ht="12.75" customHeight="1" x14ac:dyDescent="0.2">
      <c r="A18" s="585">
        <f t="shared" si="2"/>
        <v>7</v>
      </c>
      <c r="B18" s="585"/>
      <c r="C18" s="699" t="s">
        <v>2669</v>
      </c>
      <c r="D18" s="251">
        <v>0</v>
      </c>
      <c r="E18" s="1330">
        <f t="shared" si="0"/>
        <v>7359178.253758125</v>
      </c>
      <c r="F18" s="1297">
        <f t="shared" si="0"/>
        <v>39693884.655372463</v>
      </c>
      <c r="G18" s="1297">
        <f t="shared" si="0"/>
        <v>234558217.49952877</v>
      </c>
      <c r="H18" s="1297">
        <f t="shared" si="0"/>
        <v>348105301.32249033</v>
      </c>
      <c r="I18" s="1297">
        <f t="shared" si="0"/>
        <v>35602333.800146513</v>
      </c>
      <c r="J18" s="1297">
        <f t="shared" si="0"/>
        <v>327411121.40412259</v>
      </c>
      <c r="K18" s="1297">
        <f t="shared" si="0"/>
        <v>255863.11644082749</v>
      </c>
      <c r="L18" s="1297">
        <f t="shared" si="0"/>
        <v>1503322.9932061883</v>
      </c>
      <c r="M18" s="1297">
        <f t="shared" si="0"/>
        <v>6461268.9702707445</v>
      </c>
      <c r="N18" s="1297">
        <f t="shared" si="1"/>
        <v>1000950492.0153364</v>
      </c>
      <c r="O18" s="257"/>
      <c r="P18" s="257"/>
      <c r="Q18" s="257"/>
      <c r="R18" s="257"/>
    </row>
    <row r="19" spans="1:18" ht="12.75" customHeight="1" x14ac:dyDescent="0.2">
      <c r="A19" s="585">
        <f t="shared" si="2"/>
        <v>8</v>
      </c>
      <c r="B19" s="585"/>
      <c r="C19" s="700" t="s">
        <v>2663</v>
      </c>
      <c r="D19" s="251">
        <v>0</v>
      </c>
      <c r="E19" s="1330">
        <f t="shared" si="0"/>
        <v>7496547.2180104842</v>
      </c>
      <c r="F19" s="1297">
        <f t="shared" si="0"/>
        <v>40130574.412531562</v>
      </c>
      <c r="G19" s="1297">
        <f t="shared" si="0"/>
        <v>238344854.61599106</v>
      </c>
      <c r="H19" s="1297">
        <f t="shared" si="0"/>
        <v>349294215.38512927</v>
      </c>
      <c r="I19" s="1297">
        <f t="shared" si="0"/>
        <v>35788404.08752013</v>
      </c>
      <c r="J19" s="1297">
        <f t="shared" si="0"/>
        <v>327921510.29226929</v>
      </c>
      <c r="K19" s="1297">
        <f t="shared" si="0"/>
        <v>270352.08352991747</v>
      </c>
      <c r="L19" s="1297">
        <f t="shared" si="0"/>
        <v>1514748.6728727636</v>
      </c>
      <c r="M19" s="1297">
        <f t="shared" si="0"/>
        <v>6523710.232672873</v>
      </c>
      <c r="N19" s="1297">
        <f t="shared" si="1"/>
        <v>1007284917.0005274</v>
      </c>
      <c r="O19" s="257"/>
      <c r="P19" s="257"/>
      <c r="Q19" s="257"/>
      <c r="R19" s="257"/>
    </row>
    <row r="20" spans="1:18" ht="12.75" customHeight="1" x14ac:dyDescent="0.2">
      <c r="A20" s="585">
        <f t="shared" si="2"/>
        <v>9</v>
      </c>
      <c r="B20" s="585"/>
      <c r="C20" s="699" t="s">
        <v>2664</v>
      </c>
      <c r="D20" s="251">
        <v>0</v>
      </c>
      <c r="E20" s="1330">
        <f t="shared" si="0"/>
        <v>7633920.2463540491</v>
      </c>
      <c r="F20" s="1297">
        <f t="shared" si="0"/>
        <v>40596097.818696558</v>
      </c>
      <c r="G20" s="1297">
        <f t="shared" si="0"/>
        <v>245187422.07799417</v>
      </c>
      <c r="H20" s="1297">
        <f t="shared" si="0"/>
        <v>349585186.76961279</v>
      </c>
      <c r="I20" s="1297">
        <f t="shared" si="0"/>
        <v>36007530.840595886</v>
      </c>
      <c r="J20" s="1297">
        <f t="shared" si="0"/>
        <v>327603186.26906163</v>
      </c>
      <c r="K20" s="1297">
        <f t="shared" si="0"/>
        <v>254431.47839251443</v>
      </c>
      <c r="L20" s="1297">
        <f t="shared" si="0"/>
        <v>1521117.970222113</v>
      </c>
      <c r="M20" s="1297">
        <f t="shared" si="0"/>
        <v>5490820.6327819116</v>
      </c>
      <c r="N20" s="1297">
        <f t="shared" si="1"/>
        <v>1013879714.1037115</v>
      </c>
      <c r="O20" s="257"/>
      <c r="P20" s="257"/>
      <c r="Q20" s="257"/>
      <c r="R20" s="257"/>
    </row>
    <row r="21" spans="1:18" ht="12.75" customHeight="1" x14ac:dyDescent="0.2">
      <c r="A21" s="585">
        <f t="shared" si="2"/>
        <v>10</v>
      </c>
      <c r="B21" s="585"/>
      <c r="C21" s="699" t="s">
        <v>2665</v>
      </c>
      <c r="D21" s="251">
        <v>0</v>
      </c>
      <c r="E21" s="1330">
        <f t="shared" si="0"/>
        <v>7783548.9670071667</v>
      </c>
      <c r="F21" s="1297">
        <f t="shared" si="0"/>
        <v>41039312.779963575</v>
      </c>
      <c r="G21" s="1297">
        <f t="shared" si="0"/>
        <v>248839651.98049137</v>
      </c>
      <c r="H21" s="1297">
        <f t="shared" si="0"/>
        <v>350810281.05433965</v>
      </c>
      <c r="I21" s="1297">
        <f t="shared" si="0"/>
        <v>36584641.949836776</v>
      </c>
      <c r="J21" s="1297">
        <f t="shared" si="0"/>
        <v>327999314.27526307</v>
      </c>
      <c r="K21" s="1297">
        <f t="shared" si="0"/>
        <v>256942.78107083662</v>
      </c>
      <c r="L21" s="1297">
        <f t="shared" si="0"/>
        <v>1526161.9562936621</v>
      </c>
      <c r="M21" s="1297">
        <f t="shared" si="0"/>
        <v>4606563.9084980674</v>
      </c>
      <c r="N21" s="1297">
        <f t="shared" si="1"/>
        <v>1019446419.6527641</v>
      </c>
      <c r="O21" s="257"/>
      <c r="P21" s="257"/>
      <c r="Q21" s="257"/>
      <c r="R21" s="257"/>
    </row>
    <row r="22" spans="1:18" ht="12.75" customHeight="1" x14ac:dyDescent="0.2">
      <c r="A22" s="585">
        <f t="shared" si="2"/>
        <v>11</v>
      </c>
      <c r="B22" s="585"/>
      <c r="C22" s="700" t="s">
        <v>2666</v>
      </c>
      <c r="D22" s="251">
        <v>0</v>
      </c>
      <c r="E22" s="1330">
        <f t="shared" si="0"/>
        <v>7932872.7469295217</v>
      </c>
      <c r="F22" s="1297">
        <f t="shared" si="0"/>
        <v>41491543.949569546</v>
      </c>
      <c r="G22" s="1297">
        <f t="shared" si="0"/>
        <v>306240062.2678687</v>
      </c>
      <c r="H22" s="1297">
        <f t="shared" si="0"/>
        <v>350136624.81783026</v>
      </c>
      <c r="I22" s="1297">
        <f t="shared" si="0"/>
        <v>35948029.032051273</v>
      </c>
      <c r="J22" s="1297">
        <f t="shared" si="0"/>
        <v>325502714.59625214</v>
      </c>
      <c r="K22" s="1297">
        <f t="shared" si="0"/>
        <v>259485.40160874021</v>
      </c>
      <c r="L22" s="1297">
        <f t="shared" si="0"/>
        <v>1532738.3740314862</v>
      </c>
      <c r="M22" s="1297">
        <f t="shared" si="0"/>
        <v>4959573.866620061</v>
      </c>
      <c r="N22" s="1297">
        <f t="shared" si="1"/>
        <v>1074003645.0527618</v>
      </c>
      <c r="O22" s="257"/>
      <c r="P22" s="257"/>
      <c r="Q22" s="257"/>
      <c r="R22" s="257"/>
    </row>
    <row r="23" spans="1:18" ht="12.75" customHeight="1" thickBot="1" x14ac:dyDescent="0.25">
      <c r="A23" s="585">
        <f t="shared" si="2"/>
        <v>12</v>
      </c>
      <c r="B23" s="585"/>
      <c r="C23" s="700" t="s">
        <v>2667</v>
      </c>
      <c r="D23" s="251">
        <v>0</v>
      </c>
      <c r="E23" s="1330">
        <f t="shared" si="0"/>
        <v>8082205.3014159808</v>
      </c>
      <c r="F23" s="1352">
        <f t="shared" si="0"/>
        <v>41853023.625755168</v>
      </c>
      <c r="G23" s="1297">
        <f t="shared" si="0"/>
        <v>269055611.46101761</v>
      </c>
      <c r="H23" s="1297">
        <f t="shared" si="0"/>
        <v>350847500.31257111</v>
      </c>
      <c r="I23" s="1297">
        <f t="shared" si="0"/>
        <v>34463401.908109032</v>
      </c>
      <c r="J23" s="1297">
        <f t="shared" si="0"/>
        <v>325452029.11486584</v>
      </c>
      <c r="K23" s="1297">
        <f t="shared" si="0"/>
        <v>262223.1180745131</v>
      </c>
      <c r="L23" s="1297">
        <f t="shared" si="0"/>
        <v>1555549.0688074653</v>
      </c>
      <c r="M23" s="1297">
        <f t="shared" si="0"/>
        <v>4644070.686619659</v>
      </c>
      <c r="N23" s="1297">
        <f t="shared" si="1"/>
        <v>1036215614.5972365</v>
      </c>
      <c r="O23" s="257"/>
      <c r="P23" s="257"/>
      <c r="Q23" s="257"/>
      <c r="R23" s="257"/>
    </row>
    <row r="24" spans="1:18" ht="13.5" thickBot="1" x14ac:dyDescent="0.25">
      <c r="A24" s="585">
        <f t="shared" si="2"/>
        <v>13</v>
      </c>
      <c r="B24" s="585"/>
      <c r="C24" s="699" t="s">
        <v>2668</v>
      </c>
      <c r="D24" s="123">
        <v>0</v>
      </c>
      <c r="E24" s="1327">
        <v>8231994.0941873183</v>
      </c>
      <c r="F24" s="1328">
        <v>42523725.49049975</v>
      </c>
      <c r="G24" s="1328">
        <v>271683763</v>
      </c>
      <c r="H24" s="1328">
        <v>347983565.91622216</v>
      </c>
      <c r="I24" s="1328">
        <v>34194091.977554627</v>
      </c>
      <c r="J24" s="1328">
        <v>318973818.09779328</v>
      </c>
      <c r="K24" s="1328">
        <v>264938.05872218398</v>
      </c>
      <c r="L24" s="1328">
        <v>1566128.8426273782</v>
      </c>
      <c r="M24" s="1351">
        <v>1034624.4294121965</v>
      </c>
      <c r="N24" s="1299">
        <f t="shared" si="1"/>
        <v>1026456649.907019</v>
      </c>
      <c r="O24" s="257"/>
      <c r="P24" s="257"/>
      <c r="Q24" s="257"/>
      <c r="R24" s="257"/>
    </row>
    <row r="25" spans="1:18" x14ac:dyDescent="0.2">
      <c r="A25" s="585">
        <f t="shared" si="2"/>
        <v>14</v>
      </c>
      <c r="B25" s="247"/>
      <c r="C25" s="589" t="s">
        <v>1330</v>
      </c>
      <c r="D25" s="249">
        <f t="shared" ref="D25" si="3">AVERAGE(D12:D24)</f>
        <v>0</v>
      </c>
      <c r="E25" s="1330">
        <f>AVERAGE(E12:E24)</f>
        <v>7374470.2682538722</v>
      </c>
      <c r="F25" s="1293">
        <f t="shared" ref="F25:M25" si="4">AVERAGE(F12:F24)</f>
        <v>39710865.517762005</v>
      </c>
      <c r="G25" s="1293">
        <f t="shared" si="4"/>
        <v>246851431.03670788</v>
      </c>
      <c r="H25" s="1293">
        <f t="shared" si="4"/>
        <v>350681877.70612752</v>
      </c>
      <c r="I25" s="1293">
        <f t="shared" si="4"/>
        <v>35225749.076574892</v>
      </c>
      <c r="J25" s="1293">
        <f t="shared" si="4"/>
        <v>327915463.37139171</v>
      </c>
      <c r="K25" s="1293">
        <f t="shared" si="4"/>
        <v>254349.22388760574</v>
      </c>
      <c r="L25" s="1293">
        <f t="shared" si="4"/>
        <v>1506849.7237084364</v>
      </c>
      <c r="M25" s="1293">
        <f t="shared" si="4"/>
        <v>6981743.3298492143</v>
      </c>
      <c r="N25" s="1297">
        <f>AVERAGE(N12:N24)</f>
        <v>1016502799.254263</v>
      </c>
      <c r="O25" s="257"/>
      <c r="P25" s="257"/>
      <c r="Q25" s="257"/>
      <c r="R25" s="257"/>
    </row>
    <row r="26" spans="1:18" x14ac:dyDescent="0.2">
      <c r="A26" s="247"/>
      <c r="B26" s="247"/>
      <c r="C26" s="247"/>
      <c r="D26" s="247"/>
      <c r="E26" s="247"/>
      <c r="F26" s="247"/>
      <c r="G26" s="247"/>
      <c r="H26" s="247"/>
      <c r="I26" s="247"/>
      <c r="J26" s="247"/>
      <c r="K26" s="247"/>
      <c r="L26" s="247"/>
      <c r="M26" s="247"/>
      <c r="N26" s="247"/>
      <c r="O26" s="257"/>
      <c r="P26" s="257"/>
      <c r="Q26" s="257"/>
      <c r="R26" s="257"/>
    </row>
    <row r="27" spans="1:18" x14ac:dyDescent="0.2">
      <c r="A27" s="247"/>
      <c r="B27" s="446" t="s">
        <v>1773</v>
      </c>
      <c r="C27" s="247"/>
      <c r="D27" s="247"/>
      <c r="E27" s="247"/>
      <c r="F27" s="247"/>
      <c r="G27" s="247"/>
      <c r="H27" s="247"/>
      <c r="I27" s="247"/>
      <c r="J27" s="247"/>
      <c r="K27" s="247"/>
      <c r="L27" s="247"/>
      <c r="M27" s="247"/>
      <c r="N27" s="247"/>
      <c r="O27" s="257"/>
      <c r="P27" s="257"/>
      <c r="Q27" s="257"/>
      <c r="R27" s="257"/>
    </row>
    <row r="28" spans="1:18" x14ac:dyDescent="0.2">
      <c r="A28" s="247"/>
      <c r="B28" s="446"/>
      <c r="C28" s="247"/>
      <c r="D28" s="247"/>
      <c r="E28" s="247"/>
      <c r="F28" s="247"/>
      <c r="G28" s="247"/>
      <c r="H28" s="247"/>
      <c r="I28" s="247"/>
      <c r="J28" s="247"/>
      <c r="K28" s="247"/>
      <c r="L28" s="247"/>
      <c r="M28" s="247"/>
      <c r="N28" s="247"/>
      <c r="O28" s="257"/>
      <c r="P28" s="257"/>
      <c r="Q28" s="257"/>
      <c r="R28" s="257"/>
    </row>
    <row r="29" spans="1:18" x14ac:dyDescent="0.2">
      <c r="A29" s="247"/>
      <c r="B29" s="247"/>
      <c r="C29" s="90" t="s">
        <v>396</v>
      </c>
      <c r="D29" s="90" t="s">
        <v>380</v>
      </c>
      <c r="E29" s="90" t="s">
        <v>381</v>
      </c>
      <c r="F29" s="90" t="s">
        <v>382</v>
      </c>
      <c r="G29" s="90" t="s">
        <v>383</v>
      </c>
      <c r="H29" s="247"/>
      <c r="I29" s="247"/>
      <c r="J29" s="247"/>
      <c r="K29" s="247"/>
      <c r="L29" s="247"/>
      <c r="M29" s="247"/>
      <c r="N29" s="247"/>
      <c r="O29" s="257"/>
      <c r="P29" s="257"/>
      <c r="Q29" s="257"/>
      <c r="R29" s="257"/>
    </row>
    <row r="30" spans="1:18" x14ac:dyDescent="0.2">
      <c r="A30" s="247"/>
      <c r="B30" s="247"/>
      <c r="C30" s="247"/>
      <c r="D30" s="605" t="s">
        <v>13</v>
      </c>
      <c r="E30" s="247"/>
      <c r="F30" s="247"/>
      <c r="G30" s="523" t="s">
        <v>1921</v>
      </c>
      <c r="H30" s="247"/>
      <c r="I30" s="247"/>
      <c r="J30" s="247"/>
      <c r="K30" s="247"/>
      <c r="L30" s="247"/>
      <c r="M30" s="247"/>
      <c r="N30" s="247"/>
      <c r="O30" s="607"/>
      <c r="P30" s="257"/>
      <c r="Q30" s="257"/>
      <c r="R30" s="257"/>
    </row>
    <row r="31" spans="1:18" x14ac:dyDescent="0.2">
      <c r="A31" s="247"/>
      <c r="B31" s="247"/>
      <c r="C31" s="247"/>
      <c r="D31" s="605" t="s">
        <v>1065</v>
      </c>
      <c r="E31" s="247"/>
      <c r="F31" s="247"/>
      <c r="G31" s="247"/>
      <c r="H31" s="247"/>
      <c r="I31" s="247"/>
      <c r="J31" s="247"/>
      <c r="K31" s="247"/>
      <c r="L31" s="247"/>
      <c r="M31" s="247"/>
      <c r="N31" s="247"/>
      <c r="O31" s="527"/>
      <c r="P31" s="257"/>
      <c r="Q31" s="257"/>
      <c r="R31" s="257"/>
    </row>
    <row r="32" spans="1:18" ht="13.5" thickBot="1" x14ac:dyDescent="0.25">
      <c r="A32" s="247"/>
      <c r="B32" s="247"/>
      <c r="C32" s="131" t="s">
        <v>2084</v>
      </c>
      <c r="D32" s="90">
        <v>360</v>
      </c>
      <c r="E32" s="90">
        <v>361</v>
      </c>
      <c r="F32" s="90">
        <v>362</v>
      </c>
      <c r="G32" s="3" t="s">
        <v>217</v>
      </c>
      <c r="H32" s="1151" t="s">
        <v>189</v>
      </c>
      <c r="I32" s="257"/>
      <c r="J32" s="257"/>
      <c r="K32" s="247"/>
      <c r="L32" s="247"/>
      <c r="M32" s="247"/>
      <c r="N32" s="247"/>
      <c r="O32" s="527"/>
      <c r="P32" s="257"/>
      <c r="Q32" s="257"/>
      <c r="R32" s="257"/>
    </row>
    <row r="33" spans="1:18" x14ac:dyDescent="0.2">
      <c r="A33" s="585">
        <f>A25+1</f>
        <v>15</v>
      </c>
      <c r="C33" s="863" t="s">
        <v>2656</v>
      </c>
      <c r="D33" s="252">
        <v>3790.6752255301626</v>
      </c>
      <c r="E33" s="252">
        <v>236705.89970846157</v>
      </c>
      <c r="F33" s="1381">
        <v>847919.77708627598</v>
      </c>
      <c r="G33" s="1330">
        <f>SUM(D33:F33)</f>
        <v>1088416.3520202676</v>
      </c>
      <c r="H33" s="547" t="s">
        <v>2085</v>
      </c>
      <c r="I33" s="257"/>
      <c r="J33" s="257"/>
      <c r="K33" s="247"/>
      <c r="L33" s="247"/>
      <c r="M33" s="247"/>
      <c r="N33" s="247"/>
      <c r="O33" s="527"/>
      <c r="P33" s="257"/>
      <c r="Q33" s="257"/>
      <c r="R33" s="257"/>
    </row>
    <row r="34" spans="1:18" ht="13.5" thickBot="1" x14ac:dyDescent="0.25">
      <c r="A34" s="585">
        <v>16</v>
      </c>
      <c r="C34" s="863" t="s">
        <v>2668</v>
      </c>
      <c r="D34" s="451">
        <v>4598.1430817474538</v>
      </c>
      <c r="E34" s="451">
        <v>260420.80567207644</v>
      </c>
      <c r="F34" s="1382">
        <v>897200.8731566139</v>
      </c>
      <c r="G34" s="1348">
        <f>SUM(D34:F34)</f>
        <v>1162219.8219104377</v>
      </c>
      <c r="H34" s="547" t="s">
        <v>102</v>
      </c>
      <c r="I34" s="257"/>
      <c r="J34" s="257"/>
      <c r="K34" s="247"/>
      <c r="L34" s="247"/>
      <c r="O34" s="527"/>
      <c r="P34" s="257"/>
      <c r="Q34" s="257"/>
      <c r="R34" s="257"/>
    </row>
    <row r="35" spans="1:18" x14ac:dyDescent="0.2">
      <c r="A35" s="585">
        <f>A34+1</f>
        <v>17</v>
      </c>
      <c r="C35" s="248" t="s">
        <v>1524</v>
      </c>
      <c r="D35" s="249">
        <f>AVERAGE(D33:D34)</f>
        <v>4194.4091536388078</v>
      </c>
      <c r="E35" s="249">
        <f>AVERAGE(E33:E34)</f>
        <v>248563.35269026901</v>
      </c>
      <c r="F35" s="1330">
        <f>AVERAGE(F33:F34)</f>
        <v>872560.32512144488</v>
      </c>
      <c r="G35" s="1330">
        <f>AVERAGE(G33:G34)</f>
        <v>1125318.0869653528</v>
      </c>
      <c r="H35" s="266" t="str">
        <f>"Average of Line "&amp;A33&amp;" and Line "&amp;A34&amp;""</f>
        <v>Average of Line 15 and Line 16</v>
      </c>
      <c r="I35" s="247"/>
      <c r="J35" s="247"/>
      <c r="K35" s="247"/>
      <c r="M35" s="586"/>
      <c r="N35" s="561"/>
      <c r="O35" s="527"/>
      <c r="P35" s="257"/>
      <c r="Q35" s="257"/>
      <c r="R35" s="257"/>
    </row>
    <row r="36" spans="1:18" x14ac:dyDescent="0.2">
      <c r="C36" s="248"/>
      <c r="I36" s="247"/>
      <c r="J36" s="247"/>
      <c r="K36" s="247"/>
      <c r="M36" s="597"/>
      <c r="N36" s="599"/>
      <c r="O36" s="527"/>
      <c r="P36" s="257"/>
      <c r="Q36" s="257"/>
      <c r="R36" s="257"/>
    </row>
    <row r="37" spans="1:18" x14ac:dyDescent="0.2">
      <c r="B37" s="446" t="s">
        <v>1769</v>
      </c>
      <c r="I37" s="247"/>
      <c r="J37" s="247"/>
      <c r="K37" s="247"/>
      <c r="L37" s="247"/>
      <c r="M37" s="586"/>
      <c r="N37" s="599"/>
      <c r="O37" s="527"/>
      <c r="P37" s="257"/>
      <c r="Q37" s="257"/>
      <c r="R37" s="257"/>
    </row>
    <row r="38" spans="1:18" ht="15" x14ac:dyDescent="0.25">
      <c r="B38" s="397"/>
      <c r="C38" s="384" t="s">
        <v>396</v>
      </c>
      <c r="D38" s="384" t="s">
        <v>380</v>
      </c>
      <c r="E38" s="384" t="s">
        <v>381</v>
      </c>
      <c r="F38" s="384" t="s">
        <v>382</v>
      </c>
      <c r="G38" s="384" t="s">
        <v>383</v>
      </c>
      <c r="J38" s="247"/>
      <c r="K38" s="250"/>
      <c r="L38" s="247"/>
      <c r="O38" s="257"/>
      <c r="P38" s="257"/>
      <c r="Q38" s="257"/>
      <c r="R38" s="257"/>
    </row>
    <row r="39" spans="1:18" ht="15" x14ac:dyDescent="0.25">
      <c r="B39" s="397"/>
      <c r="C39" s="384"/>
      <c r="D39" s="384"/>
      <c r="E39" s="631" t="s">
        <v>2127</v>
      </c>
      <c r="F39" s="384"/>
      <c r="G39" s="384"/>
      <c r="J39" s="247"/>
      <c r="K39" s="250"/>
      <c r="L39" s="247"/>
      <c r="O39" s="257"/>
      <c r="P39" s="257"/>
      <c r="Q39" s="257"/>
      <c r="R39" s="257"/>
    </row>
    <row r="40" spans="1:18" x14ac:dyDescent="0.2">
      <c r="C40" s="14"/>
      <c r="D40" s="14"/>
      <c r="E40" s="515" t="s">
        <v>217</v>
      </c>
      <c r="F40" s="14"/>
      <c r="G40" s="14"/>
      <c r="J40" s="247"/>
      <c r="K40" s="250"/>
      <c r="L40" s="247"/>
      <c r="O40" s="257"/>
      <c r="P40" s="257"/>
      <c r="Q40" s="257"/>
      <c r="R40" s="257"/>
    </row>
    <row r="41" spans="1:18" x14ac:dyDescent="0.2">
      <c r="B41" s="247"/>
      <c r="C41" s="14"/>
      <c r="D41" s="257"/>
      <c r="E41" s="515" t="s">
        <v>2126</v>
      </c>
      <c r="F41" s="117" t="s">
        <v>1370</v>
      </c>
      <c r="G41" s="117" t="s">
        <v>1371</v>
      </c>
      <c r="J41" s="247"/>
      <c r="K41" s="250"/>
      <c r="L41" s="247"/>
      <c r="O41" s="257"/>
      <c r="P41" s="257"/>
      <c r="Q41" s="257"/>
      <c r="R41" s="257"/>
    </row>
    <row r="42" spans="1:18" x14ac:dyDescent="0.2">
      <c r="B42" s="247"/>
      <c r="C42" s="14"/>
      <c r="D42" s="257"/>
      <c r="E42" s="515" t="s">
        <v>1525</v>
      </c>
      <c r="F42" s="515" t="s">
        <v>1525</v>
      </c>
      <c r="G42" s="515" t="s">
        <v>1525</v>
      </c>
      <c r="J42" s="247"/>
      <c r="K42" s="250"/>
      <c r="L42" s="247"/>
      <c r="Q42" s="257"/>
      <c r="R42" s="257"/>
    </row>
    <row r="43" spans="1:18" x14ac:dyDescent="0.2">
      <c r="B43" s="247"/>
      <c r="C43" s="131" t="s">
        <v>2084</v>
      </c>
      <c r="D43" s="257"/>
      <c r="E43" s="516" t="s">
        <v>1526</v>
      </c>
      <c r="F43" s="516" t="s">
        <v>1526</v>
      </c>
      <c r="G43" s="516" t="s">
        <v>1526</v>
      </c>
      <c r="H43" s="452" t="s">
        <v>200</v>
      </c>
      <c r="J43" s="247"/>
      <c r="K43" s="394"/>
      <c r="L43" s="247"/>
      <c r="O43" s="257"/>
      <c r="P43" s="257"/>
      <c r="Q43" s="257"/>
      <c r="R43" s="257"/>
    </row>
    <row r="44" spans="1:18" x14ac:dyDescent="0.2">
      <c r="A44" s="585">
        <f>A35+1</f>
        <v>18</v>
      </c>
      <c r="B44" s="247"/>
      <c r="C44" s="699" t="s">
        <v>2656</v>
      </c>
      <c r="D44" s="590" t="s">
        <v>1522</v>
      </c>
      <c r="E44" s="251">
        <f>SUM(F44:G44)</f>
        <v>1338060181</v>
      </c>
      <c r="F44" s="252">
        <v>802468093</v>
      </c>
      <c r="G44" s="704">
        <v>535592088</v>
      </c>
      <c r="H44" s="527" t="s">
        <v>2128</v>
      </c>
      <c r="I44" s="14"/>
      <c r="J44" s="257"/>
      <c r="L44" s="247"/>
      <c r="O44" s="257"/>
      <c r="P44" s="257"/>
      <c r="Q44" s="257"/>
      <c r="R44" s="257"/>
    </row>
    <row r="45" spans="1:18" x14ac:dyDescent="0.2">
      <c r="A45" s="585">
        <f>A44+1</f>
        <v>19</v>
      </c>
      <c r="B45" s="247"/>
      <c r="C45" s="699" t="s">
        <v>2668</v>
      </c>
      <c r="D45" s="248" t="s">
        <v>1523</v>
      </c>
      <c r="E45" s="522">
        <f>SUM(F45:G45)</f>
        <v>1491437244</v>
      </c>
      <c r="F45" s="252">
        <v>790830008</v>
      </c>
      <c r="G45" s="704">
        <v>700607236</v>
      </c>
      <c r="H45" s="527" t="s">
        <v>2129</v>
      </c>
      <c r="I45" s="14"/>
      <c r="J45" s="257"/>
      <c r="K45" s="606"/>
      <c r="L45" s="247"/>
      <c r="O45" s="257"/>
      <c r="P45" s="257"/>
      <c r="Q45" s="257"/>
      <c r="R45" s="257"/>
    </row>
    <row r="46" spans="1:18" x14ac:dyDescent="0.2">
      <c r="A46" s="585">
        <f>A45+1</f>
        <v>20</v>
      </c>
      <c r="B46" s="247"/>
      <c r="D46" s="248" t="s">
        <v>1524</v>
      </c>
      <c r="E46" s="249">
        <f>AVERAGE(E44:E45)</f>
        <v>1414748712.5</v>
      </c>
      <c r="H46" s="266" t="str">
        <f>"Average of Line "&amp;A44&amp;" and Line "&amp;A45&amp;""</f>
        <v>Average of Line 18 and Line 19</v>
      </c>
      <c r="J46" s="247"/>
      <c r="K46" s="606"/>
      <c r="L46" s="247"/>
      <c r="O46" s="257"/>
      <c r="P46" s="257"/>
      <c r="Q46" s="257"/>
      <c r="R46" s="257"/>
    </row>
    <row r="47" spans="1:18" x14ac:dyDescent="0.2">
      <c r="I47" s="247"/>
      <c r="J47" s="247"/>
      <c r="K47" s="247"/>
      <c r="L47" s="247"/>
      <c r="O47" s="257"/>
      <c r="P47" s="257"/>
      <c r="Q47" s="257"/>
      <c r="R47" s="257"/>
    </row>
    <row r="48" spans="1:18" x14ac:dyDescent="0.2">
      <c r="B48" s="1" t="s">
        <v>1527</v>
      </c>
      <c r="C48" s="22"/>
      <c r="D48" s="594"/>
      <c r="E48" s="247"/>
      <c r="F48" s="247"/>
      <c r="G48" s="247"/>
      <c r="H48" s="247"/>
      <c r="I48" s="247"/>
      <c r="J48" s="247"/>
      <c r="K48" s="247"/>
      <c r="L48" s="247"/>
      <c r="M48" s="247"/>
      <c r="N48" s="247"/>
      <c r="O48" s="257"/>
      <c r="P48" s="257"/>
      <c r="Q48" s="257"/>
      <c r="R48" s="257"/>
    </row>
    <row r="49" spans="1:18" x14ac:dyDescent="0.2">
      <c r="B49" s="1"/>
      <c r="C49" s="22"/>
      <c r="D49" s="594"/>
      <c r="E49" s="247"/>
      <c r="F49" s="247"/>
      <c r="G49" s="247"/>
      <c r="H49" s="247"/>
      <c r="I49" s="247"/>
      <c r="J49" s="247"/>
      <c r="K49" s="247"/>
      <c r="L49" s="247"/>
      <c r="M49" s="247"/>
      <c r="N49" s="247"/>
      <c r="O49" s="257"/>
      <c r="P49" s="257"/>
      <c r="Q49" s="257"/>
      <c r="R49" s="257"/>
    </row>
    <row r="50" spans="1:18" x14ac:dyDescent="0.2">
      <c r="B50" s="247"/>
      <c r="C50" s="1"/>
      <c r="D50" s="22"/>
      <c r="E50" s="594"/>
      <c r="F50" s="394" t="s">
        <v>196</v>
      </c>
      <c r="G50" s="452" t="s">
        <v>200</v>
      </c>
      <c r="H50" s="247"/>
      <c r="I50" s="247"/>
      <c r="J50" s="247"/>
      <c r="K50" s="247"/>
      <c r="L50" s="247"/>
      <c r="M50" s="247"/>
      <c r="N50" s="247"/>
      <c r="O50" s="257"/>
      <c r="P50" s="257"/>
      <c r="Q50" s="257"/>
      <c r="R50" s="257"/>
    </row>
    <row r="51" spans="1:18" x14ac:dyDescent="0.2">
      <c r="A51" s="585">
        <f>A46+1</f>
        <v>21</v>
      </c>
      <c r="B51" s="247"/>
      <c r="C51" s="22"/>
      <c r="D51" s="22"/>
      <c r="E51" s="590" t="s">
        <v>1528</v>
      </c>
      <c r="F51" s="591">
        <f>E46</f>
        <v>1414748712.5</v>
      </c>
      <c r="G51" s="266" t="str">
        <f>"Line "&amp;A46&amp;""</f>
        <v>Line 20</v>
      </c>
      <c r="H51" s="247"/>
      <c r="I51" s="247"/>
      <c r="J51" s="247"/>
      <c r="K51" s="247"/>
      <c r="L51" s="247"/>
      <c r="M51" s="247"/>
      <c r="N51" s="247"/>
      <c r="O51" s="257"/>
      <c r="P51" s="257"/>
      <c r="Q51" s="257"/>
      <c r="R51" s="257"/>
    </row>
    <row r="52" spans="1:18" x14ac:dyDescent="0.2">
      <c r="A52" s="585">
        <f>A51+1</f>
        <v>22</v>
      </c>
      <c r="B52" s="247"/>
      <c r="C52" s="22"/>
      <c r="D52" s="22"/>
      <c r="E52" s="602" t="s">
        <v>267</v>
      </c>
      <c r="F52" s="1353">
        <f>'27-Allocators'!G15</f>
        <v>3.7193704666678068E-2</v>
      </c>
      <c r="G52" s="527" t="str">
        <f>"27-Allocators, Line "&amp;'27-Allocators'!A15&amp;""</f>
        <v>27-Allocators, Line 9</v>
      </c>
      <c r="H52" s="247"/>
      <c r="I52" s="247"/>
      <c r="J52" s="247"/>
      <c r="K52" s="247"/>
      <c r="L52" s="247"/>
      <c r="M52" s="247"/>
      <c r="N52" s="247"/>
      <c r="O52" s="257"/>
      <c r="P52" s="257"/>
      <c r="Q52" s="257"/>
      <c r="R52" s="257"/>
    </row>
    <row r="53" spans="1:18" x14ac:dyDescent="0.2">
      <c r="A53" s="585">
        <f>A52+1</f>
        <v>23</v>
      </c>
      <c r="B53" s="247"/>
      <c r="C53" s="22"/>
      <c r="D53" s="22"/>
      <c r="E53" s="602" t="s">
        <v>1529</v>
      </c>
      <c r="F53" s="1295">
        <f>F51*F52</f>
        <v>52619745.790288039</v>
      </c>
      <c r="G53" s="527" t="str">
        <f>"Line "&amp;A51&amp;" * Line "&amp;A52&amp;""</f>
        <v>Line 21 * Line 22</v>
      </c>
      <c r="H53" s="247"/>
      <c r="I53" s="247"/>
      <c r="J53" s="247"/>
      <c r="K53" s="247"/>
      <c r="L53" s="247"/>
      <c r="M53" s="247"/>
      <c r="O53" s="257"/>
      <c r="P53" s="257"/>
      <c r="Q53" s="257"/>
      <c r="R53" s="257"/>
    </row>
    <row r="54" spans="1:18" x14ac:dyDescent="0.2">
      <c r="B54" s="22"/>
      <c r="C54" s="22"/>
      <c r="D54" s="602"/>
      <c r="E54" s="591"/>
      <c r="F54" s="247"/>
      <c r="G54" s="257"/>
      <c r="H54" s="247"/>
      <c r="I54" s="247"/>
      <c r="J54" s="247"/>
      <c r="K54" s="247"/>
      <c r="L54" s="247"/>
      <c r="M54" s="247"/>
      <c r="O54" s="257"/>
      <c r="P54" s="257"/>
      <c r="Q54" s="257"/>
      <c r="R54" s="257"/>
    </row>
    <row r="55" spans="1:18" x14ac:dyDescent="0.2">
      <c r="B55" s="1" t="s">
        <v>2933</v>
      </c>
      <c r="C55" s="22"/>
      <c r="D55" s="594"/>
      <c r="E55" s="247"/>
      <c r="F55" s="247"/>
      <c r="G55" s="257"/>
      <c r="H55" s="247"/>
      <c r="I55" s="247"/>
      <c r="J55" s="247"/>
      <c r="K55" s="247"/>
      <c r="L55" s="247"/>
      <c r="M55" s="247"/>
      <c r="O55" s="257"/>
      <c r="P55" s="257"/>
      <c r="Q55" s="257"/>
      <c r="R55" s="257"/>
    </row>
    <row r="56" spans="1:18" x14ac:dyDescent="0.2">
      <c r="B56" s="247"/>
      <c r="C56" s="247"/>
      <c r="D56" s="247"/>
      <c r="E56" s="247"/>
      <c r="F56" s="247"/>
      <c r="G56" s="257"/>
      <c r="H56" s="247"/>
      <c r="I56" s="247"/>
      <c r="J56" s="247"/>
      <c r="K56" s="247"/>
      <c r="L56" s="247"/>
      <c r="M56" s="247"/>
      <c r="O56" s="608"/>
      <c r="P56" s="79"/>
      <c r="Q56" s="257"/>
      <c r="R56" s="257"/>
    </row>
    <row r="57" spans="1:18" x14ac:dyDescent="0.2">
      <c r="B57" s="247"/>
      <c r="C57" s="247"/>
      <c r="D57" s="247"/>
      <c r="E57" s="247"/>
      <c r="F57" s="394" t="s">
        <v>196</v>
      </c>
      <c r="G57" s="607" t="s">
        <v>200</v>
      </c>
      <c r="H57" s="247"/>
      <c r="I57" s="247"/>
      <c r="J57" s="247"/>
      <c r="K57" s="247"/>
      <c r="L57" s="247"/>
      <c r="M57" s="247"/>
      <c r="O57" s="483"/>
      <c r="P57" s="483"/>
      <c r="Q57" s="257"/>
      <c r="R57" s="257"/>
    </row>
    <row r="58" spans="1:18" x14ac:dyDescent="0.2">
      <c r="A58" s="585">
        <f>A53+1</f>
        <v>24</v>
      </c>
      <c r="B58" s="22"/>
      <c r="C58" s="22"/>
      <c r="E58" s="590" t="s">
        <v>1530</v>
      </c>
      <c r="F58" s="591">
        <f>E45</f>
        <v>1491437244</v>
      </c>
      <c r="G58" s="527" t="str">
        <f>"Line "&amp;A45&amp;""</f>
        <v>Line 19</v>
      </c>
      <c r="H58" s="247"/>
      <c r="I58" s="247"/>
      <c r="J58" s="247"/>
      <c r="K58" s="247"/>
      <c r="L58" s="247"/>
      <c r="M58" s="247"/>
      <c r="O58" s="41"/>
      <c r="P58" s="536"/>
      <c r="Q58" s="257"/>
      <c r="R58" s="257"/>
    </row>
    <row r="59" spans="1:18" x14ac:dyDescent="0.2">
      <c r="A59" s="585">
        <f>A58+1</f>
        <v>25</v>
      </c>
      <c r="B59" s="22"/>
      <c r="C59" s="22"/>
      <c r="E59" s="602" t="s">
        <v>267</v>
      </c>
      <c r="F59" s="606">
        <f>'27-Allocators'!G15</f>
        <v>3.7193704666678068E-2</v>
      </c>
      <c r="G59" s="527" t="str">
        <f>"27-Allocators, Line "&amp;'27-Allocators'!A15&amp;""</f>
        <v>27-Allocators, Line 9</v>
      </c>
      <c r="H59" s="247"/>
      <c r="I59" s="247"/>
      <c r="J59" s="247"/>
      <c r="K59" s="247"/>
      <c r="L59" s="247"/>
      <c r="M59" s="247"/>
      <c r="O59" s="41"/>
      <c r="P59" s="536"/>
      <c r="Q59" s="257"/>
      <c r="R59" s="257"/>
    </row>
    <row r="60" spans="1:18" x14ac:dyDescent="0.2">
      <c r="A60" s="585">
        <f>A59+1</f>
        <v>26</v>
      </c>
      <c r="B60" s="22"/>
      <c r="C60" s="22"/>
      <c r="E60" s="602" t="s">
        <v>1531</v>
      </c>
      <c r="F60" s="591">
        <f>F58*F59</f>
        <v>55472076.382220276</v>
      </c>
      <c r="G60" s="266" t="str">
        <f>"Line "&amp;A58&amp;" * Line "&amp;A59&amp;""</f>
        <v>Line 24 * Line 25</v>
      </c>
      <c r="H60" s="247"/>
      <c r="I60" s="247"/>
      <c r="J60" s="247"/>
      <c r="K60" s="247"/>
      <c r="L60" s="247"/>
      <c r="M60" s="247"/>
      <c r="Q60" s="257"/>
      <c r="R60" s="257"/>
    </row>
    <row r="61" spans="1:18" x14ac:dyDescent="0.2">
      <c r="B61" s="247"/>
      <c r="C61" s="247"/>
      <c r="D61" s="247"/>
      <c r="E61" s="247"/>
      <c r="F61" s="247"/>
      <c r="G61" s="247"/>
      <c r="H61" s="247"/>
      <c r="I61" s="247"/>
      <c r="J61" s="247"/>
      <c r="K61" s="247"/>
      <c r="L61" s="247"/>
      <c r="M61" s="247"/>
      <c r="Q61" s="257"/>
      <c r="R61" s="257"/>
    </row>
    <row r="62" spans="1:18" x14ac:dyDescent="0.2">
      <c r="Q62" s="257"/>
      <c r="R62" s="257"/>
    </row>
    <row r="63" spans="1:18" x14ac:dyDescent="0.2">
      <c r="B63" s="1" t="s">
        <v>1770</v>
      </c>
      <c r="Q63" s="257"/>
      <c r="R63" s="257"/>
    </row>
    <row r="64" spans="1:18" x14ac:dyDescent="0.2">
      <c r="Q64" s="257"/>
      <c r="R64" s="257"/>
    </row>
    <row r="65" spans="1:18" x14ac:dyDescent="0.2">
      <c r="C65" s="1" t="s">
        <v>1764</v>
      </c>
      <c r="D65" s="548"/>
      <c r="E65" s="548"/>
      <c r="F65" s="548"/>
      <c r="G65" s="548"/>
      <c r="H65" s="548"/>
      <c r="I65" s="548"/>
      <c r="J65" s="548"/>
      <c r="K65" s="548"/>
      <c r="L65" s="548"/>
      <c r="M65" s="548"/>
      <c r="Q65" s="257"/>
      <c r="R65" s="257"/>
    </row>
    <row r="66" spans="1:18" x14ac:dyDescent="0.2">
      <c r="A66" s="548"/>
      <c r="D66" s="548"/>
      <c r="E66" s="548"/>
      <c r="F66" s="548"/>
      <c r="G66" s="548"/>
      <c r="H66" s="548"/>
      <c r="I66" s="548"/>
      <c r="J66" s="548"/>
      <c r="K66" s="548"/>
      <c r="L66" s="548"/>
      <c r="M66" s="548"/>
      <c r="Q66" s="257"/>
      <c r="R66" s="257"/>
    </row>
    <row r="67" spans="1:18" x14ac:dyDescent="0.2">
      <c r="A67" s="446"/>
      <c r="C67" s="90" t="s">
        <v>396</v>
      </c>
      <c r="D67" s="90" t="s">
        <v>380</v>
      </c>
      <c r="E67" s="90" t="s">
        <v>381</v>
      </c>
      <c r="F67" s="90" t="s">
        <v>382</v>
      </c>
      <c r="G67" s="90" t="s">
        <v>383</v>
      </c>
      <c r="H67" s="90" t="s">
        <v>384</v>
      </c>
      <c r="I67" s="90" t="s">
        <v>385</v>
      </c>
      <c r="J67" s="90" t="s">
        <v>599</v>
      </c>
      <c r="K67" s="90" t="s">
        <v>1048</v>
      </c>
      <c r="L67" s="90" t="s">
        <v>1064</v>
      </c>
      <c r="M67" s="90" t="s">
        <v>1067</v>
      </c>
      <c r="N67" s="90" t="s">
        <v>1085</v>
      </c>
      <c r="Q67" s="257"/>
      <c r="R67" s="257"/>
    </row>
    <row r="68" spans="1:18" x14ac:dyDescent="0.2">
      <c r="A68" s="247"/>
      <c r="C68" s="268"/>
      <c r="D68" s="247"/>
      <c r="E68" s="247"/>
      <c r="F68" s="247"/>
      <c r="G68" s="247"/>
      <c r="H68" s="247"/>
      <c r="I68" s="247"/>
      <c r="J68" s="247"/>
      <c r="K68" s="247"/>
      <c r="L68" s="247"/>
      <c r="N68" s="268" t="s">
        <v>1387</v>
      </c>
      <c r="O68" s="257"/>
      <c r="P68" s="257"/>
      <c r="Q68" s="257"/>
      <c r="R68" s="257"/>
    </row>
    <row r="69" spans="1:18" x14ac:dyDescent="0.2">
      <c r="A69" s="247"/>
      <c r="C69" s="117"/>
      <c r="D69" s="90"/>
      <c r="E69" s="90"/>
      <c r="F69" s="247"/>
      <c r="G69" s="247"/>
      <c r="H69" s="247"/>
      <c r="I69" s="247"/>
      <c r="J69" s="247"/>
      <c r="K69" s="247"/>
      <c r="L69" s="247"/>
      <c r="M69" s="247"/>
      <c r="O69" s="257"/>
      <c r="P69" s="257"/>
      <c r="Q69" s="257"/>
      <c r="R69" s="257"/>
    </row>
    <row r="70" spans="1:18" x14ac:dyDescent="0.2">
      <c r="A70" s="52"/>
      <c r="C70" s="131" t="s">
        <v>2084</v>
      </c>
      <c r="D70" s="90">
        <v>350.1</v>
      </c>
      <c r="E70" s="90">
        <v>350.2</v>
      </c>
      <c r="F70" s="90">
        <v>352</v>
      </c>
      <c r="G70" s="90">
        <v>353</v>
      </c>
      <c r="H70" s="90">
        <v>354</v>
      </c>
      <c r="I70" s="90">
        <v>355</v>
      </c>
      <c r="J70" s="90">
        <v>356</v>
      </c>
      <c r="K70" s="90">
        <v>357</v>
      </c>
      <c r="L70" s="90">
        <v>358</v>
      </c>
      <c r="M70" s="90">
        <v>359</v>
      </c>
      <c r="N70" s="3" t="s">
        <v>217</v>
      </c>
      <c r="O70" s="257"/>
      <c r="P70" s="257"/>
      <c r="Q70" s="257"/>
      <c r="R70" s="257"/>
    </row>
    <row r="71" spans="1:18" x14ac:dyDescent="0.2">
      <c r="A71" s="585">
        <f>A60+1</f>
        <v>27</v>
      </c>
      <c r="C71" s="1408">
        <v>40909</v>
      </c>
      <c r="D71" s="729">
        <v>0</v>
      </c>
      <c r="E71" s="729">
        <v>167810.65999999829</v>
      </c>
      <c r="F71" s="729">
        <v>814961.84976990521</v>
      </c>
      <c r="G71" s="729">
        <v>2070638.527094841</v>
      </c>
      <c r="H71" s="729">
        <v>1230286.618845284</v>
      </c>
      <c r="I71" s="729">
        <v>741849.98074245453</v>
      </c>
      <c r="J71" s="729">
        <v>1327939.5887204409</v>
      </c>
      <c r="K71" s="729">
        <v>64981.774160100147</v>
      </c>
      <c r="L71" s="729">
        <v>592321.8315205276</v>
      </c>
      <c r="M71" s="729">
        <v>147708.12548731826</v>
      </c>
      <c r="N71" s="249">
        <f t="shared" ref="N71:N82" si="5">SUM(D71:M71)</f>
        <v>7158498.9563408699</v>
      </c>
      <c r="O71" s="257"/>
      <c r="P71" s="257"/>
      <c r="Q71" s="257"/>
      <c r="R71" s="257"/>
    </row>
    <row r="72" spans="1:18" x14ac:dyDescent="0.2">
      <c r="A72" s="585">
        <f t="shared" ref="A72:A83" si="6">A71+1</f>
        <v>28</v>
      </c>
      <c r="C72" s="1408">
        <v>40940</v>
      </c>
      <c r="D72" s="729">
        <v>0</v>
      </c>
      <c r="E72" s="729">
        <v>167882.32000000216</v>
      </c>
      <c r="F72" s="729">
        <v>665401.38529697061</v>
      </c>
      <c r="G72" s="729">
        <v>12691999.206107795</v>
      </c>
      <c r="H72" s="729">
        <v>865178.84559941292</v>
      </c>
      <c r="I72" s="729">
        <v>966224.74806234241</v>
      </c>
      <c r="J72" s="729">
        <v>1591168.5208146572</v>
      </c>
      <c r="K72" s="729">
        <v>65012.282833287492</v>
      </c>
      <c r="L72" s="729">
        <v>604948.63168604672</v>
      </c>
      <c r="M72" s="729">
        <v>147387.60317955539</v>
      </c>
      <c r="N72" s="249">
        <f t="shared" si="5"/>
        <v>17765203.543580066</v>
      </c>
      <c r="P72" s="257"/>
      <c r="Q72" s="257"/>
      <c r="R72" s="257"/>
    </row>
    <row r="73" spans="1:18" x14ac:dyDescent="0.2">
      <c r="A73" s="585">
        <f t="shared" si="6"/>
        <v>29</v>
      </c>
      <c r="C73" s="1408">
        <v>40969</v>
      </c>
      <c r="D73" s="729">
        <v>0</v>
      </c>
      <c r="E73" s="729">
        <v>188321.68999996968</v>
      </c>
      <c r="F73" s="729">
        <v>742306.67783249915</v>
      </c>
      <c r="G73" s="729">
        <v>40889476.979402959</v>
      </c>
      <c r="H73" s="729">
        <v>-20659714.07149756</v>
      </c>
      <c r="I73" s="729">
        <v>-619298.78097620606</v>
      </c>
      <c r="J73" s="729">
        <v>-7847066.250690639</v>
      </c>
      <c r="K73" s="729">
        <v>62086.217878742144</v>
      </c>
      <c r="L73" s="729">
        <v>215925.48910956085</v>
      </c>
      <c r="M73" s="729">
        <v>-5886324.5986132305</v>
      </c>
      <c r="N73" s="249">
        <f t="shared" si="5"/>
        <v>7085713.3524460942</v>
      </c>
      <c r="P73" s="257"/>
      <c r="Q73" s="257"/>
      <c r="R73" s="257"/>
    </row>
    <row r="74" spans="1:18" x14ac:dyDescent="0.2">
      <c r="A74" s="585">
        <f t="shared" si="6"/>
        <v>30</v>
      </c>
      <c r="C74" s="1408">
        <v>41000</v>
      </c>
      <c r="D74" s="729">
        <v>0</v>
      </c>
      <c r="E74" s="729">
        <v>193576.33999999799</v>
      </c>
      <c r="F74" s="729">
        <v>770605.31718765199</v>
      </c>
      <c r="G74" s="729">
        <v>7782971.4348243475</v>
      </c>
      <c r="H74" s="729">
        <v>622736.28549933434</v>
      </c>
      <c r="I74" s="729">
        <v>1442456.8073290884</v>
      </c>
      <c r="J74" s="729">
        <v>337060.20125681162</v>
      </c>
      <c r="K74" s="729">
        <v>62469.71255021356</v>
      </c>
      <c r="L74" s="729">
        <v>300368.4795256108</v>
      </c>
      <c r="M74" s="729">
        <v>-222091.07271349803</v>
      </c>
      <c r="N74" s="249">
        <f t="shared" si="5"/>
        <v>11290153.505459558</v>
      </c>
      <c r="P74" s="257"/>
      <c r="Q74" s="257"/>
      <c r="R74" s="257"/>
    </row>
    <row r="75" spans="1:18" x14ac:dyDescent="0.2">
      <c r="A75" s="585">
        <f t="shared" si="6"/>
        <v>31</v>
      </c>
      <c r="C75" s="1408">
        <v>41030</v>
      </c>
      <c r="D75" s="729">
        <v>0</v>
      </c>
      <c r="E75" s="729">
        <v>193807.31000000052</v>
      </c>
      <c r="F75" s="729">
        <v>678265.29320073128</v>
      </c>
      <c r="G75" s="729">
        <v>2177370.1276788116</v>
      </c>
      <c r="H75" s="729">
        <v>1457532.0409267545</v>
      </c>
      <c r="I75" s="729">
        <v>-477275.40949478745</v>
      </c>
      <c r="J75" s="729">
        <v>-272593.15061080456</v>
      </c>
      <c r="K75" s="729">
        <v>62361.263213606551</v>
      </c>
      <c r="L75" s="729">
        <v>554962.20779311657</v>
      </c>
      <c r="M75" s="729">
        <v>-575504.52124876343</v>
      </c>
      <c r="N75" s="249">
        <f t="shared" si="5"/>
        <v>3798925.1614586655</v>
      </c>
    </row>
    <row r="76" spans="1:18" x14ac:dyDescent="0.2">
      <c r="A76" s="585">
        <f t="shared" si="6"/>
        <v>32</v>
      </c>
      <c r="C76" s="1408">
        <v>41061</v>
      </c>
      <c r="D76" s="729">
        <v>0</v>
      </c>
      <c r="E76" s="729">
        <v>196657.88980639167</v>
      </c>
      <c r="F76" s="729">
        <v>872519.03994314373</v>
      </c>
      <c r="G76" s="729">
        <v>3073919.5601862073</v>
      </c>
      <c r="H76" s="729">
        <v>1371736.8184418082</v>
      </c>
      <c r="I76" s="729">
        <v>-301750.50149533153</v>
      </c>
      <c r="J76" s="729">
        <v>631377.04291784763</v>
      </c>
      <c r="K76" s="729">
        <v>62884.236514585093</v>
      </c>
      <c r="L76" s="729">
        <v>580935.10647274554</v>
      </c>
      <c r="M76" s="729">
        <v>-152152.34523562156</v>
      </c>
      <c r="N76" s="249">
        <f t="shared" si="5"/>
        <v>6336126.8475517761</v>
      </c>
    </row>
    <row r="77" spans="1:18" x14ac:dyDescent="0.2">
      <c r="A77" s="585">
        <f t="shared" si="6"/>
        <v>33</v>
      </c>
      <c r="C77" s="1408">
        <v>41091</v>
      </c>
      <c r="D77" s="729">
        <v>0</v>
      </c>
      <c r="E77" s="729">
        <v>193811.24019360915</v>
      </c>
      <c r="F77" s="729">
        <v>560444.99262668192</v>
      </c>
      <c r="G77" s="729">
        <v>4235489.1311071515</v>
      </c>
      <c r="H77" s="729">
        <v>1162168.4891296029</v>
      </c>
      <c r="I77" s="729">
        <v>87599.161581724882</v>
      </c>
      <c r="J77" s="729">
        <v>547785.67891484499</v>
      </c>
      <c r="K77" s="729">
        <v>468034.39449763112</v>
      </c>
      <c r="L77" s="729">
        <v>64531.935772031546</v>
      </c>
      <c r="M77" s="729">
        <v>45920.06042601075</v>
      </c>
      <c r="N77" s="249">
        <f t="shared" si="5"/>
        <v>7365785.0842492888</v>
      </c>
    </row>
    <row r="78" spans="1:18" x14ac:dyDescent="0.2">
      <c r="A78" s="585">
        <f t="shared" si="6"/>
        <v>34</v>
      </c>
      <c r="C78" s="1408">
        <v>41122</v>
      </c>
      <c r="D78" s="729">
        <v>0</v>
      </c>
      <c r="E78" s="729">
        <v>193590.25999999978</v>
      </c>
      <c r="F78" s="729">
        <v>931859.84772776067</v>
      </c>
      <c r="G78" s="729">
        <v>-1367214.1086580157</v>
      </c>
      <c r="H78" s="729">
        <v>-60059.215459644794</v>
      </c>
      <c r="I78" s="729">
        <v>132802.20678541064</v>
      </c>
      <c r="J78" s="729">
        <v>-233661.25763893127</v>
      </c>
      <c r="K78" s="729">
        <v>-568742.07575823739</v>
      </c>
      <c r="L78" s="729">
        <v>585288.94413737953</v>
      </c>
      <c r="M78" s="729">
        <v>-1234152.7596576558</v>
      </c>
      <c r="N78" s="249">
        <f t="shared" si="5"/>
        <v>-1620288.1585219344</v>
      </c>
    </row>
    <row r="79" spans="1:18" x14ac:dyDescent="0.2">
      <c r="A79" s="585">
        <f t="shared" si="6"/>
        <v>35</v>
      </c>
      <c r="C79" s="1408">
        <v>41153</v>
      </c>
      <c r="D79" s="729">
        <v>0</v>
      </c>
      <c r="E79" s="729">
        <v>198461.53999999911</v>
      </c>
      <c r="F79" s="729">
        <v>629130.4105078429</v>
      </c>
      <c r="G79" s="729">
        <v>5307438.2028053999</v>
      </c>
      <c r="H79" s="729">
        <v>1207190.5898022652</v>
      </c>
      <c r="I79" s="729">
        <v>640432.42635539174</v>
      </c>
      <c r="J79" s="729">
        <v>439527.41402339935</v>
      </c>
      <c r="K79" s="729">
        <v>59816.158177768812</v>
      </c>
      <c r="L79" s="729">
        <v>722525.16389723122</v>
      </c>
      <c r="M79" s="729">
        <v>-1060507.7815606818</v>
      </c>
      <c r="N79" s="249">
        <f t="shared" si="5"/>
        <v>8144014.1240086164</v>
      </c>
    </row>
    <row r="80" spans="1:18" x14ac:dyDescent="0.2">
      <c r="A80" s="585">
        <f t="shared" si="6"/>
        <v>36</v>
      </c>
      <c r="C80" s="1408">
        <v>41183</v>
      </c>
      <c r="D80" s="729">
        <v>0</v>
      </c>
      <c r="E80" s="729">
        <v>198033.74000000022</v>
      </c>
      <c r="F80" s="729">
        <v>740073.636951074</v>
      </c>
      <c r="G80" s="729">
        <v>-96572254.522458076</v>
      </c>
      <c r="H80" s="729">
        <v>-1378146.6411350369</v>
      </c>
      <c r="I80" s="729">
        <v>-1098404.7819722891</v>
      </c>
      <c r="J80" s="729">
        <v>-2291007.5462397337</v>
      </c>
      <c r="K80" s="729">
        <v>60859.288995388895</v>
      </c>
      <c r="L80" s="729">
        <v>562650.04583768547</v>
      </c>
      <c r="M80" s="729">
        <v>385358.26540438831</v>
      </c>
      <c r="N80" s="249">
        <f t="shared" si="5"/>
        <v>-99392838.514616609</v>
      </c>
    </row>
    <row r="81" spans="1:15" x14ac:dyDescent="0.2">
      <c r="A81" s="585">
        <f t="shared" si="6"/>
        <v>37</v>
      </c>
      <c r="C81" s="1408">
        <v>41214</v>
      </c>
      <c r="D81" s="729">
        <v>0</v>
      </c>
      <c r="E81" s="729">
        <v>197760.09999999776</v>
      </c>
      <c r="F81" s="729">
        <v>-546440.73900133371</v>
      </c>
      <c r="G81" s="729">
        <v>82550310.502804875</v>
      </c>
      <c r="H81" s="729">
        <v>505310.26067113876</v>
      </c>
      <c r="I81" s="729">
        <v>-2312288.766646117</v>
      </c>
      <c r="J81" s="729">
        <v>17855.886557579041</v>
      </c>
      <c r="K81" s="729">
        <v>67489.298081386834</v>
      </c>
      <c r="L81" s="729">
        <v>-1119959.3825962096</v>
      </c>
      <c r="M81" s="729">
        <v>-395970.27124787681</v>
      </c>
      <c r="N81" s="249">
        <f t="shared" si="5"/>
        <v>78964066.888623431</v>
      </c>
    </row>
    <row r="82" spans="1:15" x14ac:dyDescent="0.2">
      <c r="A82" s="585">
        <f t="shared" si="6"/>
        <v>38</v>
      </c>
      <c r="C82" s="1408">
        <v>41244</v>
      </c>
      <c r="D82" s="729">
        <v>0</v>
      </c>
      <c r="E82" s="729">
        <v>173077.12000000104</v>
      </c>
      <c r="F82" s="729">
        <v>3652680.3408108205</v>
      </c>
      <c r="G82" s="729">
        <v>7275510.5513978004</v>
      </c>
      <c r="H82" s="729">
        <v>-4360718.7120618224</v>
      </c>
      <c r="I82" s="729">
        <v>-573900.54144844413</v>
      </c>
      <c r="J82" s="729">
        <v>-6049237.2996421456</v>
      </c>
      <c r="K82" s="729">
        <v>66360.730680782348</v>
      </c>
      <c r="L82" s="729">
        <v>175225.12247663736</v>
      </c>
      <c r="M82" s="729">
        <v>-4245377.0414540842</v>
      </c>
      <c r="N82" s="393">
        <f t="shared" si="5"/>
        <v>-3886379.7292404547</v>
      </c>
      <c r="O82" s="257"/>
    </row>
    <row r="83" spans="1:15" x14ac:dyDescent="0.2">
      <c r="A83" s="585">
        <f t="shared" si="6"/>
        <v>39</v>
      </c>
      <c r="C83" s="589" t="s">
        <v>5</v>
      </c>
      <c r="D83" s="249">
        <f>SUM(D71:D82)</f>
        <v>0</v>
      </c>
      <c r="E83" s="249">
        <f t="shared" ref="E83:M83" si="7">SUM(E71:E82)</f>
        <v>2262790.2099999674</v>
      </c>
      <c r="F83" s="249">
        <f t="shared" si="7"/>
        <v>10511808.052853748</v>
      </c>
      <c r="G83" s="249">
        <f t="shared" si="7"/>
        <v>70115655.592294097</v>
      </c>
      <c r="H83" s="249">
        <f t="shared" si="7"/>
        <v>-18036498.691238463</v>
      </c>
      <c r="I83" s="249">
        <f t="shared" si="7"/>
        <v>-1371553.4511767626</v>
      </c>
      <c r="J83" s="249">
        <f t="shared" si="7"/>
        <v>-11800851.171616673</v>
      </c>
      <c r="K83" s="249">
        <f t="shared" si="7"/>
        <v>533613.2818252556</v>
      </c>
      <c r="L83" s="249">
        <f t="shared" si="7"/>
        <v>3839723.5756323636</v>
      </c>
      <c r="M83" s="249">
        <f t="shared" si="7"/>
        <v>-13045706.337234139</v>
      </c>
      <c r="N83" s="249">
        <f>SUM(N71:N82)</f>
        <v>43008981.061339371</v>
      </c>
      <c r="O83" s="257"/>
    </row>
    <row r="85" spans="1:15" x14ac:dyDescent="0.2">
      <c r="C85" s="1" t="s">
        <v>1775</v>
      </c>
      <c r="D85" s="548"/>
      <c r="E85" s="548"/>
      <c r="F85" s="548"/>
      <c r="G85" s="548"/>
      <c r="H85" s="548"/>
      <c r="I85" s="548"/>
      <c r="J85" s="548"/>
      <c r="K85" s="548"/>
      <c r="L85" s="548"/>
    </row>
    <row r="86" spans="1:15" x14ac:dyDescent="0.2">
      <c r="A86" s="548"/>
      <c r="C86" s="548"/>
      <c r="D86" s="548"/>
      <c r="E86" s="548"/>
      <c r="F86" s="548"/>
      <c r="G86" s="548"/>
      <c r="H86" s="548"/>
      <c r="I86" s="548"/>
      <c r="J86" s="548"/>
      <c r="K86" s="548"/>
      <c r="L86" s="548"/>
    </row>
    <row r="87" spans="1:15" x14ac:dyDescent="0.2">
      <c r="A87" s="446"/>
      <c r="C87" s="90" t="s">
        <v>396</v>
      </c>
      <c r="D87" s="90" t="s">
        <v>380</v>
      </c>
      <c r="E87" s="90" t="s">
        <v>381</v>
      </c>
      <c r="F87" s="90" t="s">
        <v>382</v>
      </c>
      <c r="G87" s="90" t="s">
        <v>383</v>
      </c>
      <c r="H87" s="90" t="s">
        <v>384</v>
      </c>
      <c r="I87" s="90" t="s">
        <v>385</v>
      </c>
      <c r="J87" s="90" t="s">
        <v>599</v>
      </c>
      <c r="K87" s="90" t="s">
        <v>1048</v>
      </c>
      <c r="L87" s="90" t="s">
        <v>1064</v>
      </c>
      <c r="M87" s="90" t="s">
        <v>1067</v>
      </c>
      <c r="N87" s="90" t="s">
        <v>1085</v>
      </c>
    </row>
    <row r="88" spans="1:15" x14ac:dyDescent="0.2">
      <c r="A88" s="247"/>
      <c r="C88" s="268"/>
      <c r="D88" s="247"/>
      <c r="E88" s="247"/>
      <c r="F88" s="247"/>
      <c r="G88" s="247"/>
      <c r="H88" s="247"/>
      <c r="I88" s="247"/>
      <c r="J88" s="247"/>
      <c r="K88" s="247"/>
      <c r="L88" s="247"/>
      <c r="N88" s="268" t="s">
        <v>1387</v>
      </c>
    </row>
    <row r="89" spans="1:15" x14ac:dyDescent="0.2">
      <c r="A89" s="247"/>
      <c r="C89" s="117"/>
      <c r="D89" s="90"/>
      <c r="E89" s="90"/>
      <c r="F89" s="247"/>
      <c r="G89" s="247"/>
      <c r="H89" s="247"/>
      <c r="I89" s="247"/>
      <c r="J89" s="247"/>
      <c r="K89" s="247"/>
      <c r="L89" s="247"/>
      <c r="M89" s="247"/>
    </row>
    <row r="90" spans="1:15" x14ac:dyDescent="0.2">
      <c r="A90" s="52"/>
      <c r="C90" s="131" t="s">
        <v>2084</v>
      </c>
      <c r="D90" s="90">
        <v>350.1</v>
      </c>
      <c r="E90" s="90">
        <v>350.2</v>
      </c>
      <c r="F90" s="90">
        <v>352</v>
      </c>
      <c r="G90" s="90">
        <v>353</v>
      </c>
      <c r="H90" s="90">
        <v>354</v>
      </c>
      <c r="I90" s="90">
        <v>355</v>
      </c>
      <c r="J90" s="90">
        <v>356</v>
      </c>
      <c r="K90" s="90">
        <v>357</v>
      </c>
      <c r="L90" s="90">
        <v>358</v>
      </c>
      <c r="M90" s="90">
        <v>359</v>
      </c>
      <c r="N90" s="3" t="s">
        <v>217</v>
      </c>
    </row>
    <row r="91" spans="1:15" x14ac:dyDescent="0.2">
      <c r="A91" s="585">
        <f>A83+1</f>
        <v>40</v>
      </c>
      <c r="C91" s="864" t="s">
        <v>2657</v>
      </c>
      <c r="D91" s="563">
        <f>'17-Depreciation'!C49</f>
        <v>0</v>
      </c>
      <c r="E91" s="1290">
        <f>'17-Depreciation'!D49</f>
        <v>113501.05028802429</v>
      </c>
      <c r="F91" s="1290">
        <f>'17-Depreciation'!E49</f>
        <v>363717.90283112571</v>
      </c>
      <c r="G91" s="1290">
        <f>'17-Depreciation'!F49</f>
        <v>3584297.3302453742</v>
      </c>
      <c r="H91" s="1290">
        <f>'17-Depreciation'!G49</f>
        <v>1119384.1719491847</v>
      </c>
      <c r="I91" s="1290">
        <f>'17-Depreciation'!H49</f>
        <v>403929.54043672682</v>
      </c>
      <c r="J91" s="1290">
        <f>'17-Depreciation'!I49</f>
        <v>1072310.2653006904</v>
      </c>
      <c r="K91" s="563">
        <f>'17-Depreciation'!J49</f>
        <v>768.54670161939168</v>
      </c>
      <c r="L91" s="563">
        <f>'17-Depreciation'!K49</f>
        <v>10992.748367418544</v>
      </c>
      <c r="M91" s="1290">
        <f>'17-Depreciation'!L49</f>
        <v>143458.12919790437</v>
      </c>
      <c r="N91" s="1330">
        <f t="shared" ref="N91:N102" si="8">SUM(D91:M91)</f>
        <v>6812359.6853180677</v>
      </c>
    </row>
    <row r="92" spans="1:15" x14ac:dyDescent="0.2">
      <c r="A92" s="585">
        <f t="shared" ref="A92:A103" si="9">A91+1</f>
        <v>41</v>
      </c>
      <c r="C92" s="863" t="s">
        <v>2658</v>
      </c>
      <c r="D92" s="563">
        <f>'17-Depreciation'!C50</f>
        <v>0</v>
      </c>
      <c r="E92" s="1290">
        <f>'17-Depreciation'!D50</f>
        <v>113539.81487110262</v>
      </c>
      <c r="F92" s="1290">
        <f>'17-Depreciation'!E50</f>
        <v>363813.61585646315</v>
      </c>
      <c r="G92" s="1290">
        <f>'17-Depreciation'!F50</f>
        <v>3591976.4887384749</v>
      </c>
      <c r="H92" s="1290">
        <f>'17-Depreciation'!G50</f>
        <v>1122010.8876155538</v>
      </c>
      <c r="I92" s="1290">
        <f>'17-Depreciation'!H50</f>
        <v>406612.76260256075</v>
      </c>
      <c r="J92" s="1290">
        <f>'17-Depreciation'!I50</f>
        <v>1073732.4899650703</v>
      </c>
      <c r="K92" s="551">
        <f>'17-Depreciation'!J50</f>
        <v>768.66830199098422</v>
      </c>
      <c r="L92" s="551">
        <f>'17-Depreciation'!K50</f>
        <v>11492.439274300668</v>
      </c>
      <c r="M92" s="1296">
        <f>'17-Depreciation'!L50</f>
        <v>143458.00462545178</v>
      </c>
      <c r="N92" s="1297">
        <f t="shared" si="8"/>
        <v>6827405.1718509691</v>
      </c>
    </row>
    <row r="93" spans="1:15" x14ac:dyDescent="0.2">
      <c r="A93" s="585">
        <f t="shared" si="9"/>
        <v>42</v>
      </c>
      <c r="C93" s="863" t="s">
        <v>2659</v>
      </c>
      <c r="D93" s="563">
        <f>'17-Depreciation'!C51</f>
        <v>0</v>
      </c>
      <c r="E93" s="1290">
        <f>'17-Depreciation'!D51</f>
        <v>136491.14197309784</v>
      </c>
      <c r="F93" s="1290">
        <f>'17-Depreciation'!E51</f>
        <v>422849.24655772717</v>
      </c>
      <c r="G93" s="1290">
        <f>'17-Depreciation'!F51</f>
        <v>3854849.5108928271</v>
      </c>
      <c r="H93" s="1290">
        <f>'17-Depreciation'!G51</f>
        <v>1122382.3290032409</v>
      </c>
      <c r="I93" s="1290">
        <f>'17-Depreciation'!H51</f>
        <v>407550.03017384047</v>
      </c>
      <c r="J93" s="1290">
        <f>'17-Depreciation'!I51</f>
        <v>1074275.9397721351</v>
      </c>
      <c r="K93" s="551">
        <f>'17-Depreciation'!J51</f>
        <v>671.77147359759726</v>
      </c>
      <c r="L93" s="551">
        <f>'17-Depreciation'!K51</f>
        <v>11632.177090812906</v>
      </c>
      <c r="M93" s="1296">
        <f>'17-Depreciation'!L51</f>
        <v>143334.07097593028</v>
      </c>
      <c r="N93" s="1297">
        <f t="shared" si="8"/>
        <v>7174036.2179132095</v>
      </c>
    </row>
    <row r="94" spans="1:15" x14ac:dyDescent="0.2">
      <c r="A94" s="585">
        <f t="shared" si="9"/>
        <v>43</v>
      </c>
      <c r="C94" s="864" t="s">
        <v>2660</v>
      </c>
      <c r="D94" s="563">
        <f>'17-Depreciation'!C52</f>
        <v>0</v>
      </c>
      <c r="E94" s="1290">
        <f>'17-Depreciation'!D52</f>
        <v>138562.86161345709</v>
      </c>
      <c r="F94" s="1290">
        <f>'17-Depreciation'!E52</f>
        <v>423296.79702890076</v>
      </c>
      <c r="G94" s="1290">
        <f>'17-Depreciation'!F52</f>
        <v>3867889.0045446041</v>
      </c>
      <c r="H94" s="1290">
        <f>'17-Depreciation'!G52</f>
        <v>1123029.8320543685</v>
      </c>
      <c r="I94" s="1290">
        <f>'17-Depreciation'!H52</f>
        <v>409452.45988963702</v>
      </c>
      <c r="J94" s="1290">
        <f>'17-Depreciation'!I52</f>
        <v>1074882.8586346204</v>
      </c>
      <c r="K94" s="551">
        <f>'17-Depreciation'!J52</f>
        <v>676.05302786911477</v>
      </c>
      <c r="L94" s="551">
        <f>'17-Depreciation'!K52</f>
        <v>11588.478471525712</v>
      </c>
      <c r="M94" s="1296">
        <f>'17-Depreciation'!L52</f>
        <v>142761.78555939451</v>
      </c>
      <c r="N94" s="1297">
        <f t="shared" si="8"/>
        <v>7192140.1308243768</v>
      </c>
    </row>
    <row r="95" spans="1:15" x14ac:dyDescent="0.2">
      <c r="A95" s="585">
        <f t="shared" si="9"/>
        <v>44</v>
      </c>
      <c r="C95" s="863" t="s">
        <v>2661</v>
      </c>
      <c r="D95" s="563">
        <f>'17-Depreciation'!C53</f>
        <v>0</v>
      </c>
      <c r="E95" s="1290">
        <f>'17-Depreciation'!D53</f>
        <v>138521.36121838461</v>
      </c>
      <c r="F95" s="1290">
        <f>'17-Depreciation'!E53</f>
        <v>424536.9638440464</v>
      </c>
      <c r="G95" s="1290">
        <f>'17-Depreciation'!F53</f>
        <v>3892467.4533578344</v>
      </c>
      <c r="H95" s="1290">
        <f>'17-Depreciation'!G53</f>
        <v>1265810.1246808062</v>
      </c>
      <c r="I95" s="1290">
        <f>'17-Depreciation'!H53</f>
        <v>413852.38355742581</v>
      </c>
      <c r="J95" s="1290">
        <f>'17-Depreciation'!I53</f>
        <v>1177798.2247521041</v>
      </c>
      <c r="K95" s="551">
        <f>'17-Depreciation'!J53</f>
        <v>676.00633266708508</v>
      </c>
      <c r="L95" s="551">
        <f>'17-Depreciation'!K53</f>
        <v>11585.284757727328</v>
      </c>
      <c r="M95" s="1296">
        <f>'17-Depreciation'!L53</f>
        <v>160472.13993271897</v>
      </c>
      <c r="N95" s="1297">
        <f t="shared" si="8"/>
        <v>7485719.9424337158</v>
      </c>
    </row>
    <row r="96" spans="1:15" x14ac:dyDescent="0.2">
      <c r="A96" s="585">
        <f t="shared" si="9"/>
        <v>45</v>
      </c>
      <c r="C96" s="863" t="s">
        <v>2669</v>
      </c>
      <c r="D96" s="563">
        <f>'17-Depreciation'!C54</f>
        <v>0</v>
      </c>
      <c r="E96" s="1290">
        <f>'17-Depreciation'!D54</f>
        <v>138610.31217300572</v>
      </c>
      <c r="F96" s="1290">
        <f>'17-Depreciation'!E54</f>
        <v>424679.01637977158</v>
      </c>
      <c r="G96" s="1290">
        <f>'17-Depreciation'!F54</f>
        <v>3905402.8367636525</v>
      </c>
      <c r="H96" s="1290">
        <f>'17-Depreciation'!G54</f>
        <v>1263472.459270122</v>
      </c>
      <c r="I96" s="1290">
        <f>'17-Depreciation'!H54</f>
        <v>413208.66986467596</v>
      </c>
      <c r="J96" s="1290">
        <f>'17-Depreciation'!I54</f>
        <v>1176662.5865022952</v>
      </c>
      <c r="K96" s="551">
        <f>'17-Depreciation'!J54</f>
        <v>696.96973737198562</v>
      </c>
      <c r="L96" s="551">
        <f>'17-Depreciation'!K54</f>
        <v>11749.380978264111</v>
      </c>
      <c r="M96" s="1296">
        <f>'17-Depreciation'!L54</f>
        <v>160498.57260662125</v>
      </c>
      <c r="N96" s="1297">
        <f t="shared" si="8"/>
        <v>7494980.8042757809</v>
      </c>
    </row>
    <row r="97" spans="1:14" x14ac:dyDescent="0.2">
      <c r="A97" s="585">
        <f t="shared" si="9"/>
        <v>46</v>
      </c>
      <c r="C97" s="864" t="s">
        <v>2663</v>
      </c>
      <c r="D97" s="563">
        <f>'17-Depreciation'!C55</f>
        <v>0</v>
      </c>
      <c r="E97" s="1290">
        <f>'17-Depreciation'!D55</f>
        <v>138386.28061786992</v>
      </c>
      <c r="F97" s="1290">
        <f>'17-Depreciation'!E55</f>
        <v>427153.94244618248</v>
      </c>
      <c r="G97" s="1290">
        <f>'17-Depreciation'!F55</f>
        <v>3941632.5459493813</v>
      </c>
      <c r="H97" s="1290">
        <f>'17-Depreciation'!G55</f>
        <v>1263026.6646606608</v>
      </c>
      <c r="I97" s="1290">
        <f>'17-Depreciation'!H55</f>
        <v>414558.05404336943</v>
      </c>
      <c r="J97" s="1290">
        <f>'17-Depreciation'!I55</f>
        <v>1177449.3328950196</v>
      </c>
      <c r="K97" s="551">
        <f>'17-Depreciation'!J55</f>
        <v>787.36206180497766</v>
      </c>
      <c r="L97" s="551">
        <f>'17-Depreciation'!K55</f>
        <v>11931.601739342781</v>
      </c>
      <c r="M97" s="1296">
        <f>'17-Depreciation'!L55</f>
        <v>160409.27727891042</v>
      </c>
      <c r="N97" s="1297">
        <f t="shared" si="8"/>
        <v>7535335.0616925405</v>
      </c>
    </row>
    <row r="98" spans="1:14" x14ac:dyDescent="0.2">
      <c r="A98" s="585">
        <f t="shared" si="9"/>
        <v>47</v>
      </c>
      <c r="C98" s="863" t="s">
        <v>2664</v>
      </c>
      <c r="D98" s="563">
        <f>'17-Depreciation'!C56</f>
        <v>0</v>
      </c>
      <c r="E98" s="1290">
        <f>'17-Depreciation'!D56</f>
        <v>138386.28850776021</v>
      </c>
      <c r="F98" s="1290">
        <f>'17-Depreciation'!E56</f>
        <v>429590.3978860089</v>
      </c>
      <c r="G98" s="1290">
        <f>'17-Depreciation'!F56</f>
        <v>4007604.9821160897</v>
      </c>
      <c r="H98" s="1290">
        <f>'17-Depreciation'!G56</f>
        <v>1263685.2857946639</v>
      </c>
      <c r="I98" s="1290">
        <f>'17-Depreciation'!H56</f>
        <v>419430.16823468235</v>
      </c>
      <c r="J98" s="1290">
        <f>'17-Depreciation'!I56</f>
        <v>1191837.1669346027</v>
      </c>
      <c r="K98" s="551">
        <f>'17-Depreciation'!J56</f>
        <v>780.12864427963359</v>
      </c>
      <c r="L98" s="551">
        <f>'17-Depreciation'!K56</f>
        <v>11884.433402007247</v>
      </c>
      <c r="M98" s="1296">
        <f>'17-Depreciation'!L56</f>
        <v>160567.88938096366</v>
      </c>
      <c r="N98" s="1297">
        <f t="shared" si="8"/>
        <v>7623766.7409010585</v>
      </c>
    </row>
    <row r="99" spans="1:14" x14ac:dyDescent="0.2">
      <c r="A99" s="585">
        <f t="shared" si="9"/>
        <v>48</v>
      </c>
      <c r="C99" s="863" t="s">
        <v>2665</v>
      </c>
      <c r="D99" s="563">
        <f>'17-Depreciation'!C57</f>
        <v>0</v>
      </c>
      <c r="E99" s="1290">
        <f>'17-Depreciation'!D57</f>
        <v>150508.88406728156</v>
      </c>
      <c r="F99" s="1290">
        <f>'17-Depreciation'!E57</f>
        <v>428889.46409082366</v>
      </c>
      <c r="G99" s="1290">
        <f>'17-Depreciation'!F57</f>
        <v>4223798.5109167537</v>
      </c>
      <c r="H99" s="1290">
        <f>'17-Depreciation'!G57</f>
        <v>1274705.836941452</v>
      </c>
      <c r="I99" s="1290">
        <f>'17-Depreciation'!H57</f>
        <v>430183.30463086232</v>
      </c>
      <c r="J99" s="1290">
        <f>'17-Depreciation'!I57</f>
        <v>1170259.3604942358</v>
      </c>
      <c r="K99" s="551">
        <f>'17-Depreciation'!J57</f>
        <v>780.12328867352301</v>
      </c>
      <c r="L99" s="551">
        <f>'17-Depreciation'!K57</f>
        <v>11879.142440631173</v>
      </c>
      <c r="M99" s="1296">
        <f>'17-Depreciation'!L57</f>
        <v>160883.10430164126</v>
      </c>
      <c r="N99" s="1297">
        <f t="shared" si="8"/>
        <v>7851887.7311723549</v>
      </c>
    </row>
    <row r="100" spans="1:14" x14ac:dyDescent="0.2">
      <c r="A100" s="585">
        <f t="shared" si="9"/>
        <v>49</v>
      </c>
      <c r="C100" s="864" t="s">
        <v>2666</v>
      </c>
      <c r="D100" s="563">
        <f>'17-Depreciation'!C58</f>
        <v>0</v>
      </c>
      <c r="E100" s="1290">
        <f>'17-Depreciation'!D58</f>
        <v>150201.72891934335</v>
      </c>
      <c r="F100" s="1290">
        <f>'17-Depreciation'!E58</f>
        <v>430051.80543812481</v>
      </c>
      <c r="G100" s="1290">
        <f>'17-Depreciation'!F58</f>
        <v>4231306.5899020797</v>
      </c>
      <c r="H100" s="1290">
        <f>'17-Depreciation'!G58</f>
        <v>1278502.9485607948</v>
      </c>
      <c r="I100" s="1290">
        <f>'17-Depreciation'!H58</f>
        <v>434907.19398099533</v>
      </c>
      <c r="J100" s="1290">
        <f>'17-Depreciation'!I58</f>
        <v>1170623.5427214333</v>
      </c>
      <c r="K100" s="551">
        <f>'17-Depreciation'!J58</f>
        <v>780.8742840011281</v>
      </c>
      <c r="L100" s="551">
        <f>'17-Depreciation'!K58</f>
        <v>11873.908903102738</v>
      </c>
      <c r="M100" s="1296">
        <f>'17-Depreciation'!L58</f>
        <v>161189.80764738022</v>
      </c>
      <c r="N100" s="1297">
        <f t="shared" si="8"/>
        <v>7869438.4003572557</v>
      </c>
    </row>
    <row r="101" spans="1:14" x14ac:dyDescent="0.2">
      <c r="A101" s="585">
        <f t="shared" si="9"/>
        <v>50</v>
      </c>
      <c r="C101" s="864" t="s">
        <v>2667</v>
      </c>
      <c r="D101" s="563">
        <f>'17-Depreciation'!C59</f>
        <v>0</v>
      </c>
      <c r="E101" s="1290">
        <f>'17-Depreciation'!D59</f>
        <v>150205.41323942135</v>
      </c>
      <c r="F101" s="1290">
        <f>'17-Depreciation'!E59</f>
        <v>431438.4203194622</v>
      </c>
      <c r="G101" s="1290">
        <f>'17-Depreciation'!F59</f>
        <v>4161783.9168782011</v>
      </c>
      <c r="H101" s="1290">
        <f>'17-Depreciation'!G59</f>
        <v>1280501.5069411695</v>
      </c>
      <c r="I101" s="1290">
        <f>'17-Depreciation'!H59</f>
        <v>435840.00567394332</v>
      </c>
      <c r="J101" s="1290">
        <f>'17-Depreciation'!I59</f>
        <v>1171912.3524168793</v>
      </c>
      <c r="K101" s="551">
        <f>'17-Depreciation'!J59</f>
        <v>781.57151848850583</v>
      </c>
      <c r="L101" s="551">
        <f>'17-Depreciation'!K59</f>
        <v>11923.981069539988</v>
      </c>
      <c r="M101" s="1296">
        <f>'17-Depreciation'!L59</f>
        <v>161653.45810738023</v>
      </c>
      <c r="N101" s="1297">
        <f t="shared" si="8"/>
        <v>7806040.6261644848</v>
      </c>
    </row>
    <row r="102" spans="1:14" x14ac:dyDescent="0.2">
      <c r="A102" s="585">
        <f t="shared" si="9"/>
        <v>51</v>
      </c>
      <c r="C102" s="863" t="s">
        <v>2668</v>
      </c>
      <c r="D102" s="118">
        <f>'17-Depreciation'!C60</f>
        <v>0</v>
      </c>
      <c r="E102" s="1349">
        <f>'17-Depreciation'!D60</f>
        <v>150208.54190476731</v>
      </c>
      <c r="F102" s="1349">
        <f>'17-Depreciation'!E60</f>
        <v>440929.00609949132</v>
      </c>
      <c r="G102" s="1349">
        <f>'17-Depreciation'!F60</f>
        <v>4232955.310844685</v>
      </c>
      <c r="H102" s="1349">
        <f>'17-Depreciation'!G60</f>
        <v>1283689.5184732114</v>
      </c>
      <c r="I102" s="1349">
        <f>'17-Depreciation'!H60</f>
        <v>437447.7902706748</v>
      </c>
      <c r="J102" s="1349">
        <f>'17-Depreciation'!I60</f>
        <v>1173552.4860784807</v>
      </c>
      <c r="K102" s="1053">
        <f>'17-Depreciation'!J60</f>
        <v>792.20165840151424</v>
      </c>
      <c r="L102" s="1053">
        <f>'17-Depreciation'!K60</f>
        <v>12148.284239825349</v>
      </c>
      <c r="M102" s="1298">
        <f>'17-Depreciation'!L60</f>
        <v>161518.87122181701</v>
      </c>
      <c r="N102" s="1299">
        <f t="shared" si="8"/>
        <v>7893242.0107913557</v>
      </c>
    </row>
    <row r="103" spans="1:14" x14ac:dyDescent="0.2">
      <c r="A103" s="585">
        <f t="shared" si="9"/>
        <v>52</v>
      </c>
      <c r="C103" s="589" t="s">
        <v>5</v>
      </c>
      <c r="D103" s="249">
        <f>SUM(D91:D102)</f>
        <v>0</v>
      </c>
      <c r="E103" s="1330">
        <f t="shared" ref="E103:M103" si="10">SUM(E91:E102)</f>
        <v>1657123.6793935159</v>
      </c>
      <c r="F103" s="1330">
        <f t="shared" si="10"/>
        <v>5010946.5787781281</v>
      </c>
      <c r="G103" s="1330">
        <f t="shared" si="10"/>
        <v>47495964.481149957</v>
      </c>
      <c r="H103" s="1330">
        <f t="shared" si="10"/>
        <v>14660201.565945229</v>
      </c>
      <c r="I103" s="1290">
        <f t="shared" si="10"/>
        <v>5026972.3633593945</v>
      </c>
      <c r="J103" s="1290">
        <f t="shared" si="10"/>
        <v>13705296.606467566</v>
      </c>
      <c r="K103" s="1274">
        <f t="shared" si="10"/>
        <v>8960.2770307654428</v>
      </c>
      <c r="L103" s="1274">
        <f t="shared" si="10"/>
        <v>140681.86073449854</v>
      </c>
      <c r="M103" s="1297">
        <f t="shared" si="10"/>
        <v>1860205.110836114</v>
      </c>
      <c r="N103" s="1297">
        <f>SUM(N91:N102)</f>
        <v>89566352.523695171</v>
      </c>
    </row>
    <row r="105" spans="1:14" x14ac:dyDescent="0.2">
      <c r="C105" s="1" t="s">
        <v>1776</v>
      </c>
      <c r="D105" s="548"/>
      <c r="E105" s="548"/>
      <c r="F105" s="548"/>
      <c r="G105" s="548"/>
      <c r="H105" s="548"/>
      <c r="I105" s="548"/>
      <c r="J105" s="548"/>
      <c r="K105" s="548"/>
      <c r="L105" s="548"/>
    </row>
    <row r="106" spans="1:14" x14ac:dyDescent="0.2">
      <c r="C106" s="548"/>
      <c r="D106" s="548"/>
      <c r="E106" s="548"/>
      <c r="F106" s="548"/>
      <c r="G106" s="548"/>
      <c r="H106" s="548"/>
      <c r="I106" s="548"/>
      <c r="J106" s="548"/>
      <c r="K106" s="548"/>
      <c r="L106" s="548"/>
    </row>
    <row r="107" spans="1:14" x14ac:dyDescent="0.2">
      <c r="C107" s="90" t="s">
        <v>396</v>
      </c>
      <c r="D107" s="90" t="s">
        <v>380</v>
      </c>
      <c r="E107" s="90" t="s">
        <v>381</v>
      </c>
      <c r="F107" s="90" t="s">
        <v>382</v>
      </c>
      <c r="G107" s="90" t="s">
        <v>383</v>
      </c>
      <c r="H107" s="90" t="s">
        <v>384</v>
      </c>
      <c r="I107" s="90" t="s">
        <v>385</v>
      </c>
      <c r="J107" s="90" t="s">
        <v>599</v>
      </c>
      <c r="K107" s="90" t="s">
        <v>1048</v>
      </c>
      <c r="L107" s="90" t="s">
        <v>1064</v>
      </c>
      <c r="M107" s="90" t="s">
        <v>1067</v>
      </c>
      <c r="N107" s="90" t="s">
        <v>1085</v>
      </c>
    </row>
    <row r="108" spans="1:14" x14ac:dyDescent="0.2">
      <c r="C108" s="268"/>
      <c r="D108" s="247"/>
      <c r="E108" s="247"/>
      <c r="F108" s="247"/>
      <c r="G108" s="247"/>
      <c r="H108" s="247"/>
      <c r="I108" s="247"/>
      <c r="J108" s="247"/>
      <c r="K108" s="247"/>
      <c r="L108" s="247"/>
      <c r="N108" s="268" t="s">
        <v>1387</v>
      </c>
    </row>
    <row r="109" spans="1:14" x14ac:dyDescent="0.2">
      <c r="C109" s="117"/>
      <c r="D109" s="90"/>
      <c r="E109" s="90"/>
      <c r="F109" s="247"/>
      <c r="G109" s="247"/>
      <c r="H109" s="247"/>
      <c r="I109" s="247"/>
      <c r="J109" s="247"/>
      <c r="K109" s="247"/>
      <c r="L109" s="247"/>
      <c r="M109" s="247"/>
    </row>
    <row r="110" spans="1:14" x14ac:dyDescent="0.2">
      <c r="C110" s="131" t="s">
        <v>2084</v>
      </c>
      <c r="D110" s="90">
        <v>350.1</v>
      </c>
      <c r="E110" s="90">
        <v>350.2</v>
      </c>
      <c r="F110" s="90">
        <v>352</v>
      </c>
      <c r="G110" s="90">
        <v>353</v>
      </c>
      <c r="H110" s="90">
        <v>354</v>
      </c>
      <c r="I110" s="90">
        <v>355</v>
      </c>
      <c r="J110" s="90">
        <v>356</v>
      </c>
      <c r="K110" s="90">
        <v>357</v>
      </c>
      <c r="L110" s="90">
        <v>358</v>
      </c>
      <c r="M110" s="90">
        <v>359</v>
      </c>
      <c r="N110" s="3" t="s">
        <v>217</v>
      </c>
    </row>
    <row r="111" spans="1:14" x14ac:dyDescent="0.2">
      <c r="A111" s="585">
        <f>A103+1</f>
        <v>53</v>
      </c>
      <c r="C111" s="864" t="s">
        <v>2657</v>
      </c>
      <c r="D111" s="563">
        <f t="shared" ref="D111:M111" si="11">D71-D91</f>
        <v>0</v>
      </c>
      <c r="E111" s="1290">
        <f t="shared" si="11"/>
        <v>54309.609711974001</v>
      </c>
      <c r="F111" s="1290">
        <f t="shared" si="11"/>
        <v>451243.9469387795</v>
      </c>
      <c r="G111" s="1290">
        <f t="shared" si="11"/>
        <v>-1513658.8031505332</v>
      </c>
      <c r="H111" s="1290">
        <f t="shared" si="11"/>
        <v>110902.44689609925</v>
      </c>
      <c r="I111" s="1290">
        <f t="shared" si="11"/>
        <v>337920.44030572771</v>
      </c>
      <c r="J111" s="1290">
        <f t="shared" si="11"/>
        <v>255629.32341975044</v>
      </c>
      <c r="K111" s="563">
        <f t="shared" si="11"/>
        <v>64213.227458480753</v>
      </c>
      <c r="L111" s="563">
        <f t="shared" si="11"/>
        <v>581329.08315310907</v>
      </c>
      <c r="M111" s="1290">
        <f t="shared" si="11"/>
        <v>4249.996289413888</v>
      </c>
      <c r="N111" s="1330">
        <f t="shared" ref="N111:N122" si="12">SUM(D111:M111)</f>
        <v>346139.27102280129</v>
      </c>
    </row>
    <row r="112" spans="1:14" x14ac:dyDescent="0.2">
      <c r="A112" s="585">
        <f t="shared" ref="A112:A123" si="13">A111+1</f>
        <v>54</v>
      </c>
      <c r="C112" s="863" t="s">
        <v>2658</v>
      </c>
      <c r="D112" s="563">
        <f t="shared" ref="D112:M112" si="14">D72-D92</f>
        <v>0</v>
      </c>
      <c r="E112" s="1290">
        <f t="shared" si="14"/>
        <v>54342.505128899546</v>
      </c>
      <c r="F112" s="1296">
        <f t="shared" si="14"/>
        <v>301587.76944050746</v>
      </c>
      <c r="G112" s="1296">
        <f t="shared" si="14"/>
        <v>9100022.7173693199</v>
      </c>
      <c r="H112" s="1296">
        <f t="shared" si="14"/>
        <v>-256832.04201614088</v>
      </c>
      <c r="I112" s="1296">
        <f t="shared" si="14"/>
        <v>559611.98545978172</v>
      </c>
      <c r="J112" s="1296">
        <f t="shared" si="14"/>
        <v>517436.03084958694</v>
      </c>
      <c r="K112" s="551">
        <f t="shared" si="14"/>
        <v>64243.614531296509</v>
      </c>
      <c r="L112" s="551">
        <f t="shared" si="14"/>
        <v>593456.19241174601</v>
      </c>
      <c r="M112" s="1296">
        <f t="shared" si="14"/>
        <v>3929.5985541036061</v>
      </c>
      <c r="N112" s="1297">
        <f t="shared" si="12"/>
        <v>10937798.371729102</v>
      </c>
    </row>
    <row r="113" spans="1:14" x14ac:dyDescent="0.2">
      <c r="A113" s="585">
        <f t="shared" si="13"/>
        <v>55</v>
      </c>
      <c r="C113" s="863" t="s">
        <v>2659</v>
      </c>
      <c r="D113" s="563">
        <f t="shared" ref="D113:M113" si="15">D73-D93</f>
        <v>0</v>
      </c>
      <c r="E113" s="1290">
        <f t="shared" si="15"/>
        <v>51830.548026871838</v>
      </c>
      <c r="F113" s="1296">
        <f t="shared" si="15"/>
        <v>319457.43127477198</v>
      </c>
      <c r="G113" s="1296">
        <f t="shared" si="15"/>
        <v>37034627.468510136</v>
      </c>
      <c r="H113" s="1296">
        <f t="shared" si="15"/>
        <v>-21782096.4005008</v>
      </c>
      <c r="I113" s="1296">
        <f t="shared" si="15"/>
        <v>-1026848.8111500465</v>
      </c>
      <c r="J113" s="1296">
        <f t="shared" si="15"/>
        <v>-8921342.1904627737</v>
      </c>
      <c r="K113" s="551">
        <f t="shared" si="15"/>
        <v>61414.446405144547</v>
      </c>
      <c r="L113" s="551">
        <f t="shared" si="15"/>
        <v>204293.31201874794</v>
      </c>
      <c r="M113" s="1296">
        <f t="shared" si="15"/>
        <v>-6029658.6695891609</v>
      </c>
      <c r="N113" s="1297">
        <f t="shared" si="12"/>
        <v>-88322.865467105992</v>
      </c>
    </row>
    <row r="114" spans="1:14" x14ac:dyDescent="0.2">
      <c r="A114" s="585">
        <f t="shared" si="13"/>
        <v>56</v>
      </c>
      <c r="C114" s="864" t="s">
        <v>2660</v>
      </c>
      <c r="D114" s="563">
        <f t="shared" ref="D114:M114" si="16">D74-D94</f>
        <v>0</v>
      </c>
      <c r="E114" s="1290">
        <f t="shared" si="16"/>
        <v>55013.478386540897</v>
      </c>
      <c r="F114" s="1296">
        <f t="shared" si="16"/>
        <v>347308.52015875123</v>
      </c>
      <c r="G114" s="1296">
        <f t="shared" si="16"/>
        <v>3915082.4302797434</v>
      </c>
      <c r="H114" s="1296">
        <f t="shared" si="16"/>
        <v>-500293.54655503412</v>
      </c>
      <c r="I114" s="1296">
        <f t="shared" si="16"/>
        <v>1033004.3474394514</v>
      </c>
      <c r="J114" s="1296">
        <f t="shared" si="16"/>
        <v>-737822.65737780882</v>
      </c>
      <c r="K114" s="551">
        <f t="shared" si="16"/>
        <v>61793.659522344446</v>
      </c>
      <c r="L114" s="551">
        <f t="shared" si="16"/>
        <v>288780.00105408509</v>
      </c>
      <c r="M114" s="1296">
        <f t="shared" si="16"/>
        <v>-364852.85827289254</v>
      </c>
      <c r="N114" s="1297">
        <f t="shared" si="12"/>
        <v>4098013.3746351814</v>
      </c>
    </row>
    <row r="115" spans="1:14" x14ac:dyDescent="0.2">
      <c r="A115" s="585">
        <f t="shared" si="13"/>
        <v>57</v>
      </c>
      <c r="C115" s="863" t="s">
        <v>2661</v>
      </c>
      <c r="D115" s="563">
        <f t="shared" ref="D115:M115" si="17">D75-D95</f>
        <v>0</v>
      </c>
      <c r="E115" s="1290">
        <f t="shared" si="17"/>
        <v>55285.948781615909</v>
      </c>
      <c r="F115" s="1296">
        <f t="shared" si="17"/>
        <v>253728.32935668487</v>
      </c>
      <c r="G115" s="1296">
        <f t="shared" si="17"/>
        <v>-1715097.3256790228</v>
      </c>
      <c r="H115" s="1296">
        <f t="shared" si="17"/>
        <v>191721.91624594829</v>
      </c>
      <c r="I115" s="1296">
        <f t="shared" si="17"/>
        <v>-891127.79305221327</v>
      </c>
      <c r="J115" s="1296">
        <f t="shared" si="17"/>
        <v>-1450391.3753629087</v>
      </c>
      <c r="K115" s="551">
        <f t="shared" si="17"/>
        <v>61685.256880939465</v>
      </c>
      <c r="L115" s="551">
        <f t="shared" si="17"/>
        <v>543376.92303538928</v>
      </c>
      <c r="M115" s="1296">
        <f t="shared" si="17"/>
        <v>-735976.66118148237</v>
      </c>
      <c r="N115" s="1297">
        <f t="shared" si="12"/>
        <v>-3686794.7809750494</v>
      </c>
    </row>
    <row r="116" spans="1:14" x14ac:dyDescent="0.2">
      <c r="A116" s="585">
        <f t="shared" si="13"/>
        <v>58</v>
      </c>
      <c r="C116" s="863" t="s">
        <v>2669</v>
      </c>
      <c r="D116" s="563">
        <f t="shared" ref="D116:M116" si="18">D76-D96</f>
        <v>0</v>
      </c>
      <c r="E116" s="1290">
        <f t="shared" si="18"/>
        <v>58047.577633385954</v>
      </c>
      <c r="F116" s="1296">
        <f t="shared" si="18"/>
        <v>447840.02356337215</v>
      </c>
      <c r="G116" s="1296">
        <f t="shared" si="18"/>
        <v>-831483.27657744521</v>
      </c>
      <c r="H116" s="1296">
        <f t="shared" si="18"/>
        <v>108264.35917168623</v>
      </c>
      <c r="I116" s="1296">
        <f t="shared" si="18"/>
        <v>-714959.17136000749</v>
      </c>
      <c r="J116" s="1296">
        <f t="shared" si="18"/>
        <v>-545285.54358444759</v>
      </c>
      <c r="K116" s="551">
        <f t="shared" si="18"/>
        <v>62187.26677721311</v>
      </c>
      <c r="L116" s="551">
        <f t="shared" si="18"/>
        <v>569185.72549448139</v>
      </c>
      <c r="M116" s="1296">
        <f t="shared" si="18"/>
        <v>-312650.91784224281</v>
      </c>
      <c r="N116" s="1297">
        <f t="shared" si="12"/>
        <v>-1158853.9567240041</v>
      </c>
    </row>
    <row r="117" spans="1:14" x14ac:dyDescent="0.2">
      <c r="A117" s="585">
        <f t="shared" si="13"/>
        <v>59</v>
      </c>
      <c r="C117" s="864" t="s">
        <v>2663</v>
      </c>
      <c r="D117" s="563">
        <f t="shared" ref="D117:M117" si="19">D77-D97</f>
        <v>0</v>
      </c>
      <c r="E117" s="1290">
        <f t="shared" si="19"/>
        <v>55424.959575739224</v>
      </c>
      <c r="F117" s="1296">
        <f t="shared" si="19"/>
        <v>133291.05018049944</v>
      </c>
      <c r="G117" s="1296">
        <f t="shared" si="19"/>
        <v>293856.5851577702</v>
      </c>
      <c r="H117" s="1296">
        <f t="shared" si="19"/>
        <v>-100858.17553105787</v>
      </c>
      <c r="I117" s="1296">
        <f t="shared" si="19"/>
        <v>-326958.89246164454</v>
      </c>
      <c r="J117" s="1296">
        <f t="shared" si="19"/>
        <v>-629663.65398017457</v>
      </c>
      <c r="K117" s="551">
        <f t="shared" si="19"/>
        <v>467247.03243582614</v>
      </c>
      <c r="L117" s="551">
        <f t="shared" si="19"/>
        <v>52600.334032688763</v>
      </c>
      <c r="M117" s="1296">
        <f t="shared" si="19"/>
        <v>-114489.21685289967</v>
      </c>
      <c r="N117" s="1297">
        <f t="shared" si="12"/>
        <v>-169549.97744325284</v>
      </c>
    </row>
    <row r="118" spans="1:14" x14ac:dyDescent="0.2">
      <c r="A118" s="585">
        <f t="shared" si="13"/>
        <v>60</v>
      </c>
      <c r="C118" s="863" t="s">
        <v>2664</v>
      </c>
      <c r="D118" s="563">
        <f t="shared" ref="D118:M118" si="20">D78-D98</f>
        <v>0</v>
      </c>
      <c r="E118" s="1290">
        <f t="shared" si="20"/>
        <v>55203.971492239565</v>
      </c>
      <c r="F118" s="1296">
        <f t="shared" si="20"/>
        <v>502269.44984175178</v>
      </c>
      <c r="G118" s="1296">
        <f t="shared" si="20"/>
        <v>-5374819.0907741059</v>
      </c>
      <c r="H118" s="1296">
        <f t="shared" si="20"/>
        <v>-1323744.5012543087</v>
      </c>
      <c r="I118" s="1296">
        <f t="shared" si="20"/>
        <v>-286627.96144927171</v>
      </c>
      <c r="J118" s="1296">
        <f t="shared" si="20"/>
        <v>-1425498.4245735339</v>
      </c>
      <c r="K118" s="551">
        <f t="shared" si="20"/>
        <v>-569522.20440251706</v>
      </c>
      <c r="L118" s="551">
        <f t="shared" si="20"/>
        <v>573404.51073537231</v>
      </c>
      <c r="M118" s="1296">
        <f t="shared" si="20"/>
        <v>-1394720.6490386196</v>
      </c>
      <c r="N118" s="1297">
        <f t="shared" si="12"/>
        <v>-9244054.8994229957</v>
      </c>
    </row>
    <row r="119" spans="1:14" x14ac:dyDescent="0.2">
      <c r="A119" s="585">
        <f t="shared" si="13"/>
        <v>61</v>
      </c>
      <c r="C119" s="863" t="s">
        <v>2665</v>
      </c>
      <c r="D119" s="563">
        <f t="shared" ref="D119:M119" si="21">D79-D99</f>
        <v>0</v>
      </c>
      <c r="E119" s="1290">
        <f t="shared" si="21"/>
        <v>47952.655932717549</v>
      </c>
      <c r="F119" s="1296">
        <f t="shared" si="21"/>
        <v>200240.94641701924</v>
      </c>
      <c r="G119" s="1296">
        <f t="shared" si="21"/>
        <v>1083639.6918886462</v>
      </c>
      <c r="H119" s="1296">
        <f t="shared" si="21"/>
        <v>-67515.247139186831</v>
      </c>
      <c r="I119" s="1296">
        <f t="shared" si="21"/>
        <v>210249.12172452942</v>
      </c>
      <c r="J119" s="1296">
        <f t="shared" si="21"/>
        <v>-730731.94647083641</v>
      </c>
      <c r="K119" s="551">
        <f t="shared" si="21"/>
        <v>59036.034889095288</v>
      </c>
      <c r="L119" s="551">
        <f t="shared" si="21"/>
        <v>710646.02145660005</v>
      </c>
      <c r="M119" s="1296">
        <f t="shared" si="21"/>
        <v>-1221390.885862323</v>
      </c>
      <c r="N119" s="1297">
        <f t="shared" si="12"/>
        <v>292126.39283626154</v>
      </c>
    </row>
    <row r="120" spans="1:14" x14ac:dyDescent="0.2">
      <c r="A120" s="585">
        <f t="shared" si="13"/>
        <v>62</v>
      </c>
      <c r="C120" s="864" t="s">
        <v>2666</v>
      </c>
      <c r="D120" s="563">
        <f t="shared" ref="D120:M120" si="22">D80-D100</f>
        <v>0</v>
      </c>
      <c r="E120" s="1290">
        <f t="shared" si="22"/>
        <v>47832.01108065687</v>
      </c>
      <c r="F120" s="1296">
        <f t="shared" si="22"/>
        <v>310021.8315129492</v>
      </c>
      <c r="G120" s="1296">
        <f t="shared" si="22"/>
        <v>-100803561.11236015</v>
      </c>
      <c r="H120" s="1296">
        <f t="shared" si="22"/>
        <v>-2656649.5896958318</v>
      </c>
      <c r="I120" s="1296">
        <f t="shared" si="22"/>
        <v>-1533311.9759532844</v>
      </c>
      <c r="J120" s="1296">
        <f t="shared" si="22"/>
        <v>-3461631.0889611673</v>
      </c>
      <c r="K120" s="551">
        <f t="shared" si="22"/>
        <v>60078.41471138777</v>
      </c>
      <c r="L120" s="551">
        <f t="shared" si="22"/>
        <v>550776.13693458273</v>
      </c>
      <c r="M120" s="1296">
        <f t="shared" si="22"/>
        <v>224168.45775700809</v>
      </c>
      <c r="N120" s="1297">
        <f t="shared" si="12"/>
        <v>-107262276.91497384</v>
      </c>
    </row>
    <row r="121" spans="1:14" x14ac:dyDescent="0.2">
      <c r="A121" s="585">
        <f t="shared" si="13"/>
        <v>63</v>
      </c>
      <c r="C121" s="864" t="s">
        <v>2667</v>
      </c>
      <c r="D121" s="563">
        <f t="shared" ref="D121:M121" si="23">D81-D101</f>
        <v>0</v>
      </c>
      <c r="E121" s="1290">
        <f t="shared" si="23"/>
        <v>47554.686760576413</v>
      </c>
      <c r="F121" s="1296">
        <f t="shared" si="23"/>
        <v>-977879.15932079591</v>
      </c>
      <c r="G121" s="1296">
        <f t="shared" si="23"/>
        <v>78388526.585926682</v>
      </c>
      <c r="H121" s="1296">
        <f t="shared" si="23"/>
        <v>-775191.24627003074</v>
      </c>
      <c r="I121" s="1296">
        <f t="shared" si="23"/>
        <v>-2748128.7723200601</v>
      </c>
      <c r="J121" s="1296">
        <f t="shared" si="23"/>
        <v>-1154056.4658593002</v>
      </c>
      <c r="K121" s="551">
        <f t="shared" si="23"/>
        <v>66707.72656289833</v>
      </c>
      <c r="L121" s="551">
        <f t="shared" si="23"/>
        <v>-1131883.3636657496</v>
      </c>
      <c r="M121" s="1296">
        <f t="shared" si="23"/>
        <v>-557623.729355257</v>
      </c>
      <c r="N121" s="1297">
        <f t="shared" si="12"/>
        <v>71158026.262458965</v>
      </c>
    </row>
    <row r="122" spans="1:14" x14ac:dyDescent="0.2">
      <c r="A122" s="585">
        <f t="shared" si="13"/>
        <v>64</v>
      </c>
      <c r="C122" s="863" t="s">
        <v>2668</v>
      </c>
      <c r="D122" s="118">
        <f t="shared" ref="D122:M122" si="24">D82-D102</f>
        <v>0</v>
      </c>
      <c r="E122" s="1349">
        <f t="shared" si="24"/>
        <v>22868.578095233737</v>
      </c>
      <c r="F122" s="1298">
        <f t="shared" si="24"/>
        <v>3211751.3347113291</v>
      </c>
      <c r="G122" s="1298">
        <f t="shared" si="24"/>
        <v>3042555.2405531155</v>
      </c>
      <c r="H122" s="1298">
        <f t="shared" si="24"/>
        <v>-5644408.2305350341</v>
      </c>
      <c r="I122" s="1298">
        <f t="shared" si="24"/>
        <v>-1011348.3317191189</v>
      </c>
      <c r="J122" s="1298">
        <f t="shared" si="24"/>
        <v>-7222789.7857206259</v>
      </c>
      <c r="K122" s="1053">
        <f t="shared" si="24"/>
        <v>65568.529022380841</v>
      </c>
      <c r="L122" s="1053">
        <f t="shared" si="24"/>
        <v>163076.83823681201</v>
      </c>
      <c r="M122" s="1298">
        <f t="shared" si="24"/>
        <v>-4406895.9126759013</v>
      </c>
      <c r="N122" s="1299">
        <f t="shared" si="12"/>
        <v>-11779621.74003181</v>
      </c>
    </row>
    <row r="123" spans="1:14" x14ac:dyDescent="0.2">
      <c r="A123" s="585">
        <f t="shared" si="13"/>
        <v>65</v>
      </c>
      <c r="C123" s="589" t="s">
        <v>5</v>
      </c>
      <c r="D123" s="249">
        <f>SUM(D111:D122)</f>
        <v>0</v>
      </c>
      <c r="E123" s="1330">
        <f t="shared" ref="E123:M123" si="25">SUM(E111:E122)</f>
        <v>605666.53060645156</v>
      </c>
      <c r="F123" s="1297">
        <f t="shared" si="25"/>
        <v>5500861.4740756201</v>
      </c>
      <c r="G123" s="1297">
        <f t="shared" si="25"/>
        <v>22619691.111144159</v>
      </c>
      <c r="H123" s="1297">
        <f t="shared" si="25"/>
        <v>-32696700.257183697</v>
      </c>
      <c r="I123" s="1297">
        <f t="shared" si="25"/>
        <v>-6398525.8145361571</v>
      </c>
      <c r="J123" s="1297">
        <f t="shared" si="25"/>
        <v>-25506147.778084241</v>
      </c>
      <c r="K123" s="1274">
        <f t="shared" si="25"/>
        <v>524653.00479449017</v>
      </c>
      <c r="L123" s="1274">
        <f t="shared" si="25"/>
        <v>3699041.7148978659</v>
      </c>
      <c r="M123" s="1297">
        <f t="shared" si="25"/>
        <v>-14905911.448070254</v>
      </c>
      <c r="N123" s="1297">
        <f>SUM(N111:N122)</f>
        <v>-46557371.462355748</v>
      </c>
    </row>
    <row r="125" spans="1:14" x14ac:dyDescent="0.2">
      <c r="C125" s="1" t="s">
        <v>1771</v>
      </c>
    </row>
    <row r="127" spans="1:14" x14ac:dyDescent="0.2">
      <c r="C127" s="552" t="s">
        <v>1777</v>
      </c>
    </row>
    <row r="128" spans="1:14" x14ac:dyDescent="0.2">
      <c r="C128" s="16"/>
      <c r="D128" s="90">
        <v>350.1</v>
      </c>
      <c r="E128" s="90">
        <v>350.2</v>
      </c>
      <c r="F128" s="90">
        <v>352</v>
      </c>
      <c r="G128" s="90">
        <v>353</v>
      </c>
      <c r="H128" s="90">
        <v>354</v>
      </c>
      <c r="I128" s="90">
        <v>355</v>
      </c>
      <c r="J128" s="90">
        <v>356</v>
      </c>
      <c r="K128" s="90">
        <v>357</v>
      </c>
      <c r="L128" s="90">
        <v>358</v>
      </c>
      <c r="M128" s="90">
        <v>359</v>
      </c>
      <c r="N128" s="3" t="s">
        <v>217</v>
      </c>
    </row>
    <row r="129" spans="1:14" x14ac:dyDescent="0.2">
      <c r="A129" s="585">
        <f>A123+1</f>
        <v>66</v>
      </c>
      <c r="C129" s="16"/>
      <c r="D129" s="7">
        <f t="shared" ref="D129:M129" si="26">D24-D12</f>
        <v>0</v>
      </c>
      <c r="E129" s="1350">
        <f t="shared" si="26"/>
        <v>1646006.7660327358</v>
      </c>
      <c r="F129" s="1350">
        <f t="shared" si="26"/>
        <v>5404485.3475640938</v>
      </c>
      <c r="G129" s="1350">
        <f t="shared" si="26"/>
        <v>35565148.852992386</v>
      </c>
      <c r="H129" s="1350">
        <f t="shared" si="26"/>
        <v>-9365986.8994504213</v>
      </c>
      <c r="I129" s="1350">
        <f t="shared" si="26"/>
        <v>555508.49725996703</v>
      </c>
      <c r="J129" s="1350">
        <f t="shared" si="26"/>
        <v>-13315704.483743429</v>
      </c>
      <c r="K129" s="7">
        <f t="shared" si="26"/>
        <v>24345.261308990244</v>
      </c>
      <c r="L129" s="7">
        <f t="shared" si="26"/>
        <v>105103.62941581639</v>
      </c>
      <c r="M129" s="1350">
        <f t="shared" si="26"/>
        <v>-10894730.197812185</v>
      </c>
      <c r="N129" s="1350">
        <f>SUM(D129:M129)</f>
        <v>9724176.7735679522</v>
      </c>
    </row>
    <row r="130" spans="1:14" x14ac:dyDescent="0.2">
      <c r="C130" s="16"/>
    </row>
    <row r="131" spans="1:14" x14ac:dyDescent="0.2">
      <c r="C131" s="552" t="s">
        <v>1778</v>
      </c>
    </row>
    <row r="132" spans="1:14" x14ac:dyDescent="0.2">
      <c r="C132" s="16"/>
      <c r="D132" s="90">
        <v>350.1</v>
      </c>
      <c r="E132" s="90">
        <v>350.2</v>
      </c>
      <c r="F132" s="90">
        <v>352</v>
      </c>
      <c r="G132" s="90">
        <v>353</v>
      </c>
      <c r="H132" s="90">
        <v>354</v>
      </c>
      <c r="I132" s="90">
        <v>355</v>
      </c>
      <c r="J132" s="90">
        <v>356</v>
      </c>
      <c r="K132" s="90">
        <v>357</v>
      </c>
      <c r="L132" s="90">
        <v>358</v>
      </c>
      <c r="M132" s="90">
        <v>359</v>
      </c>
      <c r="N132" s="3" t="s">
        <v>217</v>
      </c>
    </row>
    <row r="133" spans="1:14" x14ac:dyDescent="0.2">
      <c r="A133" s="585">
        <f>A129+1</f>
        <v>67</v>
      </c>
      <c r="C133" s="16"/>
      <c r="D133" s="7">
        <f t="shared" ref="D133:M133" si="27">D103</f>
        <v>0</v>
      </c>
      <c r="E133" s="1350">
        <f t="shared" si="27"/>
        <v>1657123.6793935159</v>
      </c>
      <c r="F133" s="1285">
        <f t="shared" si="27"/>
        <v>5010946.5787781281</v>
      </c>
      <c r="G133" s="1285">
        <f t="shared" si="27"/>
        <v>47495964.481149957</v>
      </c>
      <c r="H133" s="1285">
        <f t="shared" si="27"/>
        <v>14660201.565945229</v>
      </c>
      <c r="I133" s="1285">
        <f t="shared" si="27"/>
        <v>5026972.3633593945</v>
      </c>
      <c r="J133" s="1285">
        <f t="shared" si="27"/>
        <v>13705296.606467566</v>
      </c>
      <c r="K133" s="1354">
        <f t="shared" si="27"/>
        <v>8960.2770307654428</v>
      </c>
      <c r="L133" s="1354">
        <f t="shared" si="27"/>
        <v>140681.86073449854</v>
      </c>
      <c r="M133" s="1285">
        <f t="shared" si="27"/>
        <v>1860205.110836114</v>
      </c>
      <c r="N133" s="1285">
        <f>SUM(D133:M133)</f>
        <v>89566352.523695156</v>
      </c>
    </row>
    <row r="134" spans="1:14" x14ac:dyDescent="0.2">
      <c r="C134" s="552" t="s">
        <v>1779</v>
      </c>
    </row>
    <row r="135" spans="1:14" x14ac:dyDescent="0.2">
      <c r="D135" s="90">
        <v>350.1</v>
      </c>
      <c r="E135" s="90">
        <v>350.2</v>
      </c>
      <c r="F135" s="90">
        <v>352</v>
      </c>
      <c r="G135" s="90">
        <v>353</v>
      </c>
      <c r="H135" s="90">
        <v>354</v>
      </c>
      <c r="I135" s="90">
        <v>355</v>
      </c>
      <c r="J135" s="90">
        <v>356</v>
      </c>
      <c r="K135" s="90">
        <v>357</v>
      </c>
      <c r="L135" s="90">
        <v>358</v>
      </c>
      <c r="M135" s="90">
        <v>359</v>
      </c>
      <c r="N135" s="3" t="s">
        <v>217</v>
      </c>
    </row>
    <row r="136" spans="1:14" x14ac:dyDescent="0.2">
      <c r="A136" s="585">
        <f>A133+1</f>
        <v>68</v>
      </c>
      <c r="D136" s="7">
        <f t="shared" ref="D136:M136" si="28">D129-D133</f>
        <v>0</v>
      </c>
      <c r="E136" s="1350">
        <f t="shared" si="28"/>
        <v>-11116.913360780105</v>
      </c>
      <c r="F136" s="1285">
        <f t="shared" si="28"/>
        <v>393538.76878596563</v>
      </c>
      <c r="G136" s="1285">
        <f t="shared" si="28"/>
        <v>-11930815.628157571</v>
      </c>
      <c r="H136" s="1285">
        <f t="shared" si="28"/>
        <v>-24026188.465395652</v>
      </c>
      <c r="I136" s="1285">
        <f t="shared" si="28"/>
        <v>-4471463.8660994275</v>
      </c>
      <c r="J136" s="1285">
        <f t="shared" si="28"/>
        <v>-27021001.090210997</v>
      </c>
      <c r="K136" s="1354">
        <f t="shared" si="28"/>
        <v>15384.984278224802</v>
      </c>
      <c r="L136" s="1354">
        <f t="shared" si="28"/>
        <v>-35578.231318682141</v>
      </c>
      <c r="M136" s="1285">
        <f t="shared" si="28"/>
        <v>-12754935.308648299</v>
      </c>
      <c r="N136" s="1285">
        <f>SUM(D136:M136)</f>
        <v>-79842175.750127211</v>
      </c>
    </row>
    <row r="138" spans="1:14" x14ac:dyDescent="0.2">
      <c r="C138" s="1" t="s">
        <v>1780</v>
      </c>
      <c r="D138" s="548"/>
      <c r="E138" s="548"/>
      <c r="F138" s="548"/>
      <c r="G138" s="548"/>
      <c r="H138" s="548"/>
      <c r="I138" s="548"/>
      <c r="J138" s="548"/>
      <c r="K138" s="548"/>
      <c r="L138" s="548"/>
    </row>
    <row r="139" spans="1:14" x14ac:dyDescent="0.2">
      <c r="C139" s="548"/>
      <c r="D139" s="548"/>
      <c r="E139" s="548"/>
      <c r="F139" s="548"/>
      <c r="G139" s="548"/>
      <c r="H139" s="548"/>
      <c r="I139" s="548"/>
      <c r="J139" s="548"/>
      <c r="K139" s="548"/>
      <c r="L139" s="548"/>
    </row>
    <row r="140" spans="1:14" x14ac:dyDescent="0.2">
      <c r="C140" s="90" t="s">
        <v>396</v>
      </c>
      <c r="D140" s="90" t="s">
        <v>380</v>
      </c>
      <c r="E140" s="90" t="s">
        <v>381</v>
      </c>
      <c r="F140" s="90" t="s">
        <v>382</v>
      </c>
      <c r="G140" s="90" t="s">
        <v>383</v>
      </c>
      <c r="H140" s="90" t="s">
        <v>384</v>
      </c>
      <c r="I140" s="90" t="s">
        <v>385</v>
      </c>
      <c r="J140" s="90" t="s">
        <v>599</v>
      </c>
      <c r="K140" s="90" t="s">
        <v>1048</v>
      </c>
      <c r="L140" s="90" t="s">
        <v>1064</v>
      </c>
      <c r="M140" s="90" t="s">
        <v>1067</v>
      </c>
      <c r="N140" s="90" t="s">
        <v>1085</v>
      </c>
    </row>
    <row r="141" spans="1:14" x14ac:dyDescent="0.2">
      <c r="C141" s="268"/>
      <c r="D141" s="247"/>
      <c r="E141" s="247"/>
      <c r="F141" s="247"/>
      <c r="G141" s="247"/>
      <c r="H141" s="247"/>
      <c r="I141" s="247"/>
      <c r="J141" s="247"/>
      <c r="K141" s="247"/>
      <c r="L141" s="247"/>
      <c r="N141" s="268" t="s">
        <v>1387</v>
      </c>
    </row>
    <row r="142" spans="1:14" x14ac:dyDescent="0.2">
      <c r="C142" s="117"/>
      <c r="D142" s="90"/>
      <c r="E142" s="90"/>
      <c r="F142" s="247"/>
      <c r="G142" s="247"/>
      <c r="H142" s="247"/>
      <c r="I142" s="247"/>
      <c r="J142" s="247"/>
      <c r="K142" s="247"/>
      <c r="L142" s="247"/>
      <c r="M142" s="247"/>
    </row>
    <row r="143" spans="1:14" x14ac:dyDescent="0.2">
      <c r="C143" s="131" t="s">
        <v>2084</v>
      </c>
      <c r="D143" s="90">
        <v>350.1</v>
      </c>
      <c r="E143" s="90">
        <v>350.2</v>
      </c>
      <c r="F143" s="90">
        <v>352</v>
      </c>
      <c r="G143" s="90">
        <v>353</v>
      </c>
      <c r="H143" s="90">
        <v>354</v>
      </c>
      <c r="I143" s="90">
        <v>355</v>
      </c>
      <c r="J143" s="90">
        <v>356</v>
      </c>
      <c r="K143" s="90">
        <v>357</v>
      </c>
      <c r="L143" s="90">
        <v>358</v>
      </c>
      <c r="M143" s="90">
        <v>359</v>
      </c>
      <c r="N143" s="3" t="s">
        <v>217</v>
      </c>
    </row>
    <row r="144" spans="1:14" x14ac:dyDescent="0.2">
      <c r="A144" s="585">
        <f>A136+1</f>
        <v>69</v>
      </c>
      <c r="C144" s="864" t="s">
        <v>2657</v>
      </c>
      <c r="D144" s="251">
        <v>0</v>
      </c>
      <c r="E144" s="1330">
        <f t="shared" ref="E144:M144" si="29">E111*(E$136/E$123)</f>
        <v>-996.84429519534285</v>
      </c>
      <c r="F144" s="1297">
        <f t="shared" si="29"/>
        <v>32282.577581222991</v>
      </c>
      <c r="G144" s="1297">
        <f t="shared" si="29"/>
        <v>798383.32077971462</v>
      </c>
      <c r="H144" s="1297">
        <f t="shared" si="29"/>
        <v>81493.333255051941</v>
      </c>
      <c r="I144" s="1297">
        <f t="shared" si="29"/>
        <v>236147.99443502843</v>
      </c>
      <c r="J144" s="1297">
        <f t="shared" si="29"/>
        <v>270811.58185517992</v>
      </c>
      <c r="K144" s="1273">
        <f t="shared" si="29"/>
        <v>1882.9959723375143</v>
      </c>
      <c r="L144" s="1273">
        <f t="shared" si="29"/>
        <v>-5591.3564070930697</v>
      </c>
      <c r="M144" s="1297">
        <f t="shared" si="29"/>
        <v>3636.7066799184145</v>
      </c>
      <c r="N144" s="1297">
        <f t="shared" ref="N144:N155" si="30">SUM(D144:M144)</f>
        <v>1418050.3098561654</v>
      </c>
    </row>
    <row r="145" spans="1:14" x14ac:dyDescent="0.2">
      <c r="A145" s="585">
        <f t="shared" ref="A145:A156" si="31">A144+1</f>
        <v>70</v>
      </c>
      <c r="C145" s="863" t="s">
        <v>2658</v>
      </c>
      <c r="D145" s="251">
        <v>0</v>
      </c>
      <c r="E145" s="1330">
        <f t="shared" ref="E145:M145" si="32">E112*(E$136/E$123)</f>
        <v>-997.44808536938763</v>
      </c>
      <c r="F145" s="1297">
        <f t="shared" si="32"/>
        <v>21575.980421587941</v>
      </c>
      <c r="G145" s="1297">
        <f t="shared" si="32"/>
        <v>-4799830.9401974427</v>
      </c>
      <c r="H145" s="1297">
        <f t="shared" si="32"/>
        <v>-188725.31469215979</v>
      </c>
      <c r="I145" s="1297">
        <f t="shared" si="32"/>
        <v>391072.07574827428</v>
      </c>
      <c r="J145" s="1297">
        <f t="shared" si="32"/>
        <v>548167.43301842886</v>
      </c>
      <c r="K145" s="1273">
        <f t="shared" si="32"/>
        <v>1883.8870463107107</v>
      </c>
      <c r="L145" s="1273">
        <f t="shared" si="32"/>
        <v>-5707.9977244085821</v>
      </c>
      <c r="M145" s="1297">
        <f t="shared" si="32"/>
        <v>3362.5434795561091</v>
      </c>
      <c r="N145" s="1297">
        <f t="shared" si="30"/>
        <v>-4029199.7809852236</v>
      </c>
    </row>
    <row r="146" spans="1:14" x14ac:dyDescent="0.2">
      <c r="A146" s="585">
        <f t="shared" si="31"/>
        <v>71</v>
      </c>
      <c r="C146" s="863" t="s">
        <v>2659</v>
      </c>
      <c r="D146" s="251">
        <v>0</v>
      </c>
      <c r="E146" s="1330">
        <f t="shared" ref="E146:M146" si="33">E113*(E$136/E$123)</f>
        <v>-951.34151012033624</v>
      </c>
      <c r="F146" s="1297">
        <f t="shared" si="33"/>
        <v>22854.399220174353</v>
      </c>
      <c r="G146" s="1297">
        <f t="shared" si="33"/>
        <v>-19534011.760514461</v>
      </c>
      <c r="H146" s="1297">
        <f t="shared" si="33"/>
        <v>-16005919.532349959</v>
      </c>
      <c r="I146" s="1297">
        <f t="shared" si="33"/>
        <v>-717589.87743295322</v>
      </c>
      <c r="J146" s="1297">
        <f t="shared" si="33"/>
        <v>-9451195.8117709216</v>
      </c>
      <c r="K146" s="1273">
        <f t="shared" si="33"/>
        <v>1800.9241989743987</v>
      </c>
      <c r="L146" s="1273">
        <f t="shared" si="33"/>
        <v>-1964.9399147323236</v>
      </c>
      <c r="M146" s="1297">
        <f t="shared" si="33"/>
        <v>-5159557.4367776588</v>
      </c>
      <c r="N146" s="1297">
        <f t="shared" si="30"/>
        <v>-50846535.376851648</v>
      </c>
    </row>
    <row r="147" spans="1:14" x14ac:dyDescent="0.2">
      <c r="A147" s="585">
        <f t="shared" si="31"/>
        <v>72</v>
      </c>
      <c r="C147" s="864" t="s">
        <v>2660</v>
      </c>
      <c r="D147" s="251">
        <v>0</v>
      </c>
      <c r="E147" s="1330">
        <f t="shared" ref="E147:M147" si="34">E114*(E$136/E$123)</f>
        <v>-1009.7636933742257</v>
      </c>
      <c r="F147" s="1297">
        <f t="shared" si="34"/>
        <v>24846.902263634744</v>
      </c>
      <c r="G147" s="1297">
        <f t="shared" si="34"/>
        <v>-2065020.5352138416</v>
      </c>
      <c r="H147" s="1297">
        <f t="shared" si="34"/>
        <v>-367625.69136962167</v>
      </c>
      <c r="I147" s="1297">
        <f t="shared" si="34"/>
        <v>721891.53361006954</v>
      </c>
      <c r="J147" s="1297">
        <f t="shared" si="34"/>
        <v>-781643.19452890696</v>
      </c>
      <c r="K147" s="1273">
        <f t="shared" si="34"/>
        <v>1812.0442874765172</v>
      </c>
      <c r="L147" s="1273">
        <f t="shared" si="34"/>
        <v>-2777.5522607198268</v>
      </c>
      <c r="M147" s="1297">
        <f t="shared" si="34"/>
        <v>-312203.29066483513</v>
      </c>
      <c r="N147" s="1297">
        <f t="shared" si="30"/>
        <v>-2781729.5475701187</v>
      </c>
    </row>
    <row r="148" spans="1:14" x14ac:dyDescent="0.2">
      <c r="A148" s="585">
        <f t="shared" si="31"/>
        <v>73</v>
      </c>
      <c r="C148" s="863" t="s">
        <v>2661</v>
      </c>
      <c r="D148" s="251">
        <v>0</v>
      </c>
      <c r="E148" s="1330">
        <f t="shared" ref="E148:M148" si="35">E115*(E$136/E$123)</f>
        <v>-1014.7648443745848</v>
      </c>
      <c r="F148" s="1297">
        <f t="shared" si="35"/>
        <v>18152.053966770563</v>
      </c>
      <c r="G148" s="1297">
        <f t="shared" si="35"/>
        <v>904632.59982101049</v>
      </c>
      <c r="H148" s="1297">
        <f t="shared" si="35"/>
        <v>140881.09370179966</v>
      </c>
      <c r="I148" s="1297">
        <f t="shared" si="35"/>
        <v>-622744.33865025453</v>
      </c>
      <c r="J148" s="1297">
        <f t="shared" si="35"/>
        <v>-1536532.5754361097</v>
      </c>
      <c r="K148" s="1273">
        <f t="shared" si="35"/>
        <v>1808.8654761126386</v>
      </c>
      <c r="L148" s="1273">
        <f t="shared" si="35"/>
        <v>-5226.3238295274559</v>
      </c>
      <c r="M148" s="1297">
        <f t="shared" si="35"/>
        <v>-629772.60630782007</v>
      </c>
      <c r="N148" s="1297">
        <f t="shared" si="30"/>
        <v>-1729815.9961023931</v>
      </c>
    </row>
    <row r="149" spans="1:14" x14ac:dyDescent="0.2">
      <c r="A149" s="585">
        <f t="shared" si="31"/>
        <v>74</v>
      </c>
      <c r="C149" s="863" t="s">
        <v>2669</v>
      </c>
      <c r="D149" s="251">
        <v>0</v>
      </c>
      <c r="E149" s="1330">
        <f t="shared" ref="E149:M149" si="36">E116*(E$136/E$123)</f>
        <v>-1065.4541050953605</v>
      </c>
      <c r="F149" s="1297">
        <f t="shared" si="36"/>
        <v>32039.056485388694</v>
      </c>
      <c r="G149" s="1297">
        <f t="shared" si="36"/>
        <v>438568.04330340191</v>
      </c>
      <c r="H149" s="1297">
        <f t="shared" si="36"/>
        <v>79554.81369936472</v>
      </c>
      <c r="I149" s="1297">
        <f t="shared" si="36"/>
        <v>-499632.91438317241</v>
      </c>
      <c r="J149" s="1297">
        <f t="shared" si="36"/>
        <v>-577670.97547877277</v>
      </c>
      <c r="K149" s="1273">
        <f t="shared" si="36"/>
        <v>1823.5864713058495</v>
      </c>
      <c r="L149" s="1273">
        <f t="shared" si="36"/>
        <v>-5474.5588089410649</v>
      </c>
      <c r="M149" s="1297">
        <f t="shared" si="36"/>
        <v>-267534.2762608183</v>
      </c>
      <c r="N149" s="1297">
        <f t="shared" si="30"/>
        <v>-799392.67907733866</v>
      </c>
    </row>
    <row r="150" spans="1:14" x14ac:dyDescent="0.2">
      <c r="A150" s="585">
        <f t="shared" si="31"/>
        <v>75</v>
      </c>
      <c r="C150" s="864" t="s">
        <v>2663</v>
      </c>
      <c r="D150" s="251">
        <v>0</v>
      </c>
      <c r="E150" s="1330">
        <f t="shared" ref="E150:M150" si="37">E117*(E$136/E$123)</f>
        <v>-1017.3163655110338</v>
      </c>
      <c r="F150" s="1297">
        <f t="shared" si="37"/>
        <v>9535.8147129194567</v>
      </c>
      <c r="G150" s="1297">
        <f t="shared" si="37"/>
        <v>-154995.4294871006</v>
      </c>
      <c r="H150" s="1297">
        <f t="shared" si="37"/>
        <v>-74112.602021751416</v>
      </c>
      <c r="I150" s="1297">
        <f t="shared" si="37"/>
        <v>-228487.76666975353</v>
      </c>
      <c r="J150" s="1297">
        <f t="shared" si="37"/>
        <v>-667060.44474829221</v>
      </c>
      <c r="K150" s="1273">
        <f t="shared" si="37"/>
        <v>13701.605027285023</v>
      </c>
      <c r="L150" s="1273">
        <f t="shared" si="37"/>
        <v>-505.92207276760092</v>
      </c>
      <c r="M150" s="1297">
        <f t="shared" si="37"/>
        <v>-97968.014876782006</v>
      </c>
      <c r="N150" s="1297">
        <f t="shared" si="30"/>
        <v>-1200910.0765017539</v>
      </c>
    </row>
    <row r="151" spans="1:14" x14ac:dyDescent="0.2">
      <c r="A151" s="585">
        <f t="shared" si="31"/>
        <v>76</v>
      </c>
      <c r="C151" s="863" t="s">
        <v>2664</v>
      </c>
      <c r="D151" s="251">
        <v>0</v>
      </c>
      <c r="E151" s="1330">
        <f t="shared" ref="E151:M151" si="38">E118*(E$136/E$123)</f>
        <v>-1013.2601641958139</v>
      </c>
      <c r="F151" s="1297">
        <f t="shared" si="38"/>
        <v>35933.008278988345</v>
      </c>
      <c r="G151" s="1297">
        <f t="shared" si="38"/>
        <v>2834962.4798870087</v>
      </c>
      <c r="H151" s="1297">
        <f t="shared" si="38"/>
        <v>-972713.9013111731</v>
      </c>
      <c r="I151" s="1297">
        <f t="shared" si="38"/>
        <v>-200303.41515892869</v>
      </c>
      <c r="J151" s="1297">
        <f t="shared" si="38"/>
        <v>-1510161.190142239</v>
      </c>
      <c r="K151" s="1273">
        <f t="shared" si="38"/>
        <v>-16700.733781682662</v>
      </c>
      <c r="L151" s="1273">
        <f t="shared" si="38"/>
        <v>-5515.1360526579292</v>
      </c>
      <c r="M151" s="1297">
        <f t="shared" si="38"/>
        <v>-1193457.4892719246</v>
      </c>
      <c r="N151" s="1297">
        <f t="shared" si="30"/>
        <v>-1028969.6377168046</v>
      </c>
    </row>
    <row r="152" spans="1:14" x14ac:dyDescent="0.2">
      <c r="A152" s="585">
        <f t="shared" si="31"/>
        <v>77</v>
      </c>
      <c r="C152" s="863" t="s">
        <v>2665</v>
      </c>
      <c r="D152" s="251">
        <v>0</v>
      </c>
      <c r="E152" s="1330">
        <f t="shared" ref="E152:M152" si="39">E119*(E$136/E$123)</f>
        <v>-880.16341416380169</v>
      </c>
      <c r="F152" s="1297">
        <f t="shared" si="39"/>
        <v>14325.497176191382</v>
      </c>
      <c r="G152" s="1297">
        <f t="shared" si="39"/>
        <v>-571568.60841955815</v>
      </c>
      <c r="H152" s="1297">
        <f t="shared" si="39"/>
        <v>-49611.552214583884</v>
      </c>
      <c r="I152" s="1297">
        <f t="shared" si="39"/>
        <v>146927.80461002563</v>
      </c>
      <c r="J152" s="1297">
        <f t="shared" si="39"/>
        <v>-774131.35429279332</v>
      </c>
      <c r="K152" s="1273">
        <f t="shared" si="39"/>
        <v>1731.1793896486618</v>
      </c>
      <c r="L152" s="1273">
        <f t="shared" si="39"/>
        <v>-6835.1563690819776</v>
      </c>
      <c r="M152" s="1297">
        <f t="shared" si="39"/>
        <v>-1045139.8285854853</v>
      </c>
      <c r="N152" s="1297">
        <f t="shared" si="30"/>
        <v>-2285182.1821198007</v>
      </c>
    </row>
    <row r="153" spans="1:14" x14ac:dyDescent="0.2">
      <c r="A153" s="585">
        <f t="shared" si="31"/>
        <v>78</v>
      </c>
      <c r="C153" s="864" t="s">
        <v>2666</v>
      </c>
      <c r="D153" s="251">
        <v>0</v>
      </c>
      <c r="E153" s="1330">
        <f t="shared" ref="E153:M153" si="40">E120*(E$136/E$123)</f>
        <v>-877.94899698866118</v>
      </c>
      <c r="F153" s="1297">
        <f t="shared" si="40"/>
        <v>22179.364167842141</v>
      </c>
      <c r="G153" s="1297">
        <f t="shared" si="40"/>
        <v>53169103.697475262</v>
      </c>
      <c r="H153" s="1297">
        <f t="shared" si="40"/>
        <v>-1952159.1850701924</v>
      </c>
      <c r="I153" s="1297">
        <f t="shared" si="40"/>
        <v>-1071520.1117665011</v>
      </c>
      <c r="J153" s="1297">
        <f t="shared" si="40"/>
        <v>-3667223.2217323687</v>
      </c>
      <c r="K153" s="1273">
        <f t="shared" si="40"/>
        <v>1761.7462539024755</v>
      </c>
      <c r="L153" s="1273">
        <f t="shared" si="40"/>
        <v>-5297.4911652786777</v>
      </c>
      <c r="M153" s="1297">
        <f t="shared" si="40"/>
        <v>191820.1504746133</v>
      </c>
      <c r="N153" s="1297">
        <f t="shared" si="30"/>
        <v>46687786.999640286</v>
      </c>
    </row>
    <row r="154" spans="1:14" x14ac:dyDescent="0.2">
      <c r="A154" s="585">
        <f t="shared" si="31"/>
        <v>79</v>
      </c>
      <c r="C154" s="864" t="s">
        <v>2667</v>
      </c>
      <c r="D154" s="251">
        <v>0</v>
      </c>
      <c r="E154" s="1330">
        <f t="shared" ref="E154:M154" si="41">E121*(E$136/E$123)</f>
        <v>-872.85875296265442</v>
      </c>
      <c r="F154" s="1297">
        <f t="shared" si="41"/>
        <v>-69958.744133841246</v>
      </c>
      <c r="G154" s="1297">
        <f t="shared" si="41"/>
        <v>-41346234.723729283</v>
      </c>
      <c r="H154" s="1297">
        <f t="shared" si="41"/>
        <v>-569626.01220031898</v>
      </c>
      <c r="I154" s="1297">
        <f t="shared" si="41"/>
        <v>-1920467.1296161872</v>
      </c>
      <c r="J154" s="1297">
        <f t="shared" si="41"/>
        <v>-1222597.833803165</v>
      </c>
      <c r="K154" s="1273">
        <f t="shared" si="41"/>
        <v>1956.1449472843806</v>
      </c>
      <c r="L154" s="1273">
        <f t="shared" si="41"/>
        <v>10886.713706438957</v>
      </c>
      <c r="M154" s="1297">
        <f t="shared" si="41"/>
        <v>-477156.63810778252</v>
      </c>
      <c r="N154" s="1297">
        <f t="shared" si="30"/>
        <v>-45594071.081689812</v>
      </c>
    </row>
    <row r="155" spans="1:14" x14ac:dyDescent="0.2">
      <c r="A155" s="585">
        <f t="shared" si="31"/>
        <v>80</v>
      </c>
      <c r="C155" s="863" t="s">
        <v>2668</v>
      </c>
      <c r="D155" s="118">
        <v>0</v>
      </c>
      <c r="E155" s="1348">
        <f t="shared" ref="E155:M155" si="42">E122*(E$136/E$123)</f>
        <v>-419.7491334289013</v>
      </c>
      <c r="F155" s="1299">
        <f t="shared" si="42"/>
        <v>229772.85864508623</v>
      </c>
      <c r="G155" s="1299">
        <f t="shared" si="42"/>
        <v>-1604803.7718622799</v>
      </c>
      <c r="H155" s="1299">
        <f t="shared" si="42"/>
        <v>-4147623.914822103</v>
      </c>
      <c r="I155" s="1299">
        <f t="shared" si="42"/>
        <v>-706757.72082507447</v>
      </c>
      <c r="J155" s="1299">
        <f t="shared" si="42"/>
        <v>-7651763.5031510368</v>
      </c>
      <c r="K155" s="1275">
        <f t="shared" si="42"/>
        <v>1922.7389892692936</v>
      </c>
      <c r="L155" s="1275">
        <f t="shared" si="42"/>
        <v>-1568.5104199125813</v>
      </c>
      <c r="M155" s="1299">
        <f t="shared" si="42"/>
        <v>-3770965.1284292806</v>
      </c>
      <c r="N155" s="1299">
        <f t="shared" si="30"/>
        <v>-17652206.701008759</v>
      </c>
    </row>
    <row r="156" spans="1:14" x14ac:dyDescent="0.2">
      <c r="A156" s="585">
        <f t="shared" si="31"/>
        <v>81</v>
      </c>
      <c r="C156" s="589" t="s">
        <v>5</v>
      </c>
      <c r="D156" s="249">
        <f>SUM(D144:D155)</f>
        <v>0</v>
      </c>
      <c r="E156" s="1330">
        <f t="shared" ref="E156:M156" si="43">SUM(E144:E155)</f>
        <v>-11116.913360780105</v>
      </c>
      <c r="F156" s="1297">
        <f t="shared" si="43"/>
        <v>393538.76878596563</v>
      </c>
      <c r="G156" s="1297">
        <f t="shared" si="43"/>
        <v>-11930815.628157575</v>
      </c>
      <c r="H156" s="1297">
        <f t="shared" si="43"/>
        <v>-24026188.465395644</v>
      </c>
      <c r="I156" s="1297">
        <f t="shared" si="43"/>
        <v>-4471463.8660994275</v>
      </c>
      <c r="J156" s="1297">
        <f t="shared" si="43"/>
        <v>-27021001.090210997</v>
      </c>
      <c r="K156" s="1274">
        <f t="shared" si="43"/>
        <v>15384.984278224803</v>
      </c>
      <c r="L156" s="1274">
        <f t="shared" si="43"/>
        <v>-35578.231318682127</v>
      </c>
      <c r="M156" s="1297">
        <f t="shared" si="43"/>
        <v>-12754935.308648299</v>
      </c>
      <c r="N156" s="1297">
        <f>SUM(N144:N155)</f>
        <v>-79842175.750127211</v>
      </c>
    </row>
    <row r="158" spans="1:14" x14ac:dyDescent="0.2">
      <c r="B158" s="452" t="s">
        <v>258</v>
      </c>
    </row>
    <row r="159" spans="1:14" x14ac:dyDescent="0.2">
      <c r="B159" s="1147" t="s">
        <v>2336</v>
      </c>
      <c r="C159" s="14"/>
      <c r="D159" s="14"/>
      <c r="E159" s="14"/>
      <c r="F159" s="14"/>
      <c r="G159" s="14"/>
      <c r="H159" s="14"/>
      <c r="I159" s="14"/>
      <c r="J159" s="14"/>
    </row>
    <row r="160" spans="1:14" x14ac:dyDescent="0.2">
      <c r="B160" s="1147" t="s">
        <v>2337</v>
      </c>
      <c r="C160" s="14"/>
      <c r="D160" s="14"/>
      <c r="E160" s="14"/>
      <c r="F160" s="14"/>
      <c r="G160" s="14"/>
      <c r="H160" s="14"/>
      <c r="I160" s="14"/>
      <c r="J160" s="14"/>
    </row>
    <row r="161" spans="2:14" x14ac:dyDescent="0.2">
      <c r="B161" s="731" t="s">
        <v>2299</v>
      </c>
      <c r="C161" s="712"/>
      <c r="D161" s="712"/>
      <c r="E161" s="712"/>
      <c r="F161" s="712"/>
      <c r="G161" s="712"/>
      <c r="H161" s="712"/>
      <c r="I161" s="712"/>
      <c r="J161" s="14"/>
      <c r="K161" s="14"/>
      <c r="L161" s="712"/>
      <c r="M161" s="712"/>
      <c r="N161" s="14"/>
    </row>
    <row r="162" spans="2:14" x14ac:dyDescent="0.2">
      <c r="B162" s="1152" t="s">
        <v>2625</v>
      </c>
      <c r="C162" s="712"/>
      <c r="D162" s="712"/>
      <c r="E162" s="712"/>
      <c r="F162" s="712"/>
      <c r="G162" s="712"/>
      <c r="H162" s="712"/>
      <c r="I162" s="712"/>
      <c r="J162" s="712"/>
      <c r="K162" s="712"/>
      <c r="L162" s="712"/>
      <c r="M162" s="712"/>
      <c r="N162" s="14"/>
    </row>
    <row r="163" spans="2:14" x14ac:dyDescent="0.2">
      <c r="B163" s="1152" t="s">
        <v>2300</v>
      </c>
      <c r="C163" s="712"/>
      <c r="D163" s="712"/>
      <c r="E163" s="712"/>
      <c r="F163" s="712"/>
      <c r="G163" s="712"/>
      <c r="H163" s="712"/>
      <c r="I163" s="712"/>
      <c r="J163" s="712"/>
      <c r="K163" s="712"/>
      <c r="L163" s="712"/>
      <c r="M163" s="712"/>
      <c r="N163" s="14"/>
    </row>
    <row r="164" spans="2:14" x14ac:dyDescent="0.2">
      <c r="B164" s="1152" t="s">
        <v>2301</v>
      </c>
      <c r="C164" s="712"/>
      <c r="D164" s="712"/>
      <c r="E164" s="712"/>
      <c r="F164" s="712"/>
      <c r="G164" s="712"/>
      <c r="H164" s="712"/>
      <c r="I164" s="712"/>
      <c r="J164" s="712"/>
      <c r="K164" s="712"/>
      <c r="L164" s="712"/>
      <c r="M164" s="712"/>
      <c r="N164" s="14"/>
    </row>
    <row r="165" spans="2:14" x14ac:dyDescent="0.2">
      <c r="B165" s="731" t="s">
        <v>2302</v>
      </c>
      <c r="C165" s="712"/>
      <c r="D165" s="712"/>
      <c r="E165" s="712"/>
      <c r="F165" s="712"/>
      <c r="G165" s="712"/>
      <c r="H165" s="712"/>
      <c r="I165" s="712"/>
      <c r="J165" s="712"/>
      <c r="K165" s="712"/>
      <c r="L165" s="712"/>
      <c r="M165" s="712"/>
      <c r="N165" s="14"/>
    </row>
    <row r="166" spans="2:14" x14ac:dyDescent="0.2">
      <c r="B166" s="1152" t="s">
        <v>2303</v>
      </c>
      <c r="C166" s="712"/>
      <c r="D166" s="712"/>
      <c r="E166" s="712"/>
      <c r="F166" s="712"/>
      <c r="G166" s="712"/>
      <c r="H166" s="712"/>
      <c r="I166" s="712"/>
      <c r="J166" s="712"/>
      <c r="K166" s="712"/>
      <c r="L166" s="712"/>
      <c r="M166" s="712"/>
      <c r="N166" s="14"/>
    </row>
    <row r="167" spans="2:14" x14ac:dyDescent="0.2">
      <c r="B167" s="1152" t="s">
        <v>2304</v>
      </c>
      <c r="C167" s="712"/>
      <c r="D167" s="712"/>
      <c r="E167" s="712"/>
      <c r="F167" s="712"/>
      <c r="G167" s="712"/>
      <c r="H167" s="712"/>
      <c r="I167" s="712"/>
      <c r="J167" s="712"/>
      <c r="K167" s="712"/>
      <c r="L167" s="712"/>
      <c r="M167" s="712"/>
      <c r="N167" s="14"/>
    </row>
    <row r="168" spans="2:14" x14ac:dyDescent="0.2">
      <c r="B168" s="1152" t="s">
        <v>2305</v>
      </c>
      <c r="C168" s="712"/>
      <c r="D168" s="712"/>
      <c r="E168" s="712"/>
      <c r="F168" s="712"/>
      <c r="G168" s="712"/>
      <c r="H168" s="712"/>
      <c r="I168" s="712"/>
      <c r="J168" s="712"/>
      <c r="K168" s="712"/>
      <c r="L168" s="712"/>
      <c r="M168" s="712"/>
      <c r="N168" s="14"/>
    </row>
    <row r="169" spans="2:14" x14ac:dyDescent="0.2">
      <c r="B169" s="550" t="str">
        <f>"2) Amounts on Line "&amp;A33&amp;" derived from Plant Study for previous year Prior Year."</f>
        <v>2) Amounts on Line 15 derived from Plant Study for previous year Prior Year.</v>
      </c>
      <c r="C169" s="14"/>
      <c r="D169" s="14"/>
      <c r="E169" s="14"/>
      <c r="F169" s="14"/>
      <c r="G169" s="14"/>
      <c r="H169" s="14"/>
      <c r="I169" s="14"/>
      <c r="J169" s="14"/>
    </row>
    <row r="170" spans="2:14" x14ac:dyDescent="0.2">
      <c r="B170" s="547" t="str">
        <f>"Amounts on Line "&amp;A34&amp;" derived from Plant Study for Prior Year."</f>
        <v>Amounts on Line 16 derived from Plant Study for Prior Year.</v>
      </c>
      <c r="C170" s="14"/>
      <c r="D170" s="14"/>
      <c r="E170" s="14"/>
      <c r="F170" s="14"/>
      <c r="G170" s="14"/>
      <c r="H170" s="14"/>
      <c r="I170" s="14"/>
      <c r="J170" s="14"/>
    </row>
    <row r="171" spans="2:14" x14ac:dyDescent="0.2">
      <c r="B171" s="550" t="s">
        <v>1774</v>
      </c>
      <c r="C171" s="14"/>
      <c r="D171" s="14"/>
      <c r="E171" s="14"/>
      <c r="F171" s="14"/>
      <c r="G171" s="14"/>
      <c r="H171" s="14"/>
      <c r="I171" s="14"/>
      <c r="J171" s="14"/>
    </row>
    <row r="172" spans="2:14" x14ac:dyDescent="0.2">
      <c r="B172" s="14" t="str">
        <f>"4) From 17-Depreciation, Lines "&amp;'17-Depreciation'!A49&amp;" to "&amp;'17-Depreciation'!A60&amp;"."</f>
        <v>4) From 17-Depreciation, Lines 24 to 35.</v>
      </c>
      <c r="C172" s="14"/>
      <c r="D172" s="14"/>
      <c r="E172" s="14"/>
      <c r="F172" s="14"/>
      <c r="G172" s="14"/>
      <c r="H172" s="14"/>
      <c r="I172" s="14"/>
      <c r="J172" s="14"/>
    </row>
    <row r="173" spans="2:14" x14ac:dyDescent="0.2">
      <c r="B173" s="550" t="str">
        <f>"5) Amount in matrix on lines "&amp;A71&amp;" to "&amp;A82&amp;" minus amount in matrix on lines "&amp;A91&amp;" to "&amp;A102&amp;"."</f>
        <v>5) Amount in matrix on lines 27 to 38 minus amount in matrix on lines 40 to 51.</v>
      </c>
      <c r="C173" s="14"/>
      <c r="D173" s="14"/>
      <c r="E173" s="14"/>
      <c r="F173" s="14"/>
      <c r="G173" s="14"/>
      <c r="H173" s="14"/>
      <c r="I173" s="14"/>
      <c r="J173" s="14"/>
    </row>
    <row r="174" spans="2:14" x14ac:dyDescent="0.2">
      <c r="B174" s="550" t="str">
        <f>"6) Line "&amp;A24&amp;" - Line "&amp;A12&amp;"."</f>
        <v>6) Line 13 - Line 1.</v>
      </c>
      <c r="C174" s="14"/>
      <c r="D174" s="14"/>
      <c r="E174" s="14"/>
      <c r="F174" s="14"/>
      <c r="G174" s="14"/>
      <c r="H174" s="14"/>
      <c r="I174" s="14"/>
      <c r="J174" s="14"/>
    </row>
    <row r="175" spans="2:14" x14ac:dyDescent="0.2">
      <c r="B175" s="14" t="str">
        <f>"7) Line "&amp;A103&amp;"."</f>
        <v>7) Line 52.</v>
      </c>
      <c r="C175" s="14"/>
      <c r="D175" s="14"/>
      <c r="E175" s="14"/>
      <c r="F175" s="14"/>
      <c r="G175" s="14"/>
      <c r="H175" s="14"/>
      <c r="I175" s="14"/>
      <c r="J175" s="14"/>
    </row>
    <row r="176" spans="2:14" x14ac:dyDescent="0.2">
      <c r="B176" s="550" t="str">
        <f>"8) Line "&amp;A129&amp;" - Line "&amp;A133&amp;"."</f>
        <v>8) Line 66 - Line 67.</v>
      </c>
      <c r="C176" s="14"/>
      <c r="D176" s="14"/>
      <c r="E176" s="14"/>
      <c r="F176" s="14"/>
      <c r="G176" s="14"/>
      <c r="H176" s="14"/>
      <c r="I176" s="14"/>
      <c r="J176" s="14"/>
    </row>
    <row r="177" spans="2:10" x14ac:dyDescent="0.2">
      <c r="B177" s="550" t="str">
        <f>"9) For each column (FERC Account) divide Line "&amp;A136&amp;" by Line "&amp;A123&amp;" to arrive at a ratio for each column."</f>
        <v>9) For each column (FERC Account) divide Line 68 by Line 65 to arrive at a ratio for each column.</v>
      </c>
      <c r="C177" s="14"/>
      <c r="D177" s="14"/>
      <c r="E177" s="14"/>
      <c r="F177" s="14"/>
      <c r="G177" s="14"/>
      <c r="H177" s="14"/>
      <c r="I177" s="14"/>
      <c r="J177" s="14"/>
    </row>
    <row r="178" spans="2:10" x14ac:dyDescent="0.2">
      <c r="B178" s="550" t="str">
        <f>"Apply the ratio of each column to each monthly value from Lines "&amp;A111&amp;"-"&amp;A122&amp;" to calculate the values for"</f>
        <v>Apply the ratio of each column to each monthly value from Lines 53-64 to calculate the values for</v>
      </c>
      <c r="C178" s="14"/>
      <c r="D178" s="14"/>
      <c r="E178" s="14"/>
      <c r="F178" s="14"/>
      <c r="G178" s="14"/>
      <c r="H178" s="14"/>
      <c r="I178" s="14"/>
      <c r="J178" s="14"/>
    </row>
    <row r="179" spans="2:10" x14ac:dyDescent="0.2">
      <c r="B179" s="550" t="str">
        <f>"the corresponsing months listed in Lines "&amp;A144&amp;"-"&amp;A155&amp;"."</f>
        <v>the corresponsing months listed in Lines 69-80.</v>
      </c>
      <c r="C179" s="14"/>
      <c r="D179" s="14"/>
      <c r="E179" s="14"/>
      <c r="F179" s="14"/>
      <c r="G179" s="14"/>
      <c r="H179" s="14"/>
      <c r="I179" s="14"/>
      <c r="J179" s="14"/>
    </row>
  </sheetData>
  <phoneticPr fontId="12" type="noConversion"/>
  <pageMargins left="0.75" right="0.75" top="1" bottom="1" header="0.5" footer="0.5"/>
  <pageSetup scale="65" orientation="landscape" cellComments="asDisplayed" r:id="rId1"/>
  <headerFooter alignWithMargins="0">
    <oddHeader>&amp;CSchedule 8
Accumulated Depreciation
&amp;RTO8 Annual Update (Revised)
Attachment  1</oddHeader>
    <oddFooter>&amp;R&amp;A</oddFooter>
  </headerFooter>
  <rowBreaks count="3" manualBreakCount="3">
    <brk id="36" max="16383" man="1"/>
    <brk id="84" max="16383" man="1"/>
    <brk id="124" max="16383" man="1"/>
  </rowBreaks>
  <ignoredErrors>
    <ignoredError sqref="D83:M83 N71 N72:N8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Layout" zoomScaleNormal="100" workbookViewId="0">
      <selection activeCell="J167" sqref="J167"/>
    </sheetView>
  </sheetViews>
  <sheetFormatPr defaultRowHeight="12.75" x14ac:dyDescent="0.2"/>
  <cols>
    <col min="1" max="1" width="4.7109375" customWidth="1"/>
    <col min="2" max="2" width="9.7109375" style="623" customWidth="1"/>
    <col min="3" max="3" width="44.7109375" style="623" customWidth="1"/>
    <col min="4" max="8" width="15.7109375" style="623" customWidth="1"/>
    <col min="9" max="9" width="16.140625" style="623" bestFit="1" customWidth="1"/>
    <col min="10" max="10" width="33.7109375" style="623" customWidth="1"/>
  </cols>
  <sheetData>
    <row r="1" spans="1:12" x14ac:dyDescent="0.2">
      <c r="A1" s="1153" t="s">
        <v>1377</v>
      </c>
      <c r="B1" s="257"/>
      <c r="C1" s="257"/>
      <c r="D1" s="257"/>
      <c r="E1" s="257"/>
      <c r="F1" s="447" t="s">
        <v>334</v>
      </c>
      <c r="G1" s="447"/>
      <c r="H1" s="257"/>
      <c r="I1" s="247"/>
      <c r="J1" s="247"/>
      <c r="K1" s="622"/>
      <c r="L1" s="622"/>
    </row>
    <row r="2" spans="1:12" x14ac:dyDescent="0.2">
      <c r="A2" s="247"/>
      <c r="B2" s="719"/>
      <c r="C2" s="720"/>
      <c r="D2" s="720"/>
      <c r="E2" s="247"/>
      <c r="F2" s="247"/>
      <c r="G2" s="247"/>
      <c r="H2" s="247"/>
      <c r="I2" s="247"/>
      <c r="J2" s="247"/>
      <c r="K2" s="622"/>
      <c r="L2" s="622"/>
    </row>
    <row r="3" spans="1:12" x14ac:dyDescent="0.2">
      <c r="A3" s="247"/>
      <c r="B3" s="719" t="s">
        <v>1802</v>
      </c>
      <c r="C3" s="720"/>
      <c r="D3" s="720"/>
      <c r="E3" s="247"/>
      <c r="F3" s="247"/>
      <c r="G3" s="247"/>
      <c r="H3" s="247"/>
      <c r="I3" s="247"/>
      <c r="J3" s="247"/>
      <c r="K3" s="622"/>
      <c r="L3" s="622"/>
    </row>
    <row r="4" spans="1:12" x14ac:dyDescent="0.2">
      <c r="A4" s="247"/>
      <c r="B4" s="719"/>
      <c r="C4" s="720"/>
      <c r="D4" s="720"/>
      <c r="E4" s="247"/>
      <c r="F4" s="247"/>
      <c r="G4" s="247"/>
      <c r="H4" s="247"/>
      <c r="I4" s="247"/>
      <c r="J4" s="247"/>
      <c r="K4" s="622"/>
      <c r="L4" s="622"/>
    </row>
    <row r="5" spans="1:12" x14ac:dyDescent="0.2">
      <c r="A5" s="247"/>
      <c r="B5" s="721" t="s">
        <v>1803</v>
      </c>
      <c r="C5" s="720"/>
      <c r="D5" s="720"/>
      <c r="E5" s="247"/>
      <c r="F5" s="247"/>
      <c r="G5" s="247"/>
      <c r="H5" s="247"/>
      <c r="I5" s="247"/>
      <c r="J5" s="247"/>
      <c r="K5" s="622"/>
      <c r="L5" s="622"/>
    </row>
    <row r="6" spans="1:12" x14ac:dyDescent="0.2">
      <c r="A6" s="247"/>
      <c r="B6" s="719"/>
      <c r="C6" s="90" t="s">
        <v>396</v>
      </c>
      <c r="D6" s="90" t="s">
        <v>380</v>
      </c>
      <c r="E6" s="247"/>
      <c r="I6" s="247"/>
      <c r="J6" s="247"/>
      <c r="K6" s="622"/>
      <c r="L6" s="622"/>
    </row>
    <row r="7" spans="1:12" x14ac:dyDescent="0.2">
      <c r="A7" s="247"/>
      <c r="C7" s="720"/>
      <c r="D7" s="247"/>
      <c r="E7" s="247"/>
      <c r="I7" s="247"/>
      <c r="J7" s="247"/>
      <c r="K7" s="622"/>
      <c r="L7" s="622"/>
    </row>
    <row r="8" spans="1:12" x14ac:dyDescent="0.2">
      <c r="A8" s="247"/>
      <c r="B8" s="719"/>
      <c r="C8" s="257"/>
      <c r="D8" s="117" t="s">
        <v>217</v>
      </c>
      <c r="J8" s="247"/>
      <c r="K8" s="622"/>
      <c r="L8" s="622"/>
    </row>
    <row r="9" spans="1:12" x14ac:dyDescent="0.2">
      <c r="A9" s="54" t="s">
        <v>362</v>
      </c>
      <c r="B9" s="719"/>
      <c r="C9" s="607" t="s">
        <v>112</v>
      </c>
      <c r="D9" s="131" t="s">
        <v>222</v>
      </c>
      <c r="E9" s="394" t="s">
        <v>200</v>
      </c>
      <c r="J9" s="247"/>
      <c r="K9" s="622"/>
      <c r="L9" s="622"/>
    </row>
    <row r="10" spans="1:12" ht="15" x14ac:dyDescent="0.25">
      <c r="A10" s="421">
        <v>1</v>
      </c>
      <c r="B10" s="719"/>
      <c r="C10" s="550" t="s">
        <v>1382</v>
      </c>
      <c r="D10" s="1296">
        <f>+D77</f>
        <v>5596867.9400307173</v>
      </c>
      <c r="E10" s="547" t="str">
        <f>"Line "&amp;A77&amp;", Col. 2"</f>
        <v>Line 353, Col. 2</v>
      </c>
      <c r="J10" s="247"/>
      <c r="K10" s="622"/>
      <c r="L10" s="622"/>
    </row>
    <row r="11" spans="1:12" x14ac:dyDescent="0.2">
      <c r="A11" s="679">
        <f>A10+1</f>
        <v>2</v>
      </c>
      <c r="B11" s="719"/>
      <c r="C11" s="550" t="s">
        <v>1380</v>
      </c>
      <c r="D11" s="563">
        <f>+D100</f>
        <v>-673601260.62423754</v>
      </c>
      <c r="E11" s="547" t="str">
        <f>"Line "&amp;A100&amp;", Col. 2"</f>
        <v>Line 452, Col. 2</v>
      </c>
      <c r="J11" s="247"/>
      <c r="K11" s="622"/>
      <c r="L11" s="622"/>
    </row>
    <row r="12" spans="1:12" x14ac:dyDescent="0.2">
      <c r="A12" s="679">
        <f t="shared" ref="A12:A24" si="0">A11+1</f>
        <v>3</v>
      </c>
      <c r="B12" s="719"/>
      <c r="C12" s="550" t="s">
        <v>1381</v>
      </c>
      <c r="D12" s="1296">
        <f>+D149</f>
        <v>-15565970.139485067</v>
      </c>
      <c r="E12" s="547" t="str">
        <f>"Line "&amp;A149&amp;", Col. 2"</f>
        <v>Line 803, Col. 2</v>
      </c>
      <c r="I12" s="624"/>
      <c r="J12" s="247"/>
      <c r="K12" s="622"/>
      <c r="L12" s="622"/>
    </row>
    <row r="13" spans="1:12" x14ac:dyDescent="0.2">
      <c r="A13" s="679">
        <f t="shared" si="0"/>
        <v>4</v>
      </c>
      <c r="B13" s="719"/>
      <c r="C13" s="548" t="s">
        <v>1958</v>
      </c>
      <c r="D13" s="1383">
        <f>G164</f>
        <v>21205278.291963864</v>
      </c>
      <c r="E13" s="547" t="str">
        <f>"Line "&amp;A164&amp;", Col. 5"</f>
        <v>Line 809, Col. 5</v>
      </c>
      <c r="I13" s="624"/>
      <c r="J13" s="247"/>
      <c r="K13" s="622"/>
      <c r="L13" s="622"/>
    </row>
    <row r="14" spans="1:12" x14ac:dyDescent="0.2">
      <c r="A14" s="679">
        <f t="shared" si="0"/>
        <v>5</v>
      </c>
      <c r="B14" s="719"/>
      <c r="C14" s="550" t="s">
        <v>1806</v>
      </c>
      <c r="D14" s="1296">
        <f t="shared" ref="D14" si="1">SUM(D10:D13)</f>
        <v>-662365084.53172815</v>
      </c>
      <c r="E14" s="646" t="str">
        <f>"Sum of Lines "&amp;A10&amp;" to "&amp;A13&amp;""</f>
        <v>Sum of Lines 1 to 4</v>
      </c>
      <c r="J14" s="247"/>
      <c r="K14" s="622"/>
      <c r="L14" s="622"/>
    </row>
    <row r="15" spans="1:12" x14ac:dyDescent="0.2">
      <c r="A15" s="679">
        <f t="shared" si="0"/>
        <v>6</v>
      </c>
      <c r="B15" s="719"/>
      <c r="D15" s="257"/>
      <c r="E15" s="257"/>
      <c r="G15" s="625"/>
      <c r="H15" s="266"/>
      <c r="I15" s="257"/>
      <c r="J15" s="247"/>
      <c r="K15" s="622"/>
      <c r="L15" s="622"/>
    </row>
    <row r="16" spans="1:12" x14ac:dyDescent="0.2">
      <c r="A16" s="679">
        <f t="shared" si="0"/>
        <v>7</v>
      </c>
      <c r="B16" s="721" t="s">
        <v>1805</v>
      </c>
      <c r="E16" s="257"/>
      <c r="G16" s="624"/>
      <c r="H16" s="626"/>
      <c r="I16" s="624"/>
      <c r="J16" s="247"/>
      <c r="K16" s="622"/>
      <c r="L16" s="622"/>
    </row>
    <row r="17" spans="1:12" x14ac:dyDescent="0.2">
      <c r="A17" s="679">
        <f t="shared" si="0"/>
        <v>8</v>
      </c>
      <c r="B17" s="721"/>
      <c r="D17" s="117" t="s">
        <v>425</v>
      </c>
      <c r="E17" s="257"/>
      <c r="G17" s="624"/>
      <c r="H17" s="626"/>
      <c r="I17" s="624"/>
      <c r="J17" s="247"/>
      <c r="K17" s="622"/>
      <c r="L17" s="622"/>
    </row>
    <row r="18" spans="1:12" x14ac:dyDescent="0.2">
      <c r="A18" s="679">
        <f t="shared" si="0"/>
        <v>9</v>
      </c>
      <c r="B18" s="719"/>
      <c r="D18" s="131" t="s">
        <v>222</v>
      </c>
      <c r="E18" s="394" t="s">
        <v>200</v>
      </c>
      <c r="G18" s="627"/>
      <c r="H18" s="624"/>
      <c r="I18" s="624"/>
      <c r="J18" s="247"/>
      <c r="K18" s="622"/>
      <c r="L18" s="622"/>
    </row>
    <row r="19" spans="1:12" x14ac:dyDescent="0.2">
      <c r="A19" s="679">
        <f t="shared" si="0"/>
        <v>10</v>
      </c>
      <c r="B19" s="719"/>
      <c r="C19" s="550" t="s">
        <v>1806</v>
      </c>
      <c r="D19" s="587">
        <v>-445502926.49883187</v>
      </c>
      <c r="E19" s="527" t="str">
        <f>"Previous Year Informational Filing, Line "&amp;A14&amp;", Col. 2"</f>
        <v>Previous Year Informational Filing, Line 5, Col. 2</v>
      </c>
      <c r="G19" s="624"/>
      <c r="H19" s="624"/>
      <c r="I19" s="624"/>
      <c r="K19" s="622"/>
      <c r="L19" s="622"/>
    </row>
    <row r="20" spans="1:12" x14ac:dyDescent="0.2">
      <c r="A20" s="679">
        <f t="shared" si="0"/>
        <v>11</v>
      </c>
      <c r="B20" s="719"/>
      <c r="D20" s="257"/>
      <c r="E20" s="257"/>
      <c r="F20" s="624"/>
      <c r="G20" s="624"/>
      <c r="H20" s="624"/>
      <c r="I20" s="624"/>
      <c r="J20" s="247"/>
      <c r="K20" s="622"/>
      <c r="L20" s="622"/>
    </row>
    <row r="21" spans="1:12" x14ac:dyDescent="0.2">
      <c r="A21" s="679">
        <f t="shared" si="0"/>
        <v>12</v>
      </c>
      <c r="B21" s="721" t="s">
        <v>1807</v>
      </c>
      <c r="D21" s="257"/>
      <c r="E21" s="257"/>
      <c r="F21" s="624"/>
      <c r="G21" s="624"/>
      <c r="H21" s="624"/>
      <c r="I21" s="624"/>
      <c r="J21" s="247"/>
      <c r="K21" s="622"/>
      <c r="L21" s="622"/>
    </row>
    <row r="22" spans="1:12" x14ac:dyDescent="0.2">
      <c r="A22" s="679">
        <f t="shared" si="0"/>
        <v>13</v>
      </c>
      <c r="B22" s="720"/>
      <c r="C22" s="722"/>
      <c r="D22" s="723" t="s">
        <v>257</v>
      </c>
      <c r="E22" s="247"/>
      <c r="F22" s="247"/>
      <c r="G22" s="247"/>
      <c r="H22" s="247"/>
      <c r="I22" s="247"/>
      <c r="J22" s="247"/>
      <c r="K22" s="622"/>
      <c r="L22" s="622"/>
    </row>
    <row r="23" spans="1:12" x14ac:dyDescent="0.2">
      <c r="A23" s="679">
        <f t="shared" si="0"/>
        <v>14</v>
      </c>
      <c r="B23" s="720"/>
      <c r="D23" s="131" t="s">
        <v>222</v>
      </c>
      <c r="E23" s="394" t="s">
        <v>200</v>
      </c>
      <c r="F23" s="247"/>
      <c r="G23" s="627"/>
      <c r="H23" s="247"/>
      <c r="I23" s="247"/>
      <c r="J23" s="247"/>
      <c r="K23" s="622"/>
      <c r="L23" s="622"/>
    </row>
    <row r="24" spans="1:12" x14ac:dyDescent="0.2">
      <c r="A24" s="679">
        <f t="shared" si="0"/>
        <v>15</v>
      </c>
      <c r="B24" s="720"/>
      <c r="C24" s="724" t="s">
        <v>1808</v>
      </c>
      <c r="D24" s="1357">
        <f>(D14+D19)/2</f>
        <v>-553934005.51528001</v>
      </c>
      <c r="E24" s="266" t="str">
        <f>"Average of Line "&amp;A14&amp;" and Line "&amp;A19&amp;""</f>
        <v>Average of Line 5 and Line 10</v>
      </c>
      <c r="F24" s="247"/>
      <c r="G24" s="624"/>
      <c r="H24" s="247"/>
      <c r="I24" s="247"/>
      <c r="J24" s="247"/>
      <c r="K24" s="622"/>
      <c r="L24" s="622"/>
    </row>
    <row r="25" spans="1:12" x14ac:dyDescent="0.2">
      <c r="A25" s="679"/>
      <c r="B25" s="720"/>
      <c r="C25" s="722"/>
      <c r="D25" s="725"/>
      <c r="E25" s="247"/>
      <c r="F25" s="247"/>
      <c r="G25" s="247"/>
      <c r="H25" s="247"/>
      <c r="I25" s="247"/>
      <c r="J25" s="247"/>
      <c r="K25" s="622"/>
      <c r="L25" s="622"/>
    </row>
    <row r="26" spans="1:12" x14ac:dyDescent="0.2">
      <c r="A26" s="679"/>
      <c r="B26" s="719" t="s">
        <v>1809</v>
      </c>
      <c r="C26" s="722"/>
      <c r="D26" s="725"/>
      <c r="E26" s="247"/>
      <c r="F26" s="247"/>
      <c r="G26" s="247"/>
      <c r="H26" s="247"/>
      <c r="I26" s="247"/>
      <c r="J26" s="247"/>
    </row>
    <row r="27" spans="1:12" x14ac:dyDescent="0.2">
      <c r="A27" s="679"/>
      <c r="B27" s="719"/>
      <c r="C27" s="90" t="s">
        <v>396</v>
      </c>
      <c r="D27" s="90" t="s">
        <v>380</v>
      </c>
      <c r="E27" s="90" t="s">
        <v>381</v>
      </c>
      <c r="F27" s="90" t="s">
        <v>382</v>
      </c>
      <c r="G27" s="90" t="s">
        <v>383</v>
      </c>
      <c r="H27" s="90" t="s">
        <v>384</v>
      </c>
      <c r="I27" s="90" t="s">
        <v>385</v>
      </c>
      <c r="J27" s="247"/>
    </row>
    <row r="28" spans="1:12" x14ac:dyDescent="0.2">
      <c r="A28" s="548"/>
      <c r="B28" s="723"/>
      <c r="C28" s="723"/>
      <c r="D28" s="723" t="s">
        <v>1810</v>
      </c>
      <c r="E28" s="723" t="s">
        <v>1811</v>
      </c>
      <c r="F28" s="723"/>
      <c r="G28" s="723"/>
      <c r="H28" s="723" t="s">
        <v>1445</v>
      </c>
      <c r="I28" s="1154" t="s">
        <v>2340</v>
      </c>
      <c r="J28" s="247"/>
    </row>
    <row r="29" spans="1:12" x14ac:dyDescent="0.2">
      <c r="A29" s="548"/>
      <c r="B29" s="726" t="s">
        <v>1812</v>
      </c>
      <c r="C29" s="726" t="s">
        <v>1813</v>
      </c>
      <c r="D29" s="726" t="s">
        <v>1814</v>
      </c>
      <c r="E29" s="726" t="s">
        <v>1815</v>
      </c>
      <c r="F29" s="726" t="s">
        <v>1816</v>
      </c>
      <c r="G29" s="726" t="s">
        <v>1817</v>
      </c>
      <c r="H29" s="726" t="s">
        <v>1804</v>
      </c>
      <c r="I29" s="726" t="s">
        <v>113</v>
      </c>
      <c r="J29" s="247"/>
    </row>
    <row r="30" spans="1:12" x14ac:dyDescent="0.2">
      <c r="A30" s="679"/>
      <c r="B30" s="720" t="s">
        <v>1819</v>
      </c>
      <c r="C30" s="720"/>
      <c r="D30" s="720"/>
      <c r="E30" s="247"/>
      <c r="F30" s="247"/>
      <c r="G30" s="247"/>
      <c r="H30" s="247"/>
      <c r="I30" s="247"/>
      <c r="J30" s="247"/>
    </row>
    <row r="31" spans="1:12" x14ac:dyDescent="0.2">
      <c r="A31" s="203">
        <f>100</f>
        <v>100</v>
      </c>
      <c r="B31" s="727">
        <v>190</v>
      </c>
      <c r="C31" s="728" t="s">
        <v>2710</v>
      </c>
      <c r="D31" s="729">
        <v>147354</v>
      </c>
      <c r="E31" s="875">
        <f>$G$193*D31</f>
        <v>118.94832491398876</v>
      </c>
      <c r="F31" s="252"/>
      <c r="G31" s="875">
        <f>D31-E31</f>
        <v>147235.051675086</v>
      </c>
      <c r="H31" s="875"/>
      <c r="I31" s="876" t="s">
        <v>2341</v>
      </c>
      <c r="J31" s="447"/>
    </row>
    <row r="32" spans="1:12" x14ac:dyDescent="0.2">
      <c r="A32" s="203">
        <f t="shared" ref="A32:A53" si="2">A31+1</f>
        <v>101</v>
      </c>
      <c r="B32" s="727">
        <v>190</v>
      </c>
      <c r="C32" s="728" t="s">
        <v>122</v>
      </c>
      <c r="D32" s="729">
        <v>1501</v>
      </c>
      <c r="E32" s="875">
        <f>$G$193*D32</f>
        <v>1.2116497393752266</v>
      </c>
      <c r="F32" s="252"/>
      <c r="G32" s="875">
        <f>D32-E32</f>
        <v>1499.7883502606248</v>
      </c>
      <c r="H32" s="875"/>
      <c r="I32" s="876" t="s">
        <v>2341</v>
      </c>
      <c r="J32" s="447"/>
    </row>
    <row r="33" spans="1:10" x14ac:dyDescent="0.2">
      <c r="A33" s="203">
        <f t="shared" si="2"/>
        <v>102</v>
      </c>
      <c r="B33" s="727">
        <v>190</v>
      </c>
      <c r="C33" s="728" t="s">
        <v>2711</v>
      </c>
      <c r="D33" s="729">
        <v>2900524</v>
      </c>
      <c r="E33" s="875">
        <f>(0.5*($G$185*D33))+(0.5*D33)</f>
        <v>1452339.3859628129</v>
      </c>
      <c r="F33" s="252"/>
      <c r="G33" s="875"/>
      <c r="H33" s="875">
        <f>D33-E33</f>
        <v>1448184.6140371871</v>
      </c>
      <c r="I33" s="876" t="s">
        <v>2342</v>
      </c>
      <c r="J33" s="447"/>
    </row>
    <row r="34" spans="1:10" x14ac:dyDescent="0.2">
      <c r="A34" s="203">
        <f t="shared" si="2"/>
        <v>103</v>
      </c>
      <c r="B34" s="727">
        <v>190</v>
      </c>
      <c r="C34" s="728" t="s">
        <v>2712</v>
      </c>
      <c r="D34" s="729">
        <v>0</v>
      </c>
      <c r="E34" s="875"/>
      <c r="F34" s="875">
        <v>0</v>
      </c>
      <c r="G34" s="875"/>
      <c r="H34" s="875"/>
      <c r="I34" s="876" t="s">
        <v>2019</v>
      </c>
      <c r="J34" s="447"/>
    </row>
    <row r="35" spans="1:10" x14ac:dyDescent="0.2">
      <c r="A35" s="203">
        <f t="shared" si="2"/>
        <v>104</v>
      </c>
      <c r="B35" s="727">
        <v>190</v>
      </c>
      <c r="C35" s="728" t="s">
        <v>2713</v>
      </c>
      <c r="D35" s="729">
        <v>0</v>
      </c>
      <c r="E35" s="875"/>
      <c r="F35" s="252"/>
      <c r="G35" s="875">
        <v>0</v>
      </c>
      <c r="H35" s="875"/>
      <c r="I35" s="876" t="s">
        <v>2341</v>
      </c>
      <c r="J35" s="447"/>
    </row>
    <row r="36" spans="1:10" ht="12.75" customHeight="1" x14ac:dyDescent="0.2">
      <c r="A36" s="203">
        <f t="shared" si="2"/>
        <v>105</v>
      </c>
      <c r="B36" s="727">
        <v>190</v>
      </c>
      <c r="C36" s="728" t="s">
        <v>2714</v>
      </c>
      <c r="D36" s="729">
        <v>1839019</v>
      </c>
      <c r="E36" s="875">
        <f>$G$193*D36</f>
        <v>1484.5082558668153</v>
      </c>
      <c r="F36" s="252"/>
      <c r="G36" s="875">
        <f>D36-E36</f>
        <v>1837534.4917441332</v>
      </c>
      <c r="H36" s="875"/>
      <c r="I36" s="876" t="s">
        <v>2341</v>
      </c>
      <c r="J36" s="447"/>
    </row>
    <row r="37" spans="1:10" x14ac:dyDescent="0.2">
      <c r="A37" s="203">
        <f t="shared" si="2"/>
        <v>106</v>
      </c>
      <c r="B37" s="727">
        <v>190</v>
      </c>
      <c r="C37" s="728" t="s">
        <v>2715</v>
      </c>
      <c r="D37" s="729">
        <v>2984473</v>
      </c>
      <c r="E37" s="875">
        <f>(0.5*$G$185*D37)+(0.5*D37)</f>
        <v>1494374.0111244018</v>
      </c>
      <c r="F37" s="252"/>
      <c r="G37" s="875"/>
      <c r="H37" s="875">
        <f t="shared" ref="H37:H40" si="3">D37-E37</f>
        <v>1490098.9888755982</v>
      </c>
      <c r="I37" s="876" t="s">
        <v>2342</v>
      </c>
      <c r="J37" s="447"/>
    </row>
    <row r="38" spans="1:10" x14ac:dyDescent="0.2">
      <c r="A38" s="203">
        <f t="shared" si="2"/>
        <v>107</v>
      </c>
      <c r="B38" s="727">
        <v>190</v>
      </c>
      <c r="C38" s="728" t="s">
        <v>2716</v>
      </c>
      <c r="D38" s="729">
        <v>63030397</v>
      </c>
      <c r="E38" s="875">
        <f>$G$185*D38</f>
        <v>90286.073797928926</v>
      </c>
      <c r="F38" s="252"/>
      <c r="G38" s="875"/>
      <c r="H38" s="875">
        <f t="shared" si="3"/>
        <v>62940110.926202074</v>
      </c>
      <c r="I38" s="876" t="s">
        <v>2342</v>
      </c>
      <c r="J38" s="447"/>
    </row>
    <row r="39" spans="1:10" x14ac:dyDescent="0.2">
      <c r="A39" s="203">
        <f t="shared" si="2"/>
        <v>108</v>
      </c>
      <c r="B39" s="727">
        <v>190</v>
      </c>
      <c r="C39" s="728" t="s">
        <v>2717</v>
      </c>
      <c r="D39" s="729">
        <v>23957684</v>
      </c>
      <c r="E39" s="875">
        <f>$G$185*D39</f>
        <v>34317.493282669013</v>
      </c>
      <c r="F39" s="252"/>
      <c r="G39" s="875"/>
      <c r="H39" s="875">
        <f t="shared" si="3"/>
        <v>23923366.506717332</v>
      </c>
      <c r="I39" s="876" t="s">
        <v>2342</v>
      </c>
      <c r="J39" s="447"/>
    </row>
    <row r="40" spans="1:10" x14ac:dyDescent="0.2">
      <c r="A40" s="203">
        <f>+A39+1</f>
        <v>109</v>
      </c>
      <c r="B40" s="727">
        <v>190</v>
      </c>
      <c r="C40" s="728" t="s">
        <v>2718</v>
      </c>
      <c r="D40" s="729">
        <v>981547</v>
      </c>
      <c r="E40" s="875">
        <f>$G$185*D40</f>
        <v>1405.9886831767178</v>
      </c>
      <c r="F40" s="252"/>
      <c r="G40" s="875"/>
      <c r="H40" s="875">
        <f t="shared" si="3"/>
        <v>980141.01131682331</v>
      </c>
      <c r="I40" s="876" t="s">
        <v>2342</v>
      </c>
      <c r="J40" s="447"/>
    </row>
    <row r="41" spans="1:10" x14ac:dyDescent="0.2">
      <c r="A41" s="203">
        <f t="shared" si="2"/>
        <v>110</v>
      </c>
      <c r="B41" s="727">
        <v>190</v>
      </c>
      <c r="C41" s="728" t="s">
        <v>2719</v>
      </c>
      <c r="D41" s="729">
        <v>0</v>
      </c>
      <c r="E41" s="875"/>
      <c r="F41" s="587">
        <f>D41</f>
        <v>0</v>
      </c>
      <c r="G41" s="875">
        <v>0</v>
      </c>
      <c r="H41" s="875"/>
      <c r="I41" s="876" t="s">
        <v>1820</v>
      </c>
      <c r="J41" s="877"/>
    </row>
    <row r="42" spans="1:10" x14ac:dyDescent="0.2">
      <c r="A42" s="203">
        <f t="shared" si="2"/>
        <v>111</v>
      </c>
      <c r="B42" s="727">
        <v>190</v>
      </c>
      <c r="C42" s="728" t="s">
        <v>2720</v>
      </c>
      <c r="D42" s="729">
        <v>49972</v>
      </c>
      <c r="E42" s="875">
        <f>$G$193*D42</f>
        <v>40.338814640945252</v>
      </c>
      <c r="F42" s="252"/>
      <c r="G42" s="875">
        <f>D42-E42</f>
        <v>49931.661185359051</v>
      </c>
      <c r="H42" s="875"/>
      <c r="I42" s="876" t="s">
        <v>2341</v>
      </c>
      <c r="J42" s="447"/>
    </row>
    <row r="43" spans="1:10" x14ac:dyDescent="0.2">
      <c r="A43" s="203">
        <f t="shared" si="2"/>
        <v>112</v>
      </c>
      <c r="B43" s="727">
        <v>190</v>
      </c>
      <c r="C43" s="728" t="s">
        <v>2721</v>
      </c>
      <c r="D43" s="729">
        <v>0</v>
      </c>
      <c r="E43" s="875">
        <v>0</v>
      </c>
      <c r="F43" s="252"/>
      <c r="G43" s="875">
        <v>0</v>
      </c>
      <c r="H43" s="875"/>
      <c r="I43" s="876" t="s">
        <v>2341</v>
      </c>
      <c r="J43" s="447"/>
    </row>
    <row r="44" spans="1:10" x14ac:dyDescent="0.2">
      <c r="A44" s="203">
        <f t="shared" si="2"/>
        <v>113</v>
      </c>
      <c r="B44" s="727">
        <v>190</v>
      </c>
      <c r="C44" s="728" t="s">
        <v>2722</v>
      </c>
      <c r="D44" s="729">
        <v>53767163</v>
      </c>
      <c r="E44" s="875">
        <f>$G$185*D44</f>
        <v>77017.221492723169</v>
      </c>
      <c r="F44" s="252"/>
      <c r="G44" s="875"/>
      <c r="H44" s="875">
        <f t="shared" ref="H44" si="4">D44-E44</f>
        <v>53690145.778507277</v>
      </c>
      <c r="I44" s="876" t="s">
        <v>2342</v>
      </c>
      <c r="J44" s="447"/>
    </row>
    <row r="45" spans="1:10" x14ac:dyDescent="0.2">
      <c r="A45" s="203">
        <f t="shared" si="2"/>
        <v>114</v>
      </c>
      <c r="B45" s="727">
        <v>190</v>
      </c>
      <c r="C45" s="728" t="s">
        <v>2723</v>
      </c>
      <c r="D45" s="729">
        <v>0</v>
      </c>
      <c r="E45" s="875"/>
      <c r="F45" s="252"/>
      <c r="G45" s="875">
        <v>0</v>
      </c>
      <c r="H45" s="252"/>
      <c r="I45" s="876" t="s">
        <v>1820</v>
      </c>
      <c r="J45" s="447"/>
    </row>
    <row r="46" spans="1:10" x14ac:dyDescent="0.2">
      <c r="A46" s="203">
        <f t="shared" si="2"/>
        <v>115</v>
      </c>
      <c r="B46" s="727">
        <v>190</v>
      </c>
      <c r="C46" s="728" t="s">
        <v>2724</v>
      </c>
      <c r="D46" s="729">
        <v>0</v>
      </c>
      <c r="E46" s="875"/>
      <c r="F46" s="252"/>
      <c r="G46" s="875">
        <v>0</v>
      </c>
      <c r="H46" s="252"/>
      <c r="I46" s="876" t="s">
        <v>1820</v>
      </c>
      <c r="J46" s="447"/>
    </row>
    <row r="47" spans="1:10" x14ac:dyDescent="0.2">
      <c r="A47" s="203">
        <f t="shared" si="2"/>
        <v>116</v>
      </c>
      <c r="B47" s="727">
        <v>190</v>
      </c>
      <c r="C47" s="728" t="s">
        <v>2725</v>
      </c>
      <c r="D47" s="729">
        <v>535053617</v>
      </c>
      <c r="E47" s="875">
        <v>535053617</v>
      </c>
      <c r="F47" s="252"/>
      <c r="G47" s="252"/>
      <c r="H47" s="252"/>
      <c r="I47" s="876" t="s">
        <v>1876</v>
      </c>
      <c r="J47" s="447"/>
    </row>
    <row r="48" spans="1:10" x14ac:dyDescent="0.2">
      <c r="A48" s="203">
        <f t="shared" si="2"/>
        <v>117</v>
      </c>
      <c r="B48" s="727">
        <v>190</v>
      </c>
      <c r="C48" s="728" t="s">
        <v>2726</v>
      </c>
      <c r="D48" s="729">
        <v>-219297130</v>
      </c>
      <c r="E48" s="875">
        <v>-219297130</v>
      </c>
      <c r="F48" s="252"/>
      <c r="G48" s="252"/>
      <c r="H48" s="252"/>
      <c r="I48" s="876" t="s">
        <v>1874</v>
      </c>
      <c r="J48" s="447"/>
    </row>
    <row r="49" spans="1:12" x14ac:dyDescent="0.2">
      <c r="A49" s="203">
        <f t="shared" si="2"/>
        <v>118</v>
      </c>
      <c r="B49" s="727">
        <v>190</v>
      </c>
      <c r="C49" s="728" t="s">
        <v>2727</v>
      </c>
      <c r="D49" s="729">
        <v>259094744</v>
      </c>
      <c r="E49" s="875">
        <v>259094744</v>
      </c>
      <c r="F49" s="252"/>
      <c r="G49" s="252"/>
      <c r="H49" s="252"/>
      <c r="I49" s="876" t="s">
        <v>2732</v>
      </c>
      <c r="J49" s="447"/>
    </row>
    <row r="50" spans="1:12" x14ac:dyDescent="0.2">
      <c r="A50" s="203">
        <f t="shared" si="2"/>
        <v>119</v>
      </c>
      <c r="B50" s="727">
        <v>190</v>
      </c>
      <c r="C50" s="728" t="s">
        <v>2728</v>
      </c>
      <c r="D50" s="729">
        <v>39348979</v>
      </c>
      <c r="E50" s="875">
        <v>39348979</v>
      </c>
      <c r="F50" s="252"/>
      <c r="G50" s="252"/>
      <c r="H50" s="252"/>
      <c r="I50" s="876" t="s">
        <v>2733</v>
      </c>
      <c r="J50" s="447"/>
    </row>
    <row r="51" spans="1:12" x14ac:dyDescent="0.2">
      <c r="A51" s="203">
        <f t="shared" si="2"/>
        <v>120</v>
      </c>
      <c r="B51" s="727">
        <v>190</v>
      </c>
      <c r="C51" s="728" t="s">
        <v>2729</v>
      </c>
      <c r="D51" s="729">
        <v>-74375931</v>
      </c>
      <c r="E51" s="875">
        <v>-74375931</v>
      </c>
      <c r="F51" s="252"/>
      <c r="G51" s="252"/>
      <c r="H51" s="252"/>
      <c r="I51" s="876" t="s">
        <v>1875</v>
      </c>
      <c r="J51" s="447"/>
    </row>
    <row r="52" spans="1:12" x14ac:dyDescent="0.2">
      <c r="A52" s="203">
        <f t="shared" si="2"/>
        <v>121</v>
      </c>
      <c r="B52" s="727">
        <v>190</v>
      </c>
      <c r="C52" s="728" t="s">
        <v>2730</v>
      </c>
      <c r="D52" s="729">
        <v>32402326</v>
      </c>
      <c r="E52" s="875">
        <v>32402326</v>
      </c>
      <c r="F52" s="252"/>
      <c r="G52" s="252"/>
      <c r="H52" s="252"/>
      <c r="I52" s="876" t="s">
        <v>1874</v>
      </c>
      <c r="J52" s="447"/>
    </row>
    <row r="53" spans="1:12" x14ac:dyDescent="0.2">
      <c r="A53" s="203">
        <f t="shared" si="2"/>
        <v>122</v>
      </c>
      <c r="B53" s="727">
        <v>190</v>
      </c>
      <c r="C53" s="728" t="s">
        <v>2731</v>
      </c>
      <c r="D53" s="729">
        <v>546109041</v>
      </c>
      <c r="E53" s="875">
        <v>546109041</v>
      </c>
      <c r="F53" s="252"/>
      <c r="G53" s="252"/>
      <c r="H53" s="252"/>
      <c r="I53" s="876" t="s">
        <v>1875</v>
      </c>
      <c r="J53" s="447"/>
    </row>
    <row r="54" spans="1:12" x14ac:dyDescent="0.2">
      <c r="A54" s="117"/>
      <c r="B54" s="730"/>
      <c r="C54" s="731"/>
      <c r="D54" s="732"/>
      <c r="E54" s="251"/>
      <c r="F54" s="251"/>
      <c r="G54" s="251"/>
      <c r="H54" s="251"/>
      <c r="I54" s="257"/>
      <c r="J54" s="257"/>
      <c r="K54" s="622"/>
      <c r="L54" s="622"/>
    </row>
    <row r="55" spans="1:12" x14ac:dyDescent="0.2">
      <c r="A55" s="117"/>
      <c r="B55" s="719" t="s">
        <v>1821</v>
      </c>
      <c r="C55" s="722"/>
      <c r="D55" s="725"/>
      <c r="E55" s="247"/>
      <c r="F55" s="247"/>
      <c r="G55" s="247"/>
      <c r="H55" s="247"/>
      <c r="I55" s="247"/>
      <c r="J55" s="257"/>
      <c r="K55" s="622"/>
      <c r="L55" s="622"/>
    </row>
    <row r="56" spans="1:12" x14ac:dyDescent="0.2">
      <c r="A56" s="117"/>
      <c r="B56" s="719"/>
      <c r="C56" s="90" t="s">
        <v>396</v>
      </c>
      <c r="D56" s="90" t="s">
        <v>380</v>
      </c>
      <c r="E56" s="90" t="s">
        <v>381</v>
      </c>
      <c r="F56" s="90" t="s">
        <v>382</v>
      </c>
      <c r="G56" s="90" t="s">
        <v>383</v>
      </c>
      <c r="H56" s="90" t="s">
        <v>384</v>
      </c>
      <c r="I56" s="90" t="s">
        <v>385</v>
      </c>
      <c r="J56" s="257"/>
      <c r="K56" s="622"/>
      <c r="L56" s="622"/>
    </row>
    <row r="57" spans="1:12" x14ac:dyDescent="0.2">
      <c r="A57" s="117"/>
      <c r="B57" s="723"/>
      <c r="C57" s="723"/>
      <c r="D57" s="723" t="s">
        <v>1810</v>
      </c>
      <c r="E57" s="723" t="s">
        <v>1811</v>
      </c>
      <c r="F57" s="723"/>
      <c r="G57" s="723"/>
      <c r="H57" s="723"/>
      <c r="I57" s="1154" t="s">
        <v>2340</v>
      </c>
      <c r="J57" s="257"/>
      <c r="K57" s="622"/>
      <c r="L57" s="622"/>
    </row>
    <row r="58" spans="1:12" x14ac:dyDescent="0.2">
      <c r="A58" s="117"/>
      <c r="B58" s="726" t="s">
        <v>1812</v>
      </c>
      <c r="C58" s="726" t="s">
        <v>1813</v>
      </c>
      <c r="D58" s="726" t="s">
        <v>1814</v>
      </c>
      <c r="E58" s="726" t="s">
        <v>1815</v>
      </c>
      <c r="F58" s="726" t="s">
        <v>1816</v>
      </c>
      <c r="G58" s="726" t="s">
        <v>1817</v>
      </c>
      <c r="H58" s="726" t="s">
        <v>1818</v>
      </c>
      <c r="I58" s="726" t="s">
        <v>113</v>
      </c>
      <c r="J58" s="257"/>
      <c r="K58" s="622"/>
      <c r="L58" s="622"/>
    </row>
    <row r="59" spans="1:12" x14ac:dyDescent="0.2">
      <c r="A59" s="117"/>
      <c r="B59" s="720" t="s">
        <v>1819</v>
      </c>
      <c r="C59" s="720"/>
      <c r="D59" s="720"/>
      <c r="E59" s="247"/>
      <c r="F59" s="247"/>
      <c r="G59" s="247"/>
      <c r="H59" s="247"/>
      <c r="I59" s="247"/>
      <c r="J59" s="257"/>
      <c r="K59" s="622"/>
      <c r="L59" s="622"/>
    </row>
    <row r="60" spans="1:12" x14ac:dyDescent="0.2">
      <c r="A60" s="203">
        <f>A53+1</f>
        <v>123</v>
      </c>
      <c r="B60" s="727" t="s">
        <v>567</v>
      </c>
      <c r="C60" s="728"/>
      <c r="D60" s="729"/>
      <c r="E60" s="252"/>
      <c r="F60" s="252"/>
      <c r="G60" s="252"/>
      <c r="H60" s="252"/>
      <c r="I60" s="447"/>
      <c r="J60" s="447"/>
      <c r="K60" s="622"/>
      <c r="L60" s="622"/>
    </row>
    <row r="61" spans="1:12" x14ac:dyDescent="0.2">
      <c r="A61" s="679"/>
      <c r="B61" s="734"/>
      <c r="C61" s="720"/>
      <c r="D61" s="735"/>
      <c r="E61" s="249"/>
      <c r="F61" s="249"/>
      <c r="G61" s="249"/>
      <c r="H61" s="249"/>
      <c r="I61" s="394" t="s">
        <v>200</v>
      </c>
      <c r="J61" s="247"/>
      <c r="K61" s="622"/>
      <c r="L61" s="622"/>
    </row>
    <row r="62" spans="1:12" x14ac:dyDescent="0.2">
      <c r="A62" s="117">
        <v>250</v>
      </c>
      <c r="B62" s="720"/>
      <c r="C62" s="720" t="s">
        <v>1822</v>
      </c>
      <c r="D62" s="736">
        <f>SUM(D31:D53)+SUM(D60:D60)</f>
        <v>1267995280</v>
      </c>
      <c r="E62" s="736">
        <f>SUM(E31:E53)+SUM(E60:E60)</f>
        <v>1121487031.1813889</v>
      </c>
      <c r="F62" s="736">
        <f>SUM(F31:F53)+SUM(F60:F60)</f>
        <v>0</v>
      </c>
      <c r="G62" s="736">
        <f>SUM(G31:G53)+SUM(G60:G60)</f>
        <v>2036200.992954839</v>
      </c>
      <c r="H62" s="736">
        <f>SUM(H31:H53)+SUM(H60:H60)</f>
        <v>144472047.82565629</v>
      </c>
      <c r="I62" s="266" t="str">
        <f>"Sum of Above Lines beginning on Line "&amp;A31&amp;""</f>
        <v>Sum of Above Lines beginning on Line 100</v>
      </c>
      <c r="J62" s="247"/>
      <c r="K62" s="622"/>
      <c r="L62" s="622"/>
    </row>
    <row r="63" spans="1:12" x14ac:dyDescent="0.2">
      <c r="A63" s="679"/>
      <c r="B63" s="720"/>
      <c r="C63" s="720"/>
      <c r="D63" s="737"/>
      <c r="E63" s="249"/>
      <c r="F63" s="249"/>
      <c r="G63" s="249"/>
      <c r="H63" s="249"/>
      <c r="I63" s="247"/>
      <c r="J63" s="247"/>
    </row>
    <row r="64" spans="1:12" x14ac:dyDescent="0.2">
      <c r="A64" s="679"/>
      <c r="B64" s="720" t="s">
        <v>1823</v>
      </c>
      <c r="C64" s="720"/>
      <c r="D64" s="737"/>
      <c r="E64" s="249"/>
      <c r="F64" s="249"/>
      <c r="G64" s="249"/>
      <c r="H64" s="249"/>
      <c r="I64" s="1154" t="s">
        <v>2340</v>
      </c>
      <c r="J64" s="247"/>
    </row>
    <row r="65" spans="1:10" x14ac:dyDescent="0.2">
      <c r="A65" s="679"/>
      <c r="C65" s="90" t="s">
        <v>396</v>
      </c>
      <c r="D65" s="90" t="s">
        <v>380</v>
      </c>
      <c r="E65" s="90" t="s">
        <v>381</v>
      </c>
      <c r="F65" s="90" t="s">
        <v>382</v>
      </c>
      <c r="G65" s="90" t="s">
        <v>383</v>
      </c>
      <c r="H65" s="90" t="s">
        <v>384</v>
      </c>
      <c r="I65" s="90" t="s">
        <v>385</v>
      </c>
      <c r="J65" s="247"/>
    </row>
    <row r="66" spans="1:10" x14ac:dyDescent="0.2">
      <c r="A66" s="203">
        <v>300</v>
      </c>
      <c r="B66" s="727">
        <v>190</v>
      </c>
      <c r="C66" s="728" t="s">
        <v>2734</v>
      </c>
      <c r="D66" s="729">
        <v>15672158</v>
      </c>
      <c r="E66" s="875">
        <v>15672158</v>
      </c>
      <c r="F66" s="875"/>
      <c r="G66" s="875"/>
      <c r="H66" s="875"/>
      <c r="I66" s="876" t="s">
        <v>2735</v>
      </c>
      <c r="J66" s="876"/>
    </row>
    <row r="67" spans="1:10" x14ac:dyDescent="0.2">
      <c r="A67" s="203">
        <f t="shared" ref="A67:A70" si="5">A66+1</f>
        <v>301</v>
      </c>
      <c r="B67" s="727">
        <v>190</v>
      </c>
      <c r="C67" s="728" t="s">
        <v>2726</v>
      </c>
      <c r="D67" s="729">
        <v>0</v>
      </c>
      <c r="E67" s="875">
        <v>0</v>
      </c>
      <c r="F67" s="875"/>
      <c r="G67" s="875"/>
      <c r="H67" s="875"/>
      <c r="I67" s="876" t="s">
        <v>2735</v>
      </c>
      <c r="J67" s="876"/>
    </row>
    <row r="68" spans="1:10" x14ac:dyDescent="0.2">
      <c r="A68" s="203">
        <f t="shared" si="5"/>
        <v>302</v>
      </c>
      <c r="B68" s="727">
        <v>190</v>
      </c>
      <c r="C68" s="728" t="s">
        <v>2731</v>
      </c>
      <c r="D68" s="729">
        <v>-5057862</v>
      </c>
      <c r="E68" s="875">
        <v>-5057862</v>
      </c>
      <c r="F68" s="875"/>
      <c r="G68" s="875"/>
      <c r="H68" s="875"/>
      <c r="I68" s="876" t="s">
        <v>2735</v>
      </c>
      <c r="J68" s="876"/>
    </row>
    <row r="69" spans="1:10" x14ac:dyDescent="0.2">
      <c r="A69" s="203">
        <f t="shared" si="5"/>
        <v>303</v>
      </c>
      <c r="B69" s="727">
        <v>190</v>
      </c>
      <c r="C69" s="728" t="s">
        <v>2736</v>
      </c>
      <c r="D69" s="729">
        <v>595473955</v>
      </c>
      <c r="E69" s="875">
        <v>595473955</v>
      </c>
      <c r="F69" s="875"/>
      <c r="G69" s="875"/>
      <c r="H69" s="875"/>
      <c r="I69" s="876"/>
      <c r="J69" s="876"/>
    </row>
    <row r="70" spans="1:10" x14ac:dyDescent="0.2">
      <c r="A70" s="203">
        <f t="shared" si="5"/>
        <v>304</v>
      </c>
      <c r="B70" s="733" t="s">
        <v>567</v>
      </c>
      <c r="C70" s="728"/>
      <c r="D70" s="729"/>
      <c r="E70" s="252"/>
      <c r="F70" s="252"/>
      <c r="G70" s="252"/>
      <c r="H70" s="252"/>
      <c r="I70" s="447"/>
      <c r="J70" s="447"/>
    </row>
    <row r="71" spans="1:10" x14ac:dyDescent="0.2">
      <c r="A71" s="679"/>
      <c r="B71" s="734"/>
      <c r="C71" s="731"/>
      <c r="D71" s="732"/>
      <c r="E71" s="251"/>
      <c r="F71" s="251"/>
      <c r="G71" s="251"/>
      <c r="H71" s="251"/>
      <c r="I71" s="257"/>
      <c r="J71" s="257"/>
    </row>
    <row r="72" spans="1:10" x14ac:dyDescent="0.2">
      <c r="A72" s="679"/>
      <c r="B72" s="734"/>
      <c r="C72" s="90" t="s">
        <v>396</v>
      </c>
      <c r="D72" s="90" t="s">
        <v>380</v>
      </c>
      <c r="E72" s="90" t="s">
        <v>381</v>
      </c>
      <c r="F72" s="90" t="s">
        <v>382</v>
      </c>
      <c r="G72" s="90" t="s">
        <v>383</v>
      </c>
      <c r="H72" s="90" t="s">
        <v>384</v>
      </c>
      <c r="I72" s="394" t="s">
        <v>200</v>
      </c>
      <c r="J72" s="247"/>
    </row>
    <row r="73" spans="1:10" x14ac:dyDescent="0.2">
      <c r="A73" s="645">
        <v>350</v>
      </c>
      <c r="B73" s="720"/>
      <c r="C73" s="720" t="s">
        <v>1824</v>
      </c>
      <c r="D73" s="736">
        <f>SUM(D66:D69)</f>
        <v>606088251</v>
      </c>
      <c r="E73" s="736">
        <f>SUM(E66:E69)</f>
        <v>606088251</v>
      </c>
      <c r="F73" s="736">
        <f>SUM(F66:F69)</f>
        <v>0</v>
      </c>
      <c r="G73" s="736">
        <f>SUM(G66:G69)</f>
        <v>0</v>
      </c>
      <c r="H73" s="736">
        <f>SUM(H66:H69)</f>
        <v>0</v>
      </c>
      <c r="I73" s="266" t="str">
        <f>"Sum of Above Lines beginning on Line "&amp;A66&amp;""</f>
        <v>Sum of Above Lines beginning on Line 300</v>
      </c>
      <c r="J73" s="247"/>
    </row>
    <row r="74" spans="1:10" x14ac:dyDescent="0.2">
      <c r="A74" s="645"/>
      <c r="B74" s="720"/>
      <c r="C74" s="720"/>
      <c r="D74" s="736"/>
      <c r="E74" s="736"/>
      <c r="F74" s="736"/>
      <c r="G74" s="736"/>
      <c r="H74" s="736"/>
      <c r="I74" s="266"/>
      <c r="J74" s="247"/>
    </row>
    <row r="75" spans="1:10" x14ac:dyDescent="0.2">
      <c r="A75" s="645">
        <f t="shared" ref="A75" si="6">A73+1</f>
        <v>351</v>
      </c>
      <c r="B75" s="720"/>
      <c r="C75" s="720" t="s">
        <v>1825</v>
      </c>
      <c r="D75" s="736">
        <f>+D73+D62</f>
        <v>1874083531</v>
      </c>
      <c r="E75" s="736">
        <f>+E73+E62</f>
        <v>1727575282.1813889</v>
      </c>
      <c r="F75" s="736">
        <f>+F73+F62</f>
        <v>0</v>
      </c>
      <c r="G75" s="736">
        <f>+G73+G62</f>
        <v>2036200.992954839</v>
      </c>
      <c r="H75" s="736">
        <f>+H73+H62</f>
        <v>144472047.82565629</v>
      </c>
      <c r="I75" s="628" t="str">
        <f>"Line "&amp;A62&amp;" + Line "&amp;A73&amp;""</f>
        <v>Line 250 + Line 350</v>
      </c>
      <c r="J75" s="247"/>
    </row>
    <row r="76" spans="1:10" x14ac:dyDescent="0.2">
      <c r="A76" s="645">
        <f>+A75+1</f>
        <v>352</v>
      </c>
      <c r="B76" s="720"/>
      <c r="C76" s="720" t="s">
        <v>1879</v>
      </c>
      <c r="D76" s="736"/>
      <c r="E76" s="736"/>
      <c r="F76" s="736"/>
      <c r="G76" s="1359">
        <f>'27-Allocators'!$G$28</f>
        <v>0.10972259682913496</v>
      </c>
      <c r="H76" s="1359">
        <f>'27-Allocators'!$G$15</f>
        <v>3.7193704666678068E-2</v>
      </c>
      <c r="I76" s="886" t="str">
        <f>"27-Allocators Lines "&amp;'27-Allocators'!A28&amp;" and "&amp;'27-Allocators'!A15&amp;" respectively."</f>
        <v>27-Allocators Lines 22 and 9 respectively.</v>
      </c>
      <c r="J76" s="247"/>
    </row>
    <row r="77" spans="1:10" x14ac:dyDescent="0.2">
      <c r="A77" s="645">
        <f>+A76+1</f>
        <v>353</v>
      </c>
      <c r="B77" s="720"/>
      <c r="C77" s="720" t="s">
        <v>1880</v>
      </c>
      <c r="D77" s="736">
        <f>SUM(F77:H77)</f>
        <v>5596867.9400307173</v>
      </c>
      <c r="E77" s="736"/>
      <c r="F77" s="738">
        <f>+F75</f>
        <v>0</v>
      </c>
      <c r="G77" s="1358">
        <f>+G75*G76</f>
        <v>223417.26061306807</v>
      </c>
      <c r="H77" s="1358">
        <f>+H75*H76</f>
        <v>5373450.6794176493</v>
      </c>
      <c r="I77" s="628" t="str">
        <f>"Line "&amp;A75&amp;" * Line "&amp;A76&amp;" for Cols 5 and 6.  Col. 4 100% ISO."</f>
        <v>Line 351 * Line 352 for Cols 5 and 6.  Col. 4 100% ISO.</v>
      </c>
      <c r="J77" s="247"/>
    </row>
    <row r="78" spans="1:10" x14ac:dyDescent="0.2">
      <c r="A78" s="645"/>
      <c r="B78" s="720"/>
      <c r="C78" s="739" t="s">
        <v>1882</v>
      </c>
      <c r="D78" s="736"/>
      <c r="E78" s="736"/>
      <c r="F78" s="736"/>
      <c r="G78" s="736"/>
      <c r="H78" s="736"/>
      <c r="I78" s="628"/>
      <c r="J78" s="247"/>
    </row>
    <row r="79" spans="1:10" x14ac:dyDescent="0.2">
      <c r="A79" s="645"/>
      <c r="B79" s="720"/>
      <c r="C79" s="720"/>
      <c r="D79" s="736"/>
      <c r="E79" s="736"/>
      <c r="F79" s="736"/>
      <c r="G79" s="736"/>
      <c r="H79" s="736"/>
      <c r="I79" s="628"/>
      <c r="J79" s="247"/>
    </row>
    <row r="80" spans="1:10" x14ac:dyDescent="0.2">
      <c r="A80" s="645">
        <f>+A77+1</f>
        <v>354</v>
      </c>
      <c r="B80" s="720"/>
      <c r="C80" s="720" t="s">
        <v>1826</v>
      </c>
      <c r="D80" s="740">
        <v>1874083531</v>
      </c>
      <c r="E80" s="741" t="str">
        <f>"Must match amount on Line "&amp;A75&amp;", Col. 2"</f>
        <v>Must match amount on Line 351, Col. 2</v>
      </c>
      <c r="G80" s="736"/>
      <c r="H80" s="736"/>
      <c r="I80" s="628" t="s">
        <v>1383</v>
      </c>
      <c r="J80" s="247"/>
    </row>
    <row r="81" spans="1:10" x14ac:dyDescent="0.2">
      <c r="A81" s="679"/>
      <c r="B81" s="720"/>
      <c r="C81" s="720"/>
      <c r="D81" s="742"/>
      <c r="E81" s="742"/>
      <c r="F81" s="742"/>
      <c r="G81" s="742"/>
      <c r="H81" s="742"/>
      <c r="I81" s="629"/>
      <c r="J81" s="247"/>
    </row>
    <row r="82" spans="1:10" x14ac:dyDescent="0.2">
      <c r="A82" s="548"/>
      <c r="B82" s="719" t="s">
        <v>1827</v>
      </c>
      <c r="C82" s="743"/>
      <c r="D82" s="742"/>
      <c r="E82" s="247"/>
      <c r="F82" s="247"/>
      <c r="G82" s="247"/>
      <c r="H82" s="247"/>
      <c r="I82" s="247"/>
      <c r="J82" s="247"/>
    </row>
    <row r="83" spans="1:10" x14ac:dyDescent="0.2">
      <c r="A83" s="548"/>
      <c r="C83" s="90" t="s">
        <v>396</v>
      </c>
      <c r="D83" s="90" t="s">
        <v>380</v>
      </c>
      <c r="E83" s="90" t="s">
        <v>381</v>
      </c>
      <c r="F83" s="90" t="s">
        <v>382</v>
      </c>
      <c r="G83" s="90" t="s">
        <v>383</v>
      </c>
      <c r="H83" s="90" t="s">
        <v>384</v>
      </c>
      <c r="I83" s="90" t="s">
        <v>385</v>
      </c>
      <c r="J83" s="247"/>
    </row>
    <row r="84" spans="1:10" x14ac:dyDescent="0.2">
      <c r="A84" s="548"/>
      <c r="B84" s="723"/>
      <c r="C84" s="723"/>
      <c r="D84" s="723" t="s">
        <v>1810</v>
      </c>
      <c r="E84" s="723" t="s">
        <v>1811</v>
      </c>
      <c r="F84" s="723"/>
      <c r="G84" s="723"/>
      <c r="H84" s="723" t="s">
        <v>1445</v>
      </c>
      <c r="I84" s="1154" t="s">
        <v>2340</v>
      </c>
      <c r="J84" s="247"/>
    </row>
    <row r="85" spans="1:10" x14ac:dyDescent="0.2">
      <c r="A85" s="548"/>
      <c r="B85" s="726" t="s">
        <v>1828</v>
      </c>
      <c r="C85" s="726" t="s">
        <v>1813</v>
      </c>
      <c r="D85" s="726" t="s">
        <v>1814</v>
      </c>
      <c r="E85" s="726" t="s">
        <v>1815</v>
      </c>
      <c r="F85" s="726" t="s">
        <v>1816</v>
      </c>
      <c r="G85" s="726" t="s">
        <v>1817</v>
      </c>
      <c r="H85" s="726" t="s">
        <v>1804</v>
      </c>
      <c r="I85" s="726" t="s">
        <v>113</v>
      </c>
      <c r="J85" s="247"/>
    </row>
    <row r="86" spans="1:10" x14ac:dyDescent="0.2">
      <c r="A86" s="203">
        <v>400</v>
      </c>
      <c r="B86" s="878">
        <v>282</v>
      </c>
      <c r="C86" s="879" t="s">
        <v>2737</v>
      </c>
      <c r="D86" s="880">
        <v>-646975674.62423754</v>
      </c>
      <c r="E86" s="875"/>
      <c r="F86" s="875">
        <v>-646975674.62423754</v>
      </c>
      <c r="G86" s="875"/>
      <c r="H86" s="875"/>
      <c r="I86" s="876" t="s">
        <v>2738</v>
      </c>
      <c r="J86" s="876"/>
    </row>
    <row r="87" spans="1:10" x14ac:dyDescent="0.2">
      <c r="A87" s="203">
        <f t="shared" ref="A87:A95" si="7">A86+1</f>
        <v>401</v>
      </c>
      <c r="B87" s="878">
        <v>282</v>
      </c>
      <c r="C87" s="879" t="s">
        <v>2739</v>
      </c>
      <c r="D87" s="880">
        <v>-406938812.09741378</v>
      </c>
      <c r="E87" s="875">
        <v>-406938812.09741378</v>
      </c>
      <c r="F87" s="875"/>
      <c r="G87" s="875"/>
      <c r="H87" s="875"/>
      <c r="I87" s="876" t="s">
        <v>1875</v>
      </c>
      <c r="J87" s="876"/>
    </row>
    <row r="88" spans="1:10" x14ac:dyDescent="0.2">
      <c r="A88" s="203">
        <f t="shared" si="7"/>
        <v>402</v>
      </c>
      <c r="B88" s="878">
        <v>282</v>
      </c>
      <c r="C88" s="881" t="s">
        <v>2740</v>
      </c>
      <c r="D88" s="880">
        <v>1092181</v>
      </c>
      <c r="E88" s="875"/>
      <c r="F88" s="875">
        <v>1092181</v>
      </c>
      <c r="G88" s="875"/>
      <c r="H88" s="875"/>
      <c r="I88" s="876" t="s">
        <v>2738</v>
      </c>
      <c r="J88" s="876"/>
    </row>
    <row r="89" spans="1:10" x14ac:dyDescent="0.2">
      <c r="A89" s="203">
        <f t="shared" si="7"/>
        <v>403</v>
      </c>
      <c r="B89" s="878">
        <v>282</v>
      </c>
      <c r="C89" s="879" t="s">
        <v>2741</v>
      </c>
      <c r="D89" s="880">
        <v>0</v>
      </c>
      <c r="E89" s="875"/>
      <c r="F89" s="875"/>
      <c r="G89" s="875">
        <v>0</v>
      </c>
      <c r="H89" s="875"/>
      <c r="I89" s="876" t="s">
        <v>1820</v>
      </c>
      <c r="J89" s="876"/>
    </row>
    <row r="90" spans="1:10" x14ac:dyDescent="0.2">
      <c r="A90" s="203">
        <f t="shared" si="7"/>
        <v>404</v>
      </c>
      <c r="B90" s="878">
        <v>282</v>
      </c>
      <c r="C90" s="879" t="s">
        <v>2742</v>
      </c>
      <c r="D90" s="880">
        <v>-27717767</v>
      </c>
      <c r="E90" s="875"/>
      <c r="F90" s="875">
        <v>-27717767</v>
      </c>
      <c r="G90" s="875"/>
      <c r="H90" s="875"/>
      <c r="I90" s="876" t="s">
        <v>2738</v>
      </c>
      <c r="J90" s="876"/>
    </row>
    <row r="91" spans="1:10" x14ac:dyDescent="0.2">
      <c r="A91" s="203">
        <f t="shared" si="7"/>
        <v>405</v>
      </c>
      <c r="B91" s="878">
        <v>282</v>
      </c>
      <c r="C91" s="879" t="s">
        <v>2743</v>
      </c>
      <c r="D91" s="880">
        <v>0</v>
      </c>
      <c r="E91" s="875"/>
      <c r="F91" s="875">
        <v>0</v>
      </c>
      <c r="G91" s="875"/>
      <c r="H91" s="875"/>
      <c r="I91" s="876" t="s">
        <v>2738</v>
      </c>
      <c r="J91" s="876"/>
    </row>
    <row r="92" spans="1:10" x14ac:dyDescent="0.2">
      <c r="A92" s="203">
        <f t="shared" si="7"/>
        <v>406</v>
      </c>
      <c r="B92" s="878">
        <v>282</v>
      </c>
      <c r="C92" s="879" t="s">
        <v>2744</v>
      </c>
      <c r="D92" s="880">
        <v>0</v>
      </c>
      <c r="E92" s="875"/>
      <c r="F92" s="875"/>
      <c r="G92" s="875">
        <v>0</v>
      </c>
      <c r="H92" s="875"/>
      <c r="I92" s="876" t="s">
        <v>1820</v>
      </c>
      <c r="J92" s="876"/>
    </row>
    <row r="93" spans="1:10" x14ac:dyDescent="0.2">
      <c r="A93" s="203">
        <f t="shared" si="7"/>
        <v>407</v>
      </c>
      <c r="B93" s="878">
        <v>282</v>
      </c>
      <c r="C93" s="879" t="s">
        <v>2729</v>
      </c>
      <c r="D93" s="880">
        <v>-5041544537</v>
      </c>
      <c r="E93" s="875">
        <v>-5041544537</v>
      </c>
      <c r="F93" s="875"/>
      <c r="G93" s="875"/>
      <c r="H93" s="875"/>
      <c r="I93" s="876" t="s">
        <v>1875</v>
      </c>
      <c r="J93" s="876"/>
    </row>
    <row r="94" spans="1:10" x14ac:dyDescent="0.2">
      <c r="A94" s="203">
        <f t="shared" si="7"/>
        <v>408</v>
      </c>
      <c r="B94" s="882">
        <v>282</v>
      </c>
      <c r="C94" s="879" t="s">
        <v>2745</v>
      </c>
      <c r="D94" s="740">
        <v>-179541132</v>
      </c>
      <c r="E94" s="875">
        <v>-179541132</v>
      </c>
      <c r="F94" s="875"/>
      <c r="G94" s="875"/>
      <c r="H94" s="875"/>
      <c r="I94" s="876" t="s">
        <v>2746</v>
      </c>
      <c r="J94" s="876"/>
    </row>
    <row r="95" spans="1:10" x14ac:dyDescent="0.2">
      <c r="A95" s="203">
        <f t="shared" si="7"/>
        <v>409</v>
      </c>
      <c r="B95" s="630" t="s">
        <v>567</v>
      </c>
      <c r="C95" s="558"/>
      <c r="D95" s="740"/>
      <c r="E95" s="252"/>
      <c r="F95" s="252"/>
      <c r="G95" s="252"/>
      <c r="H95" s="252"/>
      <c r="I95" s="447"/>
      <c r="J95" s="447"/>
    </row>
    <row r="96" spans="1:10" x14ac:dyDescent="0.2">
      <c r="A96" s="679"/>
      <c r="B96" s="631"/>
      <c r="C96" s="550"/>
      <c r="D96" s="744"/>
      <c r="E96" s="251"/>
      <c r="F96" s="251"/>
      <c r="G96" s="251"/>
      <c r="H96" s="251"/>
      <c r="I96" s="257"/>
      <c r="J96" s="257"/>
    </row>
    <row r="97" spans="1:10" x14ac:dyDescent="0.2">
      <c r="A97" s="679"/>
      <c r="B97" s="631"/>
      <c r="C97" s="90" t="s">
        <v>396</v>
      </c>
      <c r="D97" s="90" t="s">
        <v>380</v>
      </c>
      <c r="E97" s="90" t="s">
        <v>381</v>
      </c>
      <c r="F97" s="90" t="s">
        <v>382</v>
      </c>
      <c r="G97" s="90" t="s">
        <v>383</v>
      </c>
      <c r="H97" s="90" t="s">
        <v>384</v>
      </c>
      <c r="I97" s="394" t="s">
        <v>200</v>
      </c>
      <c r="J97" s="257"/>
    </row>
    <row r="98" spans="1:10" x14ac:dyDescent="0.2">
      <c r="A98" s="117">
        <v>450</v>
      </c>
      <c r="B98" s="549"/>
      <c r="C98" s="548" t="s">
        <v>1877</v>
      </c>
      <c r="D98" s="736">
        <f>SUM(D86:D95)</f>
        <v>-6301625741.7216511</v>
      </c>
      <c r="E98" s="736">
        <f>SUM(E86:E95)</f>
        <v>-5628024481.097414</v>
      </c>
      <c r="F98" s="736">
        <f>SUM(F86:F95)</f>
        <v>-673601260.62423754</v>
      </c>
      <c r="G98" s="736">
        <f>SUM(G86:G95)</f>
        <v>0</v>
      </c>
      <c r="H98" s="736">
        <f>SUM(H86:H95)</f>
        <v>0</v>
      </c>
      <c r="I98" s="266" t="str">
        <f>"Sum of Above Lines beginning on Line "&amp;A86&amp;""</f>
        <v>Sum of Above Lines beginning on Line 400</v>
      </c>
      <c r="J98" s="247"/>
    </row>
    <row r="99" spans="1:10" x14ac:dyDescent="0.2">
      <c r="A99" s="645">
        <f>+A98+1</f>
        <v>451</v>
      </c>
      <c r="B99" s="720"/>
      <c r="C99" s="720" t="s">
        <v>1879</v>
      </c>
      <c r="D99" s="736"/>
      <c r="E99" s="736"/>
      <c r="F99" s="736"/>
      <c r="G99" s="1359">
        <f>'27-Allocators'!$G$28</f>
        <v>0.10972259682913496</v>
      </c>
      <c r="H99" s="1359">
        <f>'27-Allocators'!$G$15</f>
        <v>3.7193704666678068E-2</v>
      </c>
      <c r="I99" s="886" t="str">
        <f>"27-Allocators Lines "&amp;'27-Allocators'!A28&amp;" and "&amp;'27-Allocators'!A15&amp;" respectively."</f>
        <v>27-Allocators Lines 22 and 9 respectively.</v>
      </c>
      <c r="J99" s="247"/>
    </row>
    <row r="100" spans="1:10" x14ac:dyDescent="0.2">
      <c r="A100" s="645">
        <f>+A99+1</f>
        <v>452</v>
      </c>
      <c r="B100" s="720"/>
      <c r="C100" s="720" t="s">
        <v>1881</v>
      </c>
      <c r="D100" s="736">
        <f>SUM(F100:H100)</f>
        <v>-673601260.62423754</v>
      </c>
      <c r="E100" s="736"/>
      <c r="F100" s="738">
        <f>+F98</f>
        <v>-673601260.62423754</v>
      </c>
      <c r="G100" s="736">
        <f>+G98*G99</f>
        <v>0</v>
      </c>
      <c r="H100" s="736">
        <f>+H98*H99</f>
        <v>0</v>
      </c>
      <c r="I100" s="628" t="str">
        <f>"Line "&amp;A98&amp;" * Line "&amp;A99&amp;" for Cols 5 and 6.  Col. 4 100% ISO."</f>
        <v>Line 450 * Line 451 for Cols 5 and 6.  Col. 4 100% ISO.</v>
      </c>
      <c r="J100" s="247"/>
    </row>
    <row r="101" spans="1:10" x14ac:dyDescent="0.2">
      <c r="A101" s="645"/>
      <c r="B101" s="720"/>
      <c r="C101" s="739" t="s">
        <v>1882</v>
      </c>
      <c r="D101" s="736"/>
      <c r="E101" s="736"/>
      <c r="F101" s="736"/>
      <c r="G101" s="736"/>
      <c r="H101" s="736"/>
      <c r="I101" s="628"/>
      <c r="J101" s="247"/>
    </row>
    <row r="102" spans="1:10" x14ac:dyDescent="0.2">
      <c r="A102" s="117"/>
      <c r="B102" s="549"/>
      <c r="C102" s="548"/>
      <c r="D102" s="736"/>
      <c r="E102" s="736"/>
      <c r="F102" s="736"/>
      <c r="G102" s="736"/>
      <c r="H102" s="736"/>
      <c r="I102" s="266"/>
      <c r="J102" s="247"/>
    </row>
    <row r="103" spans="1:10" x14ac:dyDescent="0.2">
      <c r="A103" s="117">
        <f>+A100+1</f>
        <v>453</v>
      </c>
      <c r="B103" s="549"/>
      <c r="C103" s="720" t="s">
        <v>1829</v>
      </c>
      <c r="D103" s="740">
        <v>6301625743</v>
      </c>
      <c r="E103" s="741" t="str">
        <f>"Must match amount on Line "&amp;A98&amp;", Col. 2"</f>
        <v>Must match amount on Line 450, Col. 2</v>
      </c>
      <c r="F103" s="736"/>
      <c r="G103" s="736"/>
      <c r="H103" s="736"/>
      <c r="I103" s="266" t="s">
        <v>1830</v>
      </c>
      <c r="J103" s="247"/>
    </row>
    <row r="104" spans="1:10" x14ac:dyDescent="0.2">
      <c r="A104" s="679"/>
      <c r="B104" s="549"/>
      <c r="C104" s="548"/>
      <c r="D104" s="736"/>
      <c r="E104" s="736"/>
      <c r="F104" s="736"/>
      <c r="G104" s="736"/>
      <c r="H104" s="736"/>
      <c r="I104" s="266"/>
      <c r="J104" s="247"/>
    </row>
    <row r="105" spans="1:10" x14ac:dyDescent="0.2">
      <c r="A105" s="679"/>
      <c r="B105" s="549"/>
      <c r="C105" s="548"/>
      <c r="D105" s="736"/>
      <c r="E105" s="736"/>
      <c r="F105" s="736"/>
      <c r="G105" s="736"/>
      <c r="H105" s="736"/>
      <c r="I105" s="629"/>
      <c r="J105" s="247"/>
    </row>
    <row r="106" spans="1:10" x14ac:dyDescent="0.2">
      <c r="A106" s="548"/>
      <c r="B106" s="719" t="s">
        <v>1831</v>
      </c>
      <c r="C106" s="745"/>
      <c r="D106" s="736"/>
      <c r="E106" s="249"/>
      <c r="F106" s="249"/>
      <c r="G106" s="249"/>
      <c r="H106" s="249"/>
      <c r="I106" s="247"/>
      <c r="J106" s="247"/>
    </row>
    <row r="107" spans="1:10" x14ac:dyDescent="0.2">
      <c r="A107" s="548"/>
      <c r="B107" s="719"/>
      <c r="C107" s="90" t="s">
        <v>396</v>
      </c>
      <c r="D107" s="90" t="s">
        <v>380</v>
      </c>
      <c r="E107" s="90" t="s">
        <v>381</v>
      </c>
      <c r="F107" s="90" t="s">
        <v>382</v>
      </c>
      <c r="G107" s="90" t="s">
        <v>383</v>
      </c>
      <c r="H107" s="90" t="s">
        <v>384</v>
      </c>
      <c r="I107" s="90" t="s">
        <v>385</v>
      </c>
      <c r="J107" s="247"/>
    </row>
    <row r="108" spans="1:10" x14ac:dyDescent="0.2">
      <c r="A108" s="548"/>
      <c r="B108" s="723"/>
      <c r="C108" s="723"/>
      <c r="D108" s="746" t="s">
        <v>1810</v>
      </c>
      <c r="E108" s="746" t="s">
        <v>1811</v>
      </c>
      <c r="F108" s="746"/>
      <c r="G108" s="746"/>
      <c r="H108" s="746" t="s">
        <v>1445</v>
      </c>
      <c r="I108" s="1154" t="s">
        <v>2340</v>
      </c>
      <c r="J108" s="247"/>
    </row>
    <row r="109" spans="1:10" x14ac:dyDescent="0.2">
      <c r="A109" s="548"/>
      <c r="B109" s="726" t="s">
        <v>1832</v>
      </c>
      <c r="C109" s="726" t="s">
        <v>1813</v>
      </c>
      <c r="D109" s="747" t="s">
        <v>1814</v>
      </c>
      <c r="E109" s="747" t="s">
        <v>1815</v>
      </c>
      <c r="F109" s="747" t="s">
        <v>1816</v>
      </c>
      <c r="G109" s="747" t="s">
        <v>1817</v>
      </c>
      <c r="H109" s="747" t="s">
        <v>1804</v>
      </c>
      <c r="I109" s="726" t="s">
        <v>113</v>
      </c>
      <c r="J109" s="247"/>
    </row>
    <row r="110" spans="1:10" x14ac:dyDescent="0.2">
      <c r="A110" s="679"/>
      <c r="B110" s="720" t="s">
        <v>1819</v>
      </c>
      <c r="C110" s="247"/>
      <c r="D110" s="249"/>
      <c r="E110" s="249"/>
      <c r="F110" s="249"/>
      <c r="G110" s="249"/>
      <c r="H110" s="249"/>
      <c r="I110" s="247"/>
      <c r="J110" s="247"/>
    </row>
    <row r="111" spans="1:10" x14ac:dyDescent="0.2">
      <c r="A111" s="203">
        <v>500</v>
      </c>
      <c r="B111" s="883">
        <v>283</v>
      </c>
      <c r="C111" s="881" t="s">
        <v>2747</v>
      </c>
      <c r="D111" s="884">
        <v>0</v>
      </c>
      <c r="E111" s="875">
        <v>0</v>
      </c>
      <c r="F111" s="875">
        <v>0</v>
      </c>
      <c r="G111" s="875"/>
      <c r="H111" s="875"/>
      <c r="I111" s="876" t="s">
        <v>2343</v>
      </c>
      <c r="J111" s="447"/>
    </row>
    <row r="112" spans="1:10" x14ac:dyDescent="0.2">
      <c r="A112" s="203">
        <f t="shared" ref="A112:A123" si="8">A111+1</f>
        <v>501</v>
      </c>
      <c r="B112" s="883">
        <v>283</v>
      </c>
      <c r="C112" s="881" t="s">
        <v>2748</v>
      </c>
      <c r="D112" s="884">
        <v>0</v>
      </c>
      <c r="E112" s="875"/>
      <c r="F112" s="875"/>
      <c r="G112" s="875"/>
      <c r="H112" s="875">
        <v>0</v>
      </c>
      <c r="I112" s="876" t="s">
        <v>2342</v>
      </c>
      <c r="J112" s="447"/>
    </row>
    <row r="113" spans="1:10" x14ac:dyDescent="0.2">
      <c r="A113" s="203">
        <f t="shared" si="8"/>
        <v>502</v>
      </c>
      <c r="B113" s="883">
        <v>283</v>
      </c>
      <c r="C113" s="881" t="s">
        <v>2749</v>
      </c>
      <c r="D113" s="884">
        <v>-65538802</v>
      </c>
      <c r="E113" s="875"/>
      <c r="F113" s="875"/>
      <c r="G113" s="875">
        <v>-65538802</v>
      </c>
      <c r="H113" s="875"/>
      <c r="I113" s="876" t="s">
        <v>1820</v>
      </c>
      <c r="J113" s="447"/>
    </row>
    <row r="114" spans="1:10" x14ac:dyDescent="0.2">
      <c r="A114" s="203">
        <f t="shared" si="8"/>
        <v>503</v>
      </c>
      <c r="B114" s="883">
        <v>283</v>
      </c>
      <c r="C114" s="881" t="s">
        <v>2750</v>
      </c>
      <c r="D114" s="884">
        <v>1637372</v>
      </c>
      <c r="E114" s="875">
        <f>$G$193*D114</f>
        <v>1321.7330826517612</v>
      </c>
      <c r="F114" s="875"/>
      <c r="G114" s="875">
        <f t="shared" ref="G114:G116" si="9">D114-E114</f>
        <v>1636050.2669173481</v>
      </c>
      <c r="H114" s="875"/>
      <c r="I114" s="876" t="s">
        <v>2341</v>
      </c>
      <c r="J114" s="447"/>
    </row>
    <row r="115" spans="1:10" x14ac:dyDescent="0.2">
      <c r="A115" s="203">
        <f t="shared" si="8"/>
        <v>504</v>
      </c>
      <c r="B115" s="883">
        <v>283</v>
      </c>
      <c r="C115" s="881" t="s">
        <v>2751</v>
      </c>
      <c r="D115" s="884">
        <v>-78420269</v>
      </c>
      <c r="E115" s="875">
        <f>$G$193*D115</f>
        <v>-63303.063621309229</v>
      </c>
      <c r="F115" s="875"/>
      <c r="G115" s="875">
        <f t="shared" si="9"/>
        <v>-78356965.936378688</v>
      </c>
      <c r="H115" s="875"/>
      <c r="I115" s="876" t="s">
        <v>2341</v>
      </c>
      <c r="J115" s="447"/>
    </row>
    <row r="116" spans="1:10" x14ac:dyDescent="0.2">
      <c r="A116" s="203">
        <f t="shared" si="8"/>
        <v>505</v>
      </c>
      <c r="B116" s="883">
        <v>283</v>
      </c>
      <c r="C116" s="881" t="s">
        <v>2724</v>
      </c>
      <c r="D116" s="884">
        <v>393450</v>
      </c>
      <c r="E116" s="875">
        <f>$G$193*D116</f>
        <v>317.60399064435899</v>
      </c>
      <c r="F116" s="875"/>
      <c r="G116" s="875">
        <f t="shared" si="9"/>
        <v>393132.39600935567</v>
      </c>
      <c r="H116" s="875"/>
      <c r="I116" s="876" t="s">
        <v>2341</v>
      </c>
      <c r="J116" s="447"/>
    </row>
    <row r="117" spans="1:10" x14ac:dyDescent="0.2">
      <c r="A117" s="203">
        <f t="shared" si="8"/>
        <v>506</v>
      </c>
      <c r="B117" s="883">
        <v>283</v>
      </c>
      <c r="C117" s="881" t="s">
        <v>2726</v>
      </c>
      <c r="D117" s="884">
        <v>-80060843</v>
      </c>
      <c r="E117" s="875">
        <v>-80060843</v>
      </c>
      <c r="F117" s="875"/>
      <c r="G117" s="875"/>
      <c r="H117" s="875"/>
      <c r="I117" s="876" t="s">
        <v>1874</v>
      </c>
      <c r="J117" s="447"/>
    </row>
    <row r="118" spans="1:10" x14ac:dyDescent="0.2">
      <c r="A118" s="203">
        <f t="shared" si="8"/>
        <v>507</v>
      </c>
      <c r="B118" s="883">
        <v>283</v>
      </c>
      <c r="C118" s="881" t="s">
        <v>2752</v>
      </c>
      <c r="D118" s="884">
        <v>-205974125</v>
      </c>
      <c r="E118" s="875">
        <v>-205974125</v>
      </c>
      <c r="F118" s="875"/>
      <c r="G118" s="875"/>
      <c r="H118" s="875"/>
      <c r="I118" s="876" t="s">
        <v>2753</v>
      </c>
      <c r="J118" s="447"/>
    </row>
    <row r="119" spans="1:10" x14ac:dyDescent="0.2">
      <c r="A119" s="203">
        <f t="shared" si="8"/>
        <v>508</v>
      </c>
      <c r="B119" s="883">
        <v>283</v>
      </c>
      <c r="C119" s="881" t="s">
        <v>2725</v>
      </c>
      <c r="D119" s="884">
        <v>-552075797</v>
      </c>
      <c r="E119" s="875">
        <v>-552075797</v>
      </c>
      <c r="F119" s="875"/>
      <c r="G119" s="875"/>
      <c r="H119" s="875"/>
      <c r="I119" s="876" t="s">
        <v>1876</v>
      </c>
      <c r="J119" s="447"/>
    </row>
    <row r="120" spans="1:10" x14ac:dyDescent="0.2">
      <c r="A120" s="203">
        <f t="shared" si="8"/>
        <v>509</v>
      </c>
      <c r="B120" s="883">
        <v>283</v>
      </c>
      <c r="C120" s="881" t="s">
        <v>2729</v>
      </c>
      <c r="D120" s="884">
        <v>-136937441</v>
      </c>
      <c r="E120" s="875">
        <v>-136937441</v>
      </c>
      <c r="F120" s="875"/>
      <c r="G120" s="875"/>
      <c r="H120" s="875"/>
      <c r="I120" s="876" t="s">
        <v>1875</v>
      </c>
      <c r="J120" s="447"/>
    </row>
    <row r="121" spans="1:10" x14ac:dyDescent="0.2">
      <c r="A121" s="203">
        <f t="shared" si="8"/>
        <v>510</v>
      </c>
      <c r="B121" s="883">
        <v>283</v>
      </c>
      <c r="C121" s="881" t="s">
        <v>2754</v>
      </c>
      <c r="D121" s="884">
        <v>-317037031</v>
      </c>
      <c r="E121" s="875">
        <v>-317037031</v>
      </c>
      <c r="F121" s="875"/>
      <c r="G121" s="875"/>
      <c r="H121" s="875"/>
      <c r="I121" s="876" t="s">
        <v>2746</v>
      </c>
      <c r="J121" s="447"/>
    </row>
    <row r="122" spans="1:10" x14ac:dyDescent="0.2">
      <c r="A122" s="203">
        <f t="shared" si="8"/>
        <v>511</v>
      </c>
      <c r="B122" s="883">
        <v>283</v>
      </c>
      <c r="C122" s="881" t="s">
        <v>2730</v>
      </c>
      <c r="D122" s="884">
        <v>51838280</v>
      </c>
      <c r="E122" s="875">
        <v>51838280</v>
      </c>
      <c r="F122" s="875"/>
      <c r="G122" s="875"/>
      <c r="H122" s="875"/>
      <c r="I122" s="876" t="s">
        <v>1874</v>
      </c>
      <c r="J122" s="447"/>
    </row>
    <row r="123" spans="1:10" x14ac:dyDescent="0.2">
      <c r="A123" s="203">
        <f t="shared" si="8"/>
        <v>512</v>
      </c>
      <c r="B123" s="883">
        <v>283</v>
      </c>
      <c r="C123" s="881" t="s">
        <v>2731</v>
      </c>
      <c r="D123" s="884">
        <v>-705837928</v>
      </c>
      <c r="E123" s="875">
        <v>-705837928</v>
      </c>
      <c r="F123" s="875"/>
      <c r="G123" s="875"/>
      <c r="H123" s="875"/>
      <c r="I123" s="876" t="s">
        <v>1875</v>
      </c>
      <c r="J123" s="447"/>
    </row>
    <row r="124" spans="1:10" x14ac:dyDescent="0.2">
      <c r="A124" s="117"/>
      <c r="B124" s="635"/>
      <c r="C124" s="636"/>
      <c r="D124" s="637"/>
      <c r="E124" s="251"/>
      <c r="F124" s="251"/>
      <c r="G124" s="251"/>
      <c r="H124" s="251"/>
      <c r="I124" s="257"/>
      <c r="J124" s="257"/>
    </row>
    <row r="125" spans="1:10" x14ac:dyDescent="0.2">
      <c r="A125" s="117"/>
      <c r="B125" s="719" t="s">
        <v>1833</v>
      </c>
      <c r="C125" s="745"/>
      <c r="D125" s="736"/>
      <c r="E125" s="249"/>
      <c r="F125" s="249"/>
      <c r="G125" s="249"/>
      <c r="H125" s="249"/>
      <c r="I125" s="247"/>
      <c r="J125" s="257"/>
    </row>
    <row r="126" spans="1:10" x14ac:dyDescent="0.2">
      <c r="A126" s="117"/>
      <c r="B126" s="719"/>
      <c r="C126" s="90" t="s">
        <v>396</v>
      </c>
      <c r="D126" s="90" t="s">
        <v>380</v>
      </c>
      <c r="E126" s="90" t="s">
        <v>381</v>
      </c>
      <c r="F126" s="90" t="s">
        <v>382</v>
      </c>
      <c r="G126" s="90" t="s">
        <v>383</v>
      </c>
      <c r="H126" s="90" t="s">
        <v>384</v>
      </c>
      <c r="I126" s="90" t="s">
        <v>385</v>
      </c>
      <c r="J126" s="257"/>
    </row>
    <row r="127" spans="1:10" x14ac:dyDescent="0.2">
      <c r="A127" s="117"/>
      <c r="B127" s="723"/>
      <c r="C127" s="723"/>
      <c r="D127" s="746" t="s">
        <v>1810</v>
      </c>
      <c r="E127" s="746" t="s">
        <v>1811</v>
      </c>
      <c r="F127" s="746"/>
      <c r="G127" s="746"/>
      <c r="H127" s="746" t="s">
        <v>1445</v>
      </c>
      <c r="I127" s="1154" t="s">
        <v>2340</v>
      </c>
      <c r="J127" s="257"/>
    </row>
    <row r="128" spans="1:10" x14ac:dyDescent="0.2">
      <c r="A128" s="117"/>
      <c r="B128" s="726" t="s">
        <v>1832</v>
      </c>
      <c r="C128" s="726" t="s">
        <v>1813</v>
      </c>
      <c r="D128" s="747" t="s">
        <v>1814</v>
      </c>
      <c r="E128" s="747" t="s">
        <v>1815</v>
      </c>
      <c r="F128" s="747" t="s">
        <v>1816</v>
      </c>
      <c r="G128" s="747" t="s">
        <v>1817</v>
      </c>
      <c r="H128" s="747" t="s">
        <v>1804</v>
      </c>
      <c r="I128" s="726" t="s">
        <v>113</v>
      </c>
      <c r="J128" s="257"/>
    </row>
    <row r="129" spans="1:10" x14ac:dyDescent="0.2">
      <c r="A129" s="117"/>
      <c r="B129" s="720" t="s">
        <v>1834</v>
      </c>
      <c r="C129" s="723"/>
      <c r="D129" s="746"/>
      <c r="E129" s="746"/>
      <c r="F129" s="746"/>
      <c r="G129" s="746"/>
      <c r="H129" s="746"/>
      <c r="I129" s="723"/>
      <c r="J129" s="257"/>
    </row>
    <row r="130" spans="1:10" x14ac:dyDescent="0.2">
      <c r="A130" s="203">
        <f>A123+1</f>
        <v>513</v>
      </c>
      <c r="B130" s="632" t="s">
        <v>567</v>
      </c>
      <c r="C130" s="633"/>
      <c r="D130" s="634"/>
      <c r="E130" s="252"/>
      <c r="F130" s="252"/>
      <c r="G130" s="252"/>
      <c r="H130" s="252"/>
      <c r="I130" s="447"/>
      <c r="J130" s="447"/>
    </row>
    <row r="131" spans="1:10" x14ac:dyDescent="0.2">
      <c r="A131" s="117"/>
      <c r="B131" s="638"/>
      <c r="C131" s="639"/>
      <c r="D131" s="551"/>
      <c r="E131" s="251"/>
      <c r="F131" s="251"/>
      <c r="G131" s="251"/>
      <c r="H131" s="251"/>
      <c r="I131" s="257"/>
      <c r="J131" s="257"/>
    </row>
    <row r="132" spans="1:10" x14ac:dyDescent="0.2">
      <c r="A132" s="117">
        <v>650</v>
      </c>
      <c r="B132" s="639"/>
      <c r="C132" s="639" t="s">
        <v>1835</v>
      </c>
      <c r="D132" s="551">
        <f>SUM(D111:D123)+SUM(D130:D130)</f>
        <v>-2088013134</v>
      </c>
      <c r="E132" s="551">
        <f>SUM(E111:E123)+SUM(E130:E130)</f>
        <v>-1946146548.726548</v>
      </c>
      <c r="F132" s="551">
        <f>SUM(F111:F123)+SUM(F130:F130)</f>
        <v>0</v>
      </c>
      <c r="G132" s="551">
        <f>SUM(G111:G123)+SUM(G130:G130)</f>
        <v>-141866585.27345198</v>
      </c>
      <c r="H132" s="551">
        <f>SUM(H111:H123)+SUM(H130:H130)</f>
        <v>0</v>
      </c>
      <c r="I132" s="266" t="str">
        <f>"Sum of Above Lines beginning on Line "&amp;A111&amp;""</f>
        <v>Sum of Above Lines beginning on Line 500</v>
      </c>
      <c r="J132" s="247"/>
    </row>
    <row r="133" spans="1:10" x14ac:dyDescent="0.2">
      <c r="A133" s="117"/>
      <c r="B133" s="639"/>
      <c r="C133" s="639"/>
      <c r="D133" s="551"/>
      <c r="E133" s="551"/>
      <c r="F133" s="551"/>
      <c r="G133" s="551"/>
      <c r="H133" s="551"/>
      <c r="I133" s="629"/>
      <c r="J133" s="247"/>
    </row>
    <row r="134" spans="1:10" x14ac:dyDescent="0.2">
      <c r="A134" s="679"/>
      <c r="B134" s="731" t="s">
        <v>2010</v>
      </c>
      <c r="C134" s="639"/>
      <c r="D134" s="551"/>
      <c r="E134" s="249"/>
      <c r="F134" s="249"/>
      <c r="G134" s="249"/>
      <c r="H134" s="249"/>
      <c r="I134" s="1154" t="s">
        <v>2340</v>
      </c>
      <c r="J134" s="247"/>
    </row>
    <row r="135" spans="1:10" x14ac:dyDescent="0.2">
      <c r="A135" s="679"/>
      <c r="C135" s="90" t="s">
        <v>396</v>
      </c>
      <c r="D135" s="90" t="s">
        <v>380</v>
      </c>
      <c r="E135" s="90" t="s">
        <v>381</v>
      </c>
      <c r="F135" s="90" t="s">
        <v>382</v>
      </c>
      <c r="G135" s="90" t="s">
        <v>383</v>
      </c>
      <c r="H135" s="90" t="s">
        <v>384</v>
      </c>
      <c r="I135" s="90" t="s">
        <v>385</v>
      </c>
      <c r="J135" s="247"/>
    </row>
    <row r="136" spans="1:10" x14ac:dyDescent="0.2">
      <c r="A136" s="203">
        <v>700</v>
      </c>
      <c r="B136" s="883">
        <v>283</v>
      </c>
      <c r="C136" s="881" t="s">
        <v>2726</v>
      </c>
      <c r="D136" s="885">
        <v>0</v>
      </c>
      <c r="E136" s="875">
        <v>0</v>
      </c>
      <c r="F136" s="875"/>
      <c r="G136" s="875"/>
      <c r="H136" s="875"/>
      <c r="I136" s="876" t="s">
        <v>2735</v>
      </c>
      <c r="J136" s="876"/>
    </row>
    <row r="137" spans="1:10" x14ac:dyDescent="0.2">
      <c r="A137" s="203">
        <f t="shared" ref="A137:A142" si="10">A136+1</f>
        <v>701</v>
      </c>
      <c r="B137" s="883">
        <v>283</v>
      </c>
      <c r="C137" s="881" t="s">
        <v>2755</v>
      </c>
      <c r="D137" s="885">
        <v>-8532622</v>
      </c>
      <c r="E137" s="875">
        <v>-8532622</v>
      </c>
      <c r="F137" s="875"/>
      <c r="G137" s="875"/>
      <c r="H137" s="875"/>
      <c r="I137" s="876" t="s">
        <v>2735</v>
      </c>
      <c r="J137" s="876"/>
    </row>
    <row r="138" spans="1:10" x14ac:dyDescent="0.2">
      <c r="A138" s="203">
        <f t="shared" si="10"/>
        <v>702</v>
      </c>
      <c r="B138" s="883">
        <v>283</v>
      </c>
      <c r="C138" s="881" t="s">
        <v>2756</v>
      </c>
      <c r="D138" s="885">
        <v>-1253548</v>
      </c>
      <c r="E138" s="875">
        <v>-1253548</v>
      </c>
      <c r="F138" s="875"/>
      <c r="G138" s="875"/>
      <c r="H138" s="875"/>
      <c r="I138" s="876" t="s">
        <v>2735</v>
      </c>
      <c r="J138" s="876"/>
    </row>
    <row r="139" spans="1:10" x14ac:dyDescent="0.2">
      <c r="A139" s="203">
        <f t="shared" si="10"/>
        <v>703</v>
      </c>
      <c r="B139" s="883">
        <v>283</v>
      </c>
      <c r="C139" s="881" t="s">
        <v>2757</v>
      </c>
      <c r="D139" s="885">
        <v>1317246</v>
      </c>
      <c r="E139" s="875">
        <v>1317246</v>
      </c>
      <c r="F139" s="875"/>
      <c r="G139" s="875"/>
      <c r="H139" s="875"/>
      <c r="I139" s="876" t="s">
        <v>2735</v>
      </c>
      <c r="J139" s="876"/>
    </row>
    <row r="140" spans="1:10" x14ac:dyDescent="0.2">
      <c r="A140" s="203">
        <f t="shared" si="10"/>
        <v>704</v>
      </c>
      <c r="B140" s="883">
        <v>283</v>
      </c>
      <c r="C140" s="881" t="s">
        <v>2736</v>
      </c>
      <c r="D140" s="885">
        <v>-595473955</v>
      </c>
      <c r="E140" s="875">
        <v>-595473955</v>
      </c>
      <c r="F140" s="875"/>
      <c r="G140" s="875"/>
      <c r="H140" s="875"/>
      <c r="I140" s="876" t="s">
        <v>2735</v>
      </c>
      <c r="J140" s="876"/>
    </row>
    <row r="141" spans="1:10" x14ac:dyDescent="0.2">
      <c r="A141" s="203">
        <f t="shared" si="10"/>
        <v>705</v>
      </c>
      <c r="B141" s="883">
        <v>283</v>
      </c>
      <c r="C141" s="881" t="s">
        <v>2758</v>
      </c>
      <c r="D141" s="885">
        <v>80032950</v>
      </c>
      <c r="E141" s="875">
        <v>80032950</v>
      </c>
      <c r="F141" s="875"/>
      <c r="G141" s="875"/>
      <c r="H141" s="875"/>
      <c r="I141" s="876" t="s">
        <v>2735</v>
      </c>
      <c r="J141" s="876"/>
    </row>
    <row r="142" spans="1:10" x14ac:dyDescent="0.2">
      <c r="A142" s="203">
        <f t="shared" si="10"/>
        <v>706</v>
      </c>
      <c r="B142" s="640" t="s">
        <v>567</v>
      </c>
      <c r="C142" s="633"/>
      <c r="D142" s="634"/>
      <c r="E142" s="252"/>
      <c r="F142" s="252"/>
      <c r="G142" s="252"/>
      <c r="H142" s="252"/>
      <c r="I142" s="447"/>
      <c r="J142" s="447"/>
    </row>
    <row r="143" spans="1:10" x14ac:dyDescent="0.2">
      <c r="A143" s="117"/>
      <c r="B143" s="635"/>
      <c r="C143" s="636"/>
      <c r="D143" s="637"/>
      <c r="E143" s="251"/>
      <c r="F143" s="251"/>
      <c r="G143" s="251"/>
      <c r="H143" s="251"/>
      <c r="I143" s="257"/>
      <c r="J143" s="257"/>
    </row>
    <row r="144" spans="1:10" x14ac:dyDescent="0.2">
      <c r="A144" s="117"/>
      <c r="B144" s="639"/>
      <c r="C144" s="90" t="s">
        <v>396</v>
      </c>
      <c r="D144" s="90" t="s">
        <v>380</v>
      </c>
      <c r="E144" s="90" t="s">
        <v>381</v>
      </c>
      <c r="F144" s="90" t="s">
        <v>382</v>
      </c>
      <c r="G144" s="90" t="s">
        <v>383</v>
      </c>
      <c r="H144" s="90" t="s">
        <v>384</v>
      </c>
      <c r="I144" s="394" t="s">
        <v>200</v>
      </c>
      <c r="J144" s="247"/>
    </row>
    <row r="145" spans="1:10" x14ac:dyDescent="0.2">
      <c r="A145" s="117">
        <v>800</v>
      </c>
      <c r="B145" s="247"/>
      <c r="C145" s="550" t="s">
        <v>1836</v>
      </c>
      <c r="D145" s="551">
        <f>SUM(D136:D142)</f>
        <v>-523909929</v>
      </c>
      <c r="E145" s="551">
        <f>SUM(E136:E142)</f>
        <v>-523909929</v>
      </c>
      <c r="F145" s="551">
        <f>SUM(F136:F142)</f>
        <v>0</v>
      </c>
      <c r="G145" s="551">
        <f>SUM(G136:G142)</f>
        <v>0</v>
      </c>
      <c r="H145" s="551">
        <f>SUM(H136:H142)</f>
        <v>0</v>
      </c>
      <c r="I145" s="266" t="str">
        <f>"Sum of Above Lines beginning on Line "&amp;A136&amp;""</f>
        <v>Sum of Above Lines beginning on Line 700</v>
      </c>
      <c r="J145" s="247"/>
    </row>
    <row r="146" spans="1:10" x14ac:dyDescent="0.2">
      <c r="A146" s="117"/>
      <c r="B146" s="247"/>
      <c r="C146" s="550"/>
      <c r="D146" s="551"/>
      <c r="E146" s="551"/>
      <c r="F146" s="551"/>
      <c r="G146" s="551"/>
      <c r="H146" s="551"/>
      <c r="I146" s="266"/>
      <c r="J146" s="247"/>
    </row>
    <row r="147" spans="1:10" x14ac:dyDescent="0.2">
      <c r="A147" s="117">
        <f>A145+1</f>
        <v>801</v>
      </c>
      <c r="B147" s="247"/>
      <c r="C147" s="550" t="s">
        <v>1837</v>
      </c>
      <c r="D147" s="551">
        <f>D132+D145</f>
        <v>-2611923063</v>
      </c>
      <c r="E147" s="551">
        <f>E132+E145</f>
        <v>-2470056477.7265482</v>
      </c>
      <c r="F147" s="551">
        <f>F132+F145</f>
        <v>0</v>
      </c>
      <c r="G147" s="551">
        <f>G132+G145</f>
        <v>-141866585.27345198</v>
      </c>
      <c r="H147" s="551">
        <f>H132+H145</f>
        <v>0</v>
      </c>
      <c r="I147" s="628" t="str">
        <f>"Line "&amp;A132&amp;" + Line "&amp;A145&amp;""</f>
        <v>Line 650 + Line 800</v>
      </c>
      <c r="J147" s="247"/>
    </row>
    <row r="148" spans="1:10" x14ac:dyDescent="0.2">
      <c r="A148" s="645">
        <f>+A147+1</f>
        <v>802</v>
      </c>
      <c r="B148" s="720"/>
      <c r="C148" s="720" t="s">
        <v>1879</v>
      </c>
      <c r="D148" s="1250"/>
      <c r="E148" s="1250"/>
      <c r="F148" s="736"/>
      <c r="G148" s="1359">
        <f>'27-Allocators'!$G$28</f>
        <v>0.10972259682913496</v>
      </c>
      <c r="H148" s="1359">
        <f>'27-Allocators'!$G$15</f>
        <v>3.7193704666678068E-2</v>
      </c>
      <c r="I148" s="886" t="str">
        <f>"27-Allocators Lines "&amp;'27-Allocators'!A28&amp;" and "&amp;'27-Allocators'!A15&amp;" respectively."</f>
        <v>27-Allocators Lines 22 and 9 respectively.</v>
      </c>
      <c r="J148" s="247"/>
    </row>
    <row r="149" spans="1:10" x14ac:dyDescent="0.2">
      <c r="A149" s="645">
        <f>+A148+1</f>
        <v>803</v>
      </c>
      <c r="B149" s="720"/>
      <c r="C149" s="720" t="s">
        <v>1883</v>
      </c>
      <c r="D149" s="736">
        <f>SUM(F149:H149)</f>
        <v>-15565970.139485067</v>
      </c>
      <c r="E149" s="736"/>
      <c r="F149" s="738">
        <f>+F147</f>
        <v>0</v>
      </c>
      <c r="G149" s="1358">
        <f>+G147*G148</f>
        <v>-15565970.139485067</v>
      </c>
      <c r="H149" s="744">
        <f>+H147*H148</f>
        <v>0</v>
      </c>
      <c r="I149" s="628" t="str">
        <f>"Line "&amp;A147&amp;" * Line "&amp;A148&amp;" for Cols 5 and 6.  Col. 4 100% ISO."</f>
        <v>Line 801 * Line 802 for Cols 5 and 6.  Col. 4 100% ISO.</v>
      </c>
      <c r="J149" s="247"/>
    </row>
    <row r="150" spans="1:10" x14ac:dyDescent="0.2">
      <c r="A150" s="117"/>
      <c r="B150" s="247"/>
      <c r="C150" s="739" t="s">
        <v>1882</v>
      </c>
      <c r="D150" s="551"/>
      <c r="E150" s="551"/>
      <c r="F150" s="551"/>
      <c r="G150" s="551"/>
      <c r="H150" s="551"/>
      <c r="I150" s="628"/>
      <c r="J150" s="249"/>
    </row>
    <row r="151" spans="1:10" x14ac:dyDescent="0.2">
      <c r="A151" s="117"/>
      <c r="B151" s="247"/>
      <c r="C151" s="550"/>
      <c r="D151" s="551"/>
      <c r="E151" s="551"/>
      <c r="F151" s="551"/>
      <c r="G151" s="551"/>
      <c r="H151" s="551"/>
      <c r="I151" s="628"/>
      <c r="J151" s="247"/>
    </row>
    <row r="152" spans="1:10" x14ac:dyDescent="0.2">
      <c r="A152" s="117">
        <f>A149+1</f>
        <v>804</v>
      </c>
      <c r="C152" s="720" t="s">
        <v>1863</v>
      </c>
      <c r="D152" s="740">
        <v>2611923063</v>
      </c>
      <c r="E152" s="741" t="str">
        <f>"Must match amount on Line "&amp;A147&amp;", Col. 2"</f>
        <v>Must match amount on Line 801, Col. 2</v>
      </c>
      <c r="F152" s="736"/>
      <c r="G152" s="736"/>
      <c r="H152" s="736"/>
      <c r="I152" s="266" t="s">
        <v>1379</v>
      </c>
    </row>
    <row r="153" spans="1:10" x14ac:dyDescent="0.2">
      <c r="A153" s="548"/>
      <c r="B153" s="648"/>
      <c r="C153" s="648"/>
      <c r="D153" s="648"/>
      <c r="E153" s="648"/>
      <c r="F153" s="648"/>
      <c r="G153" s="648"/>
      <c r="H153" s="648"/>
      <c r="I153" s="552"/>
      <c r="J153" s="648"/>
    </row>
    <row r="154" spans="1:10" x14ac:dyDescent="0.2">
      <c r="A154" s="548"/>
      <c r="B154" s="719" t="s">
        <v>1908</v>
      </c>
      <c r="C154" s="648"/>
      <c r="D154" s="648"/>
      <c r="E154" s="648"/>
      <c r="F154" s="648"/>
      <c r="G154" s="648"/>
      <c r="H154" s="648"/>
      <c r="I154" s="648"/>
      <c r="J154" s="648"/>
    </row>
    <row r="155" spans="1:10" x14ac:dyDescent="0.2">
      <c r="A155" s="548"/>
      <c r="B155" s="719"/>
      <c r="C155" s="648"/>
      <c r="D155" s="648"/>
      <c r="E155" s="648"/>
      <c r="F155" s="648"/>
      <c r="G155" s="648"/>
      <c r="H155" s="648"/>
      <c r="I155" s="648"/>
      <c r="J155" s="648"/>
    </row>
    <row r="156" spans="1:10" x14ac:dyDescent="0.2">
      <c r="A156" s="117"/>
      <c r="B156" s="719"/>
      <c r="C156" s="90" t="s">
        <v>396</v>
      </c>
      <c r="D156" s="90" t="s">
        <v>380</v>
      </c>
      <c r="E156" s="90" t="s">
        <v>381</v>
      </c>
      <c r="F156" s="90" t="s">
        <v>382</v>
      </c>
      <c r="G156" s="90" t="s">
        <v>383</v>
      </c>
      <c r="H156" s="90" t="s">
        <v>384</v>
      </c>
      <c r="I156" s="90" t="s">
        <v>385</v>
      </c>
      <c r="J156" s="648"/>
    </row>
    <row r="157" spans="1:10" x14ac:dyDescent="0.2">
      <c r="A157" s="117"/>
      <c r="B157" s="723"/>
      <c r="C157" s="723"/>
      <c r="D157" s="746" t="s">
        <v>1810</v>
      </c>
      <c r="E157" s="746" t="s">
        <v>1811</v>
      </c>
      <c r="F157" s="746"/>
      <c r="G157" s="746"/>
      <c r="H157" s="746" t="s">
        <v>1445</v>
      </c>
      <c r="I157" s="247"/>
      <c r="J157" s="648"/>
    </row>
    <row r="158" spans="1:10" x14ac:dyDescent="0.2">
      <c r="A158" s="117"/>
      <c r="B158" s="726" t="s">
        <v>635</v>
      </c>
      <c r="C158" s="674" t="s">
        <v>1958</v>
      </c>
      <c r="D158" s="747" t="s">
        <v>1814</v>
      </c>
      <c r="E158" s="747" t="s">
        <v>1815</v>
      </c>
      <c r="F158" s="747" t="s">
        <v>1816</v>
      </c>
      <c r="G158" s="747" t="s">
        <v>1817</v>
      </c>
      <c r="H158" s="747" t="s">
        <v>1804</v>
      </c>
      <c r="I158" s="726" t="s">
        <v>113</v>
      </c>
      <c r="J158" s="648"/>
    </row>
    <row r="159" spans="1:10" x14ac:dyDescent="0.2">
      <c r="A159" s="548"/>
      <c r="B159" s="648"/>
      <c r="C159" s="648"/>
      <c r="D159" s="648"/>
      <c r="E159" s="648"/>
      <c r="F159" s="648"/>
      <c r="G159" s="648"/>
      <c r="H159" s="648"/>
      <c r="I159" s="648"/>
      <c r="J159" s="648"/>
    </row>
    <row r="160" spans="1:10" x14ac:dyDescent="0.2">
      <c r="A160" s="117">
        <f>A152+1</f>
        <v>805</v>
      </c>
      <c r="B160" s="655">
        <v>236</v>
      </c>
      <c r="C160" s="550" t="s">
        <v>1878</v>
      </c>
      <c r="D160" s="587">
        <v>-192548042</v>
      </c>
      <c r="E160" s="587"/>
      <c r="F160" s="587"/>
      <c r="G160" s="587"/>
      <c r="H160" s="558"/>
      <c r="I160" s="547" t="s">
        <v>1905</v>
      </c>
      <c r="J160" s="550"/>
    </row>
    <row r="161" spans="1:10" x14ac:dyDescent="0.2">
      <c r="A161" s="117">
        <f>A160+1</f>
        <v>806</v>
      </c>
      <c r="B161" s="655"/>
      <c r="C161" s="550" t="s">
        <v>1904</v>
      </c>
      <c r="D161" s="587">
        <v>-714594</v>
      </c>
      <c r="E161" s="587"/>
      <c r="F161" s="587"/>
      <c r="G161" s="587"/>
      <c r="H161" s="558"/>
      <c r="I161" s="547" t="s">
        <v>237</v>
      </c>
      <c r="J161" s="550"/>
    </row>
    <row r="162" spans="1:10" x14ac:dyDescent="0.2">
      <c r="A162" s="117">
        <f t="shared" ref="A162:A163" si="11">A161+1</f>
        <v>807</v>
      </c>
      <c r="B162" s="655"/>
      <c r="C162" s="550" t="s">
        <v>1907</v>
      </c>
      <c r="D162" s="563">
        <f>D160+D161</f>
        <v>-193262636</v>
      </c>
      <c r="G162" s="563"/>
      <c r="H162" s="550"/>
      <c r="I162" s="628" t="str">
        <f>"Line "&amp;A160&amp;" + Line "&amp;A161&amp;""</f>
        <v>Line 805 + Line 806</v>
      </c>
      <c r="J162" s="550"/>
    </row>
    <row r="163" spans="1:10" x14ac:dyDescent="0.2">
      <c r="A163" s="117">
        <f t="shared" si="11"/>
        <v>808</v>
      </c>
      <c r="B163" s="648"/>
      <c r="C163" s="720" t="s">
        <v>1966</v>
      </c>
      <c r="D163" s="677"/>
      <c r="E163" s="563"/>
      <c r="F163" s="563"/>
      <c r="G163" s="1359">
        <f>'27-Allocators'!$G$28</f>
        <v>0.10972259682913496</v>
      </c>
      <c r="H163" s="656"/>
      <c r="I163" s="552" t="s">
        <v>313</v>
      </c>
      <c r="J163" s="548"/>
    </row>
    <row r="164" spans="1:10" x14ac:dyDescent="0.2">
      <c r="A164" s="117">
        <f>+A163+1</f>
        <v>809</v>
      </c>
      <c r="B164" s="549"/>
      <c r="C164" s="548" t="s">
        <v>1958</v>
      </c>
      <c r="D164" s="736">
        <f>E164+G164</f>
        <v>193262636</v>
      </c>
      <c r="E164" s="738">
        <f>-(D162+G164)</f>
        <v>172057357.70803612</v>
      </c>
      <c r="F164" s="738"/>
      <c r="G164" s="1358">
        <f>-(D162*G163)</f>
        <v>21205278.291963864</v>
      </c>
      <c r="H164" s="738"/>
      <c r="I164" s="628" t="str">
        <f>"- Line "&amp;A162&amp;" * Line "&amp;A163&amp;""</f>
        <v>- Line 807 * Line 808</v>
      </c>
      <c r="J164" s="548"/>
    </row>
    <row r="165" spans="1:10" x14ac:dyDescent="0.2">
      <c r="A165" s="645"/>
      <c r="B165" s="720"/>
      <c r="C165" s="748" t="s">
        <v>1968</v>
      </c>
      <c r="D165" s="736"/>
      <c r="E165" s="736"/>
      <c r="F165" s="736"/>
      <c r="G165" s="749"/>
      <c r="H165" s="749"/>
      <c r="I165" s="647" t="s">
        <v>1967</v>
      </c>
      <c r="J165" s="648"/>
    </row>
    <row r="166" spans="1:10" x14ac:dyDescent="0.2">
      <c r="A166" s="117"/>
      <c r="B166" s="549"/>
      <c r="C166" s="739"/>
      <c r="D166" s="736"/>
      <c r="E166" s="736"/>
      <c r="F166" s="736"/>
      <c r="G166" s="736"/>
      <c r="H166" s="736"/>
      <c r="I166" s="648"/>
      <c r="J166" s="648"/>
    </row>
    <row r="167" spans="1:10" x14ac:dyDescent="0.2">
      <c r="A167" s="548"/>
      <c r="B167" s="648"/>
      <c r="C167" s="657" t="s">
        <v>1909</v>
      </c>
      <c r="D167" s="648"/>
      <c r="E167" s="648"/>
      <c r="F167" s="648"/>
      <c r="G167" s="648"/>
      <c r="H167" s="648"/>
      <c r="I167" s="648"/>
      <c r="J167" s="1409"/>
    </row>
    <row r="168" spans="1:10" x14ac:dyDescent="0.2">
      <c r="B168"/>
      <c r="C168" s="1139" t="s">
        <v>2633</v>
      </c>
      <c r="D168" s="754"/>
      <c r="E168" s="754"/>
      <c r="F168" s="754"/>
      <c r="G168" s="754"/>
      <c r="H168"/>
      <c r="I168"/>
      <c r="J168"/>
    </row>
    <row r="169" spans="1:10" x14ac:dyDescent="0.2">
      <c r="B169"/>
      <c r="C169" s="1139" t="s">
        <v>2626</v>
      </c>
      <c r="D169" s="754"/>
      <c r="E169" s="754"/>
      <c r="F169" s="754"/>
      <c r="G169" s="754"/>
      <c r="H169"/>
      <c r="I169"/>
      <c r="J169"/>
    </row>
    <row r="170" spans="1:10" x14ac:dyDescent="0.2">
      <c r="B170"/>
      <c r="C170" s="1139" t="s">
        <v>2627</v>
      </c>
      <c r="D170" s="754"/>
      <c r="E170" s="754"/>
      <c r="F170" s="754"/>
      <c r="G170" s="754"/>
      <c r="H170"/>
      <c r="I170"/>
      <c r="J170"/>
    </row>
    <row r="171" spans="1:10" x14ac:dyDescent="0.2">
      <c r="B171"/>
      <c r="C171" s="257" t="str">
        <f>"Note 3:  Allocate 'Remaining Amount of FIT Payable' based on Transmission Plant Allocation Factor (27-Allocators, Line "&amp;'27-Allocators'!A28&amp;")"</f>
        <v>Note 3:  Allocate 'Remaining Amount of FIT Payable' based on Transmission Plant Allocation Factor (27-Allocators, Line 22)</v>
      </c>
      <c r="D171" s="754"/>
      <c r="E171" s="754"/>
      <c r="F171" s="754"/>
      <c r="G171" s="754"/>
      <c r="H171"/>
      <c r="I171"/>
      <c r="J171"/>
    </row>
    <row r="172" spans="1:10" x14ac:dyDescent="0.2">
      <c r="B172"/>
      <c r="C172" s="257" t="s">
        <v>1906</v>
      </c>
      <c r="D172" s="754"/>
      <c r="E172" s="754"/>
      <c r="F172" s="754"/>
      <c r="G172" s="754"/>
      <c r="H172"/>
      <c r="I172"/>
      <c r="J172"/>
    </row>
    <row r="173" spans="1:10" x14ac:dyDescent="0.2">
      <c r="B173"/>
      <c r="C173" s="257" t="s">
        <v>2344</v>
      </c>
      <c r="D173" s="257"/>
      <c r="E173" s="257"/>
      <c r="F173" s="257"/>
      <c r="G173" s="257"/>
      <c r="J173"/>
    </row>
    <row r="174" spans="1:10" x14ac:dyDescent="0.2">
      <c r="B174"/>
      <c r="C174" s="257" t="s">
        <v>2345</v>
      </c>
      <c r="D174" s="257"/>
      <c r="E174" s="257"/>
      <c r="F174" s="257"/>
      <c r="G174" s="257"/>
      <c r="J174"/>
    </row>
    <row r="175" spans="1:10" x14ac:dyDescent="0.2">
      <c r="B175"/>
      <c r="C175" s="257"/>
      <c r="D175" s="257"/>
      <c r="E175" s="257"/>
      <c r="F175" s="257"/>
      <c r="G175" s="257"/>
      <c r="J175"/>
    </row>
    <row r="176" spans="1:10" x14ac:dyDescent="0.2">
      <c r="B176"/>
      <c r="C176" s="257" t="s">
        <v>2346</v>
      </c>
      <c r="D176" s="257"/>
      <c r="E176" s="257"/>
      <c r="F176" s="257"/>
      <c r="G176" s="257"/>
      <c r="J176"/>
    </row>
    <row r="177" spans="2:10" x14ac:dyDescent="0.2">
      <c r="B177"/>
      <c r="C177" s="257" t="s">
        <v>2347</v>
      </c>
      <c r="D177" s="257"/>
      <c r="E177" s="257"/>
      <c r="F177" s="257"/>
      <c r="G177" s="257"/>
      <c r="J177"/>
    </row>
    <row r="178" spans="2:10" x14ac:dyDescent="0.2">
      <c r="B178"/>
      <c r="C178" s="257" t="s">
        <v>2348</v>
      </c>
      <c r="D178" s="257"/>
      <c r="E178" s="257"/>
      <c r="F178" s="257"/>
      <c r="G178" s="257"/>
      <c r="J178"/>
    </row>
    <row r="179" spans="2:10" x14ac:dyDescent="0.2">
      <c r="B179"/>
      <c r="C179" s="14"/>
      <c r="D179" s="14"/>
      <c r="E179" s="117" t="s">
        <v>190</v>
      </c>
      <c r="F179" s="14"/>
      <c r="G179" s="1140" t="s">
        <v>75</v>
      </c>
      <c r="J179"/>
    </row>
    <row r="180" spans="2:10" x14ac:dyDescent="0.2">
      <c r="B180"/>
      <c r="C180" s="14"/>
      <c r="D180" s="14"/>
      <c r="E180" s="131" t="s">
        <v>191</v>
      </c>
      <c r="F180" s="14"/>
      <c r="G180" s="131" t="s">
        <v>192</v>
      </c>
      <c r="J180"/>
    </row>
    <row r="181" spans="2:10" ht="15" x14ac:dyDescent="0.25">
      <c r="B181"/>
      <c r="C181" s="1155" t="s">
        <v>2349</v>
      </c>
      <c r="D181" s="1156"/>
      <c r="E181" s="550" t="s">
        <v>315</v>
      </c>
      <c r="F181" s="1156"/>
      <c r="G181" s="750">
        <v>1105580075</v>
      </c>
      <c r="I181" s="751"/>
      <c r="J181"/>
    </row>
    <row r="182" spans="2:10" ht="15" x14ac:dyDescent="0.25">
      <c r="B182"/>
      <c r="C182" s="1157" t="s">
        <v>2350</v>
      </c>
      <c r="D182" s="1156"/>
      <c r="E182" s="550" t="s">
        <v>2351</v>
      </c>
      <c r="F182" s="1156"/>
      <c r="G182" s="752">
        <v>601224</v>
      </c>
      <c r="I182" s="751"/>
      <c r="J182"/>
    </row>
    <row r="183" spans="2:10" ht="15" x14ac:dyDescent="0.25">
      <c r="B183"/>
      <c r="C183" s="1157" t="s">
        <v>2352</v>
      </c>
      <c r="D183" s="1156"/>
      <c r="E183" s="550" t="s">
        <v>2353</v>
      </c>
      <c r="F183" s="1156"/>
      <c r="G183" s="753">
        <v>984704</v>
      </c>
      <c r="I183" s="751"/>
      <c r="J183"/>
    </row>
    <row r="184" spans="2:10" ht="15" x14ac:dyDescent="0.25">
      <c r="B184"/>
      <c r="C184" s="1155" t="s">
        <v>2354</v>
      </c>
      <c r="D184" s="1156"/>
      <c r="E184" s="550" t="s">
        <v>2355</v>
      </c>
      <c r="F184" s="1156"/>
      <c r="G184" s="1159">
        <f>SUM(G181:G183)</f>
        <v>1107166003</v>
      </c>
      <c r="J184"/>
    </row>
    <row r="185" spans="2:10" x14ac:dyDescent="0.2">
      <c r="B185"/>
      <c r="C185" s="120" t="s">
        <v>2356</v>
      </c>
      <c r="D185" s="14"/>
      <c r="E185" s="705" t="s">
        <v>2357</v>
      </c>
      <c r="F185" s="14"/>
      <c r="G185" s="71">
        <f>(G182+G183)/G184</f>
        <v>1.4324211506700319E-3</v>
      </c>
      <c r="J185"/>
    </row>
    <row r="186" spans="2:10" x14ac:dyDescent="0.2">
      <c r="B186"/>
      <c r="C186" s="1133" t="s">
        <v>2358</v>
      </c>
      <c r="D186" s="754"/>
      <c r="E186" s="754"/>
      <c r="F186" s="754"/>
      <c r="G186" s="754"/>
      <c r="J186"/>
    </row>
    <row r="187" spans="2:10" x14ac:dyDescent="0.2">
      <c r="B187"/>
      <c r="C187" s="14"/>
      <c r="D187" s="14"/>
      <c r="E187" s="117" t="s">
        <v>190</v>
      </c>
      <c r="F187" s="14"/>
      <c r="G187" s="1140" t="s">
        <v>75</v>
      </c>
      <c r="J187"/>
    </row>
    <row r="188" spans="2:10" x14ac:dyDescent="0.2">
      <c r="B188"/>
      <c r="C188" s="14"/>
      <c r="D188" s="14"/>
      <c r="E188" s="131" t="s">
        <v>191</v>
      </c>
      <c r="F188" s="14"/>
      <c r="G188" s="131" t="s">
        <v>192</v>
      </c>
      <c r="J188"/>
    </row>
    <row r="189" spans="2:10" ht="15" x14ac:dyDescent="0.25">
      <c r="B189"/>
      <c r="C189" s="547" t="s">
        <v>2359</v>
      </c>
      <c r="D189" s="1156"/>
      <c r="E189" s="1156" t="s">
        <v>36</v>
      </c>
      <c r="F189" s="1156"/>
      <c r="G189" s="750">
        <v>38274808694</v>
      </c>
      <c r="I189" s="751"/>
      <c r="J189"/>
    </row>
    <row r="190" spans="2:10" ht="15" x14ac:dyDescent="0.25">
      <c r="B190"/>
      <c r="C190" s="1157" t="s">
        <v>2360</v>
      </c>
      <c r="D190" s="1156"/>
      <c r="E190" s="1156" t="s">
        <v>2361</v>
      </c>
      <c r="F190" s="1156"/>
      <c r="G190" s="752">
        <v>4099778</v>
      </c>
      <c r="J190"/>
    </row>
    <row r="191" spans="2:10" ht="15" x14ac:dyDescent="0.25">
      <c r="B191"/>
      <c r="C191" s="1157" t="s">
        <v>2362</v>
      </c>
      <c r="D191" s="1156"/>
      <c r="E191" s="1156" t="s">
        <v>2363</v>
      </c>
      <c r="F191" s="1156"/>
      <c r="G191" s="752">
        <v>26821693</v>
      </c>
      <c r="I191" s="751"/>
      <c r="J191"/>
    </row>
    <row r="192" spans="2:10" ht="15" x14ac:dyDescent="0.25">
      <c r="B192"/>
      <c r="C192" s="547" t="s">
        <v>2364</v>
      </c>
      <c r="D192" s="1156"/>
      <c r="E192" s="550" t="s">
        <v>2365</v>
      </c>
      <c r="F192" s="1156"/>
      <c r="G192" s="1159">
        <f>SUM(G189:G191)</f>
        <v>38305730165</v>
      </c>
      <c r="H192" s="754"/>
      <c r="I192" s="754"/>
      <c r="J192" s="14"/>
    </row>
    <row r="193" spans="2:10" x14ac:dyDescent="0.2">
      <c r="B193"/>
      <c r="C193" s="120" t="s">
        <v>2366</v>
      </c>
      <c r="D193" s="14"/>
      <c r="E193" s="705" t="s">
        <v>2367</v>
      </c>
      <c r="F193" s="14"/>
      <c r="G193" s="71">
        <f>(G190+G191)/G192</f>
        <v>8.072283406896912E-4</v>
      </c>
      <c r="H193" s="754"/>
      <c r="I193" s="754"/>
      <c r="J193" s="14"/>
    </row>
    <row r="194" spans="2:10" x14ac:dyDescent="0.2">
      <c r="B194"/>
      <c r="C194" s="257" t="s">
        <v>2635</v>
      </c>
      <c r="D194" s="754"/>
      <c r="E194" s="754"/>
      <c r="F194" s="754"/>
      <c r="G194" s="754"/>
      <c r="H194" s="754"/>
      <c r="I194" s="754"/>
      <c r="J194" s="14"/>
    </row>
    <row r="195" spans="2:10" x14ac:dyDescent="0.2">
      <c r="B195"/>
      <c r="C195" s="257" t="s">
        <v>2533</v>
      </c>
      <c r="D195" s="754"/>
      <c r="E195" s="754"/>
      <c r="F195" s="754"/>
      <c r="G195" s="754"/>
      <c r="H195" s="754"/>
      <c r="I195" s="754"/>
      <c r="J195" s="14"/>
    </row>
    <row r="196" spans="2:10" x14ac:dyDescent="0.2">
      <c r="B196"/>
      <c r="C196" s="257" t="s">
        <v>2534</v>
      </c>
      <c r="D196" s="754"/>
      <c r="E196" s="754"/>
      <c r="F196" s="754"/>
      <c r="G196" s="754"/>
      <c r="H196" s="754"/>
      <c r="I196" s="754"/>
      <c r="J196" s="14"/>
    </row>
    <row r="197" spans="2:10" x14ac:dyDescent="0.2">
      <c r="B197"/>
      <c r="C197" s="257" t="s">
        <v>2636</v>
      </c>
      <c r="D197" s="754"/>
      <c r="E197" s="754"/>
      <c r="F197" s="754"/>
      <c r="G197" s="754"/>
      <c r="H197" s="754"/>
      <c r="I197" s="754"/>
      <c r="J197" s="14"/>
    </row>
    <row r="198" spans="2:10" x14ac:dyDescent="0.2">
      <c r="C198" s="550" t="s">
        <v>2637</v>
      </c>
      <c r="D198" s="1158"/>
      <c r="E198" s="1158"/>
      <c r="F198" s="1158"/>
      <c r="G198" s="1158"/>
      <c r="H198" s="1158"/>
      <c r="I198" s="1158"/>
      <c r="J198" s="754"/>
    </row>
    <row r="201" spans="2:10" ht="15.75" x14ac:dyDescent="0.25">
      <c r="C201" s="710"/>
    </row>
  </sheetData>
  <protectedRanges>
    <protectedRange password="F1C4" sqref="D20:E30 F32:F33 F25:F30 F45 E15:E19 D14:D15 D17:D18 B14:C30 I60 B13 F20 J32:J35 B7:C12 I130" name="AAReport1_23_1_1_2"/>
    <protectedRange password="F1C4" sqref="D19" name="AAReport1_23_1_1_1_1"/>
  </protectedRanges>
  <phoneticPr fontId="12" type="noConversion"/>
  <conditionalFormatting sqref="B124 D111:D124 B136:B143 D136:D143">
    <cfRule type="expression" dxfId="8" priority="4" stopIfTrue="1">
      <formula>Formulas</formula>
    </cfRule>
  </conditionalFormatting>
  <conditionalFormatting sqref="B111:B123 D130 B130">
    <cfRule type="expression" dxfId="7" priority="5" stopIfTrue="1">
      <formula>Formulas</formula>
    </cfRule>
  </conditionalFormatting>
  <conditionalFormatting sqref="C130 C111:C124 C136:C143">
    <cfRule type="expression" dxfId="6" priority="3" stopIfTrue="1">
      <formula>#REF!&lt;&gt;""</formula>
    </cfRule>
  </conditionalFormatting>
  <pageMargins left="0.75" right="0.75" top="1" bottom="1" header="0.5" footer="0.5"/>
  <pageSetup scale="65" orientation="landscape" cellComments="asDisplayed" r:id="rId1"/>
  <headerFooter alignWithMargins="0">
    <oddHeader>&amp;CSchedule 9
ADIT
&amp;RTO8 Annual Update (Revised)
Attachment  1</oddHeader>
    <oddFooter>&amp;R&amp;A</oddFooter>
  </headerFooter>
  <rowBreaks count="4" manualBreakCount="4">
    <brk id="24" max="16383" man="1"/>
    <brk id="63" max="16383" man="1"/>
    <brk id="105" max="9" man="1"/>
    <brk id="1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8"/>
  <sheetViews>
    <sheetView view="pageLayout" topLeftCell="C1" zoomScaleNormal="100" workbookViewId="0">
      <selection activeCell="L37" sqref="L37"/>
    </sheetView>
  </sheetViews>
  <sheetFormatPr defaultRowHeight="12.75" x14ac:dyDescent="0.2"/>
  <cols>
    <col min="1" max="1" width="4.7109375" style="14" customWidth="1"/>
    <col min="2" max="2" width="12.7109375" customWidth="1"/>
    <col min="3" max="3" width="8.7109375" customWidth="1"/>
    <col min="4" max="4" width="15.140625" bestFit="1" customWidth="1"/>
    <col min="5" max="5" width="18.7109375" customWidth="1"/>
    <col min="6" max="6" width="16.140625" customWidth="1"/>
    <col min="7" max="7" width="13.42578125" customWidth="1"/>
    <col min="8" max="8" width="13.5703125" bestFit="1" customWidth="1"/>
    <col min="9" max="9" width="17.140625" customWidth="1"/>
    <col min="10" max="10" width="15.42578125" customWidth="1"/>
    <col min="11" max="11" width="17.28515625" customWidth="1"/>
    <col min="12" max="12" width="14.7109375" style="14" bestFit="1" customWidth="1"/>
    <col min="13" max="13" width="13.140625" bestFit="1" customWidth="1"/>
  </cols>
  <sheetData>
    <row r="1" spans="1:12" x14ac:dyDescent="0.2">
      <c r="A1" s="44" t="s">
        <v>598</v>
      </c>
      <c r="K1" s="1"/>
    </row>
    <row r="2" spans="1:12" x14ac:dyDescent="0.2">
      <c r="A2" s="44"/>
      <c r="K2" s="1"/>
    </row>
    <row r="3" spans="1:12" x14ac:dyDescent="0.2">
      <c r="A3" s="44"/>
      <c r="B3" s="548" t="s">
        <v>1047</v>
      </c>
      <c r="K3" s="1"/>
    </row>
    <row r="4" spans="1:12" x14ac:dyDescent="0.2">
      <c r="B4" s="548" t="s">
        <v>602</v>
      </c>
      <c r="K4" s="1"/>
      <c r="L4" s="550"/>
    </row>
    <row r="5" spans="1:12" x14ac:dyDescent="0.2">
      <c r="B5" s="548"/>
      <c r="K5" s="1"/>
    </row>
    <row r="6" spans="1:12" x14ac:dyDescent="0.2">
      <c r="A6" s="550"/>
      <c r="B6" s="1" t="s">
        <v>1392</v>
      </c>
      <c r="K6" s="1"/>
    </row>
    <row r="7" spans="1:12" x14ac:dyDescent="0.2">
      <c r="A7" s="550"/>
      <c r="B7" s="1"/>
      <c r="D7" s="90" t="s">
        <v>396</v>
      </c>
      <c r="E7" s="90" t="s">
        <v>380</v>
      </c>
      <c r="F7" s="90" t="s">
        <v>381</v>
      </c>
      <c r="G7" s="90" t="s">
        <v>382</v>
      </c>
      <c r="H7" s="90" t="s">
        <v>383</v>
      </c>
      <c r="I7" s="90" t="s">
        <v>384</v>
      </c>
      <c r="J7" s="384"/>
      <c r="K7" s="1"/>
      <c r="L7" s="384"/>
    </row>
    <row r="8" spans="1:12" x14ac:dyDescent="0.2">
      <c r="D8" s="549" t="s">
        <v>1082</v>
      </c>
      <c r="J8" s="14"/>
      <c r="K8" s="14"/>
    </row>
    <row r="9" spans="1:12" x14ac:dyDescent="0.2">
      <c r="D9" s="571" t="s">
        <v>606</v>
      </c>
      <c r="J9" s="14"/>
      <c r="K9" s="14"/>
    </row>
    <row r="10" spans="1:12" x14ac:dyDescent="0.2">
      <c r="B10" s="679"/>
      <c r="J10" s="14"/>
      <c r="K10" s="14"/>
    </row>
    <row r="11" spans="1:12" x14ac:dyDescent="0.2">
      <c r="B11" s="679"/>
      <c r="D11" s="679" t="s">
        <v>20</v>
      </c>
      <c r="F11" s="679" t="s">
        <v>376</v>
      </c>
      <c r="G11" s="679" t="s">
        <v>379</v>
      </c>
      <c r="H11" s="679"/>
      <c r="I11" s="679"/>
      <c r="J11" s="117"/>
      <c r="K11" s="548"/>
    </row>
    <row r="12" spans="1:12" ht="13.5" thickBot="1" x14ac:dyDescent="0.25">
      <c r="A12" s="1114" t="s">
        <v>362</v>
      </c>
      <c r="B12" s="755" t="s">
        <v>213</v>
      </c>
      <c r="C12" s="755" t="s">
        <v>214</v>
      </c>
      <c r="D12" s="3" t="s">
        <v>600</v>
      </c>
      <c r="E12" s="3" t="s">
        <v>251</v>
      </c>
      <c r="F12" s="3" t="s">
        <v>377</v>
      </c>
      <c r="G12" s="3" t="s">
        <v>378</v>
      </c>
      <c r="H12" s="3" t="s">
        <v>603</v>
      </c>
      <c r="I12" s="3" t="s">
        <v>604</v>
      </c>
      <c r="J12" s="131"/>
      <c r="K12" s="548"/>
    </row>
    <row r="13" spans="1:12" x14ac:dyDescent="0.2">
      <c r="A13" s="117">
        <v>1</v>
      </c>
      <c r="B13" s="756" t="s">
        <v>201</v>
      </c>
      <c r="C13" s="757">
        <v>2011</v>
      </c>
      <c r="D13" s="1350">
        <f>SUM(E13:I13)+SUM(D33:G33)</f>
        <v>1272497840.0070703</v>
      </c>
      <c r="E13" s="1372">
        <v>1055342874.3736817</v>
      </c>
      <c r="F13" s="114">
        <v>150997361.17012709</v>
      </c>
      <c r="G13" s="1369">
        <v>30840968.271137845</v>
      </c>
      <c r="H13" s="114">
        <v>-73287.943056206728</v>
      </c>
      <c r="I13" s="1369">
        <v>15400523.592885498</v>
      </c>
      <c r="J13" s="758"/>
    </row>
    <row r="14" spans="1:12" x14ac:dyDescent="0.2">
      <c r="A14" s="117">
        <f>A13+1</f>
        <v>2</v>
      </c>
      <c r="B14" s="756" t="s">
        <v>202</v>
      </c>
      <c r="C14" s="757">
        <v>2012</v>
      </c>
      <c r="D14" s="1350">
        <f t="shared" ref="D14:D25" si="0">SUM(E14:I14)+SUM(D34:G34)</f>
        <v>1310275163.6203587</v>
      </c>
      <c r="E14" s="1373">
        <v>1072044236.9440101</v>
      </c>
      <c r="F14" s="114">
        <v>164276614.02547273</v>
      </c>
      <c r="G14" s="1370">
        <v>35977430.254513845</v>
      </c>
      <c r="H14" s="114">
        <v>-70360.766686206727</v>
      </c>
      <c r="I14" s="1370">
        <v>16874555.694305498</v>
      </c>
      <c r="J14" s="758"/>
    </row>
    <row r="15" spans="1:12" x14ac:dyDescent="0.2">
      <c r="A15" s="117">
        <f t="shared" ref="A15:A26" si="1">A14+1</f>
        <v>3</v>
      </c>
      <c r="B15" s="759" t="s">
        <v>203</v>
      </c>
      <c r="C15" s="757">
        <v>2012</v>
      </c>
      <c r="D15" s="1350">
        <f t="shared" si="0"/>
        <v>1227040693.7111251</v>
      </c>
      <c r="E15" s="1373">
        <v>960770236.37290978</v>
      </c>
      <c r="F15" s="114">
        <v>180519660.41084775</v>
      </c>
      <c r="G15" s="1370">
        <v>39507221.23990684</v>
      </c>
      <c r="H15" s="114">
        <v>-70400.379985206906</v>
      </c>
      <c r="I15" s="1370">
        <v>22322691.225285497</v>
      </c>
      <c r="J15" s="758"/>
    </row>
    <row r="16" spans="1:12" x14ac:dyDescent="0.2">
      <c r="A16" s="117">
        <f t="shared" si="1"/>
        <v>4</v>
      </c>
      <c r="B16" s="759" t="s">
        <v>216</v>
      </c>
      <c r="C16" s="757">
        <v>2012</v>
      </c>
      <c r="D16" s="1350">
        <f t="shared" si="0"/>
        <v>1307024174.3428807</v>
      </c>
      <c r="E16" s="1373">
        <v>988047535.8430301</v>
      </c>
      <c r="F16" s="114">
        <v>215481737.07084772</v>
      </c>
      <c r="G16" s="1370">
        <v>43998099.579906836</v>
      </c>
      <c r="H16" s="114">
        <v>-70400.379985206906</v>
      </c>
      <c r="I16" s="1370">
        <v>30187616.765285503</v>
      </c>
      <c r="J16" s="758"/>
    </row>
    <row r="17" spans="1:11" x14ac:dyDescent="0.2">
      <c r="A17" s="117">
        <f t="shared" si="1"/>
        <v>5</v>
      </c>
      <c r="B17" s="756" t="s">
        <v>204</v>
      </c>
      <c r="C17" s="757">
        <v>2012</v>
      </c>
      <c r="D17" s="1350">
        <f t="shared" si="0"/>
        <v>1265990290.2292488</v>
      </c>
      <c r="E17" s="1373">
        <v>895041080.73767984</v>
      </c>
      <c r="F17" s="114">
        <v>236246479.17084771</v>
      </c>
      <c r="G17" s="1370">
        <v>51334654.249906845</v>
      </c>
      <c r="H17" s="114">
        <v>-70400.379985206906</v>
      </c>
      <c r="I17" s="1370">
        <v>42060940.955285512</v>
      </c>
      <c r="J17" s="758"/>
    </row>
    <row r="18" spans="1:11" x14ac:dyDescent="0.2">
      <c r="A18" s="117">
        <f t="shared" si="1"/>
        <v>6</v>
      </c>
      <c r="B18" s="759" t="s">
        <v>205</v>
      </c>
      <c r="C18" s="757">
        <v>2012</v>
      </c>
      <c r="D18" s="1350">
        <f t="shared" si="0"/>
        <v>1328323704.6630869</v>
      </c>
      <c r="E18" s="1373">
        <v>911319250.00435042</v>
      </c>
      <c r="F18" s="114">
        <v>263703722.40050852</v>
      </c>
      <c r="G18" s="1370">
        <v>52770435.56000001</v>
      </c>
      <c r="H18" s="114">
        <v>-70400.379999999888</v>
      </c>
      <c r="I18" s="1370">
        <v>55841316.640819997</v>
      </c>
      <c r="J18" s="758"/>
    </row>
    <row r="19" spans="1:11" x14ac:dyDescent="0.2">
      <c r="A19" s="117">
        <f t="shared" si="1"/>
        <v>7</v>
      </c>
      <c r="B19" s="759" t="s">
        <v>206</v>
      </c>
      <c r="C19" s="757">
        <v>2012</v>
      </c>
      <c r="D19" s="1350">
        <f t="shared" si="0"/>
        <v>1284594615.9229987</v>
      </c>
      <c r="E19" s="1373">
        <v>827168218.63923991</v>
      </c>
      <c r="F19" s="114">
        <v>286751304.59366596</v>
      </c>
      <c r="G19" s="1370">
        <v>54352445.079999998</v>
      </c>
      <c r="H19" s="114">
        <v>-69345.540000000037</v>
      </c>
      <c r="I19" s="1370">
        <v>68397745.786310002</v>
      </c>
      <c r="J19" s="758"/>
    </row>
    <row r="20" spans="1:11" x14ac:dyDescent="0.2">
      <c r="A20" s="117">
        <f t="shared" si="1"/>
        <v>8</v>
      </c>
      <c r="B20" s="756" t="s">
        <v>207</v>
      </c>
      <c r="C20" s="757">
        <v>2012</v>
      </c>
      <c r="D20" s="1350">
        <f t="shared" si="0"/>
        <v>1356287461.6817038</v>
      </c>
      <c r="E20" s="1373">
        <v>854985553.13158321</v>
      </c>
      <c r="F20" s="114">
        <v>312014780.48560393</v>
      </c>
      <c r="G20" s="1370">
        <v>61721720.270000003</v>
      </c>
      <c r="H20" s="114">
        <v>-69345.540000000037</v>
      </c>
      <c r="I20" s="1370">
        <v>75069819.944279999</v>
      </c>
      <c r="J20" s="758"/>
    </row>
    <row r="21" spans="1:11" x14ac:dyDescent="0.2">
      <c r="A21" s="117">
        <f t="shared" si="1"/>
        <v>9</v>
      </c>
      <c r="B21" s="759" t="s">
        <v>208</v>
      </c>
      <c r="C21" s="757">
        <v>2012</v>
      </c>
      <c r="D21" s="1350">
        <f t="shared" si="0"/>
        <v>1440366326.5519745</v>
      </c>
      <c r="E21" s="1373">
        <v>881900953.80989754</v>
      </c>
      <c r="F21" s="114">
        <v>346622932.88478291</v>
      </c>
      <c r="G21" s="1370">
        <v>65872706.950000003</v>
      </c>
      <c r="H21" s="114">
        <v>-69345.540000000037</v>
      </c>
      <c r="I21" s="1370">
        <v>85799857.196889997</v>
      </c>
      <c r="J21" s="758"/>
    </row>
    <row r="22" spans="1:11" x14ac:dyDescent="0.2">
      <c r="A22" s="117">
        <f t="shared" si="1"/>
        <v>10</v>
      </c>
      <c r="B22" s="759" t="s">
        <v>209</v>
      </c>
      <c r="C22" s="757">
        <v>2012</v>
      </c>
      <c r="D22" s="1350">
        <f t="shared" si="0"/>
        <v>1531508712.769105</v>
      </c>
      <c r="E22" s="1373">
        <v>907366122.11964834</v>
      </c>
      <c r="F22" s="114">
        <v>389137130.27000004</v>
      </c>
      <c r="G22" s="1370">
        <v>76362434.129999995</v>
      </c>
      <c r="H22" s="114">
        <v>-69915.360000000102</v>
      </c>
      <c r="I22" s="1370">
        <v>95159654.459999993</v>
      </c>
      <c r="J22" s="758"/>
    </row>
    <row r="23" spans="1:11" x14ac:dyDescent="0.2">
      <c r="A23" s="117">
        <f t="shared" si="1"/>
        <v>11</v>
      </c>
      <c r="B23" s="756" t="s">
        <v>210</v>
      </c>
      <c r="C23" s="757">
        <v>2012</v>
      </c>
      <c r="D23" s="1350">
        <f t="shared" si="0"/>
        <v>1644604546.362174</v>
      </c>
      <c r="E23" s="1373">
        <v>927601587.7304852</v>
      </c>
      <c r="F23" s="114">
        <v>432535249.49000007</v>
      </c>
      <c r="G23" s="1370">
        <v>98194091.150000006</v>
      </c>
      <c r="H23" s="114">
        <v>-69633.120000000112</v>
      </c>
      <c r="I23" s="1370">
        <v>116900682.12999998</v>
      </c>
      <c r="J23" s="758"/>
    </row>
    <row r="24" spans="1:11" ht="13.5" thickBot="1" x14ac:dyDescent="0.25">
      <c r="A24" s="117">
        <f t="shared" si="1"/>
        <v>12</v>
      </c>
      <c r="B24" s="756" t="s">
        <v>211</v>
      </c>
      <c r="C24" s="757">
        <v>2012</v>
      </c>
      <c r="D24" s="1350">
        <f t="shared" si="0"/>
        <v>1723811679.8924904</v>
      </c>
      <c r="E24" s="1373">
        <v>954089312.59087086</v>
      </c>
      <c r="F24" s="114">
        <v>454970045.21999985</v>
      </c>
      <c r="G24" s="1370">
        <v>120943056.34999998</v>
      </c>
      <c r="H24" s="114">
        <v>-69617.340000000084</v>
      </c>
      <c r="I24" s="1370">
        <v>129304752.72000001</v>
      </c>
      <c r="J24" s="758"/>
    </row>
    <row r="25" spans="1:11" ht="13.5" thickBot="1" x14ac:dyDescent="0.25">
      <c r="A25" s="117">
        <f t="shared" si="1"/>
        <v>13</v>
      </c>
      <c r="B25" s="756" t="s">
        <v>201</v>
      </c>
      <c r="C25" s="757">
        <v>2012</v>
      </c>
      <c r="D25" s="1349">
        <f t="shared" si="0"/>
        <v>1696304100.4639215</v>
      </c>
      <c r="E25" s="1374">
        <v>786298777.73778844</v>
      </c>
      <c r="F25" s="1327">
        <v>536335938.83999997</v>
      </c>
      <c r="G25" s="1270">
        <v>149796433.14000002</v>
      </c>
      <c r="H25" s="123">
        <v>-69617.340000000084</v>
      </c>
      <c r="I25" s="1270">
        <v>150902784.00999999</v>
      </c>
      <c r="J25" s="758"/>
    </row>
    <row r="26" spans="1:11" x14ac:dyDescent="0.2">
      <c r="A26" s="117">
        <f t="shared" si="1"/>
        <v>14</v>
      </c>
      <c r="B26" s="756"/>
      <c r="C26" s="760" t="s">
        <v>601</v>
      </c>
      <c r="D26" s="1363">
        <f t="shared" ref="D26:I26" si="2">SUM(D13:D25)/13</f>
        <v>1414509946.939857</v>
      </c>
      <c r="E26" s="1363">
        <f>SUM(E13:E25)/13</f>
        <v>924767364.61809039</v>
      </c>
      <c r="F26" s="1363">
        <f>SUM(F13:F25)/13</f>
        <v>305353304.31020802</v>
      </c>
      <c r="G26" s="1363">
        <f t="shared" si="2"/>
        <v>67820899.70964402</v>
      </c>
      <c r="H26" s="612">
        <f t="shared" si="2"/>
        <v>-70159.231515233419</v>
      </c>
      <c r="I26" s="1363">
        <f t="shared" si="2"/>
        <v>69555610.855488271</v>
      </c>
      <c r="J26" s="758"/>
      <c r="K26" s="758"/>
    </row>
    <row r="27" spans="1:11" x14ac:dyDescent="0.2">
      <c r="A27" s="117"/>
      <c r="B27" s="756"/>
      <c r="C27" s="760"/>
      <c r="D27" s="612"/>
      <c r="E27" s="612"/>
      <c r="F27" s="612"/>
      <c r="G27" s="612"/>
      <c r="H27" s="612"/>
      <c r="I27" s="758"/>
      <c r="J27" s="552"/>
      <c r="K27" s="758"/>
    </row>
    <row r="28" spans="1:11" x14ac:dyDescent="0.2">
      <c r="A28" s="117"/>
      <c r="B28" s="756"/>
      <c r="C28" s="760"/>
      <c r="D28" s="90" t="s">
        <v>385</v>
      </c>
      <c r="E28" s="90" t="s">
        <v>599</v>
      </c>
      <c r="F28" s="90" t="s">
        <v>1048</v>
      </c>
      <c r="G28" s="90" t="s">
        <v>1064</v>
      </c>
      <c r="H28" s="90" t="s">
        <v>1067</v>
      </c>
      <c r="I28" s="90" t="s">
        <v>1085</v>
      </c>
      <c r="J28" s="552"/>
      <c r="K28" s="758"/>
    </row>
    <row r="29" spans="1:11" x14ac:dyDescent="0.2">
      <c r="A29" s="117"/>
      <c r="B29" s="756"/>
      <c r="C29" s="760"/>
      <c r="E29" s="385" t="s">
        <v>1086</v>
      </c>
      <c r="F29" s="385"/>
      <c r="G29" s="385"/>
      <c r="H29" s="612"/>
      <c r="I29" s="758"/>
      <c r="J29" s="552"/>
      <c r="K29" s="758"/>
    </row>
    <row r="30" spans="1:11" x14ac:dyDescent="0.2">
      <c r="B30" s="679"/>
      <c r="D30" s="679" t="s">
        <v>1083</v>
      </c>
      <c r="E30" s="679" t="s">
        <v>1087</v>
      </c>
      <c r="F30" s="385"/>
      <c r="G30" s="385"/>
      <c r="H30" s="612"/>
      <c r="I30" s="758"/>
      <c r="J30" s="552"/>
      <c r="K30" s="758"/>
    </row>
    <row r="31" spans="1:11" x14ac:dyDescent="0.2">
      <c r="B31" s="679"/>
      <c r="D31" s="679" t="s">
        <v>475</v>
      </c>
      <c r="E31" s="679" t="s">
        <v>475</v>
      </c>
      <c r="F31" s="385" t="s">
        <v>1089</v>
      </c>
      <c r="G31" s="385" t="s">
        <v>1090</v>
      </c>
      <c r="H31" s="612"/>
      <c r="I31" s="758"/>
      <c r="J31" s="758"/>
      <c r="K31" s="758"/>
    </row>
    <row r="32" spans="1:11" ht="13.5" thickBot="1" x14ac:dyDescent="0.25">
      <c r="A32" s="1114" t="s">
        <v>362</v>
      </c>
      <c r="B32" s="755" t="s">
        <v>213</v>
      </c>
      <c r="C32" s="755" t="s">
        <v>214</v>
      </c>
      <c r="D32" s="3" t="s">
        <v>1084</v>
      </c>
      <c r="E32" s="3" t="s">
        <v>1084</v>
      </c>
      <c r="F32" s="386" t="s">
        <v>1088</v>
      </c>
      <c r="G32" s="386" t="s">
        <v>1091</v>
      </c>
      <c r="H32" s="387"/>
      <c r="I32" s="387"/>
      <c r="J32" s="758"/>
      <c r="K32" s="758"/>
    </row>
    <row r="33" spans="1:11" x14ac:dyDescent="0.2">
      <c r="A33" s="117">
        <f>+A26+1</f>
        <v>15</v>
      </c>
      <c r="B33" s="756" t="s">
        <v>201</v>
      </c>
      <c r="C33" s="757">
        <v>2011</v>
      </c>
      <c r="D33" s="114">
        <v>2893212.161289352</v>
      </c>
      <c r="E33" s="114">
        <v>10959973.88545125</v>
      </c>
      <c r="F33" s="1369">
        <v>2139361.4</v>
      </c>
      <c r="G33" s="1369">
        <v>3996853.0955536882</v>
      </c>
      <c r="H33" s="761" t="s">
        <v>88</v>
      </c>
      <c r="I33" s="761" t="s">
        <v>88</v>
      </c>
      <c r="J33" s="758"/>
      <c r="K33" s="758"/>
    </row>
    <row r="34" spans="1:11" x14ac:dyDescent="0.2">
      <c r="A34" s="117">
        <f>A33+1</f>
        <v>16</v>
      </c>
      <c r="B34" s="756" t="s">
        <v>202</v>
      </c>
      <c r="C34" s="757">
        <v>2012</v>
      </c>
      <c r="D34" s="114">
        <v>3194615.2702153521</v>
      </c>
      <c r="E34" s="114">
        <v>11369053.440813251</v>
      </c>
      <c r="F34" s="1370">
        <v>2346086.2157979999</v>
      </c>
      <c r="G34" s="1370">
        <v>4262932.541916281</v>
      </c>
      <c r="H34" s="761" t="s">
        <v>88</v>
      </c>
      <c r="I34" s="761" t="s">
        <v>88</v>
      </c>
      <c r="J34" s="758"/>
      <c r="K34" s="758"/>
    </row>
    <row r="35" spans="1:11" x14ac:dyDescent="0.2">
      <c r="A35" s="117">
        <f t="shared" ref="A35:A46" si="3">A34+1</f>
        <v>17</v>
      </c>
      <c r="B35" s="759" t="s">
        <v>203</v>
      </c>
      <c r="C35" s="757">
        <v>2012</v>
      </c>
      <c r="D35" s="114">
        <v>3218341.6366033512</v>
      </c>
      <c r="E35" s="114">
        <v>13424478.505080251</v>
      </c>
      <c r="F35" s="1370">
        <v>2725574.2728280001</v>
      </c>
      <c r="G35" s="1370">
        <v>4622890.4276489476</v>
      </c>
      <c r="H35" s="761" t="s">
        <v>88</v>
      </c>
      <c r="I35" s="761" t="s">
        <v>88</v>
      </c>
      <c r="J35" s="758"/>
      <c r="K35" s="758"/>
    </row>
    <row r="36" spans="1:11" x14ac:dyDescent="0.2">
      <c r="A36" s="117">
        <f t="shared" si="3"/>
        <v>18</v>
      </c>
      <c r="B36" s="759" t="s">
        <v>216</v>
      </c>
      <c r="C36" s="757">
        <v>2012</v>
      </c>
      <c r="D36" s="114">
        <v>4583248.5366033521</v>
      </c>
      <c r="E36" s="114">
        <v>16437355.725080252</v>
      </c>
      <c r="F36" s="1370">
        <v>3176197.2728279997</v>
      </c>
      <c r="G36" s="1370">
        <v>5182783.9292840306</v>
      </c>
      <c r="H36" s="761" t="s">
        <v>88</v>
      </c>
      <c r="I36" s="761" t="s">
        <v>88</v>
      </c>
      <c r="J36" s="758"/>
      <c r="K36" s="758"/>
    </row>
    <row r="37" spans="1:11" x14ac:dyDescent="0.2">
      <c r="A37" s="117">
        <f t="shared" si="3"/>
        <v>19</v>
      </c>
      <c r="B37" s="756" t="s">
        <v>204</v>
      </c>
      <c r="C37" s="757">
        <v>2012</v>
      </c>
      <c r="D37" s="114">
        <v>4647809.7766033523</v>
      </c>
      <c r="E37" s="114">
        <v>26790706.665080249</v>
      </c>
      <c r="F37" s="1370">
        <v>3894174.092828</v>
      </c>
      <c r="G37" s="1370">
        <v>6044844.9610022744</v>
      </c>
      <c r="H37" s="761" t="s">
        <v>88</v>
      </c>
      <c r="I37" s="761" t="s">
        <v>88</v>
      </c>
      <c r="J37" s="758"/>
      <c r="K37" s="758"/>
    </row>
    <row r="38" spans="1:11" x14ac:dyDescent="0.2">
      <c r="A38" s="117">
        <f t="shared" si="3"/>
        <v>20</v>
      </c>
      <c r="B38" s="759" t="s">
        <v>205</v>
      </c>
      <c r="C38" s="757">
        <v>2012</v>
      </c>
      <c r="D38" s="114">
        <v>4836888.2300000004</v>
      </c>
      <c r="E38" s="114">
        <v>28814499.620000001</v>
      </c>
      <c r="F38" s="1370">
        <v>4490719.5600000005</v>
      </c>
      <c r="G38" s="1370">
        <v>6617273.0274080848</v>
      </c>
      <c r="H38" s="761" t="s">
        <v>88</v>
      </c>
      <c r="I38" s="761" t="s">
        <v>88</v>
      </c>
      <c r="J38" s="758"/>
      <c r="K38" s="758"/>
    </row>
    <row r="39" spans="1:11" x14ac:dyDescent="0.2">
      <c r="A39" s="117">
        <f t="shared" si="3"/>
        <v>21</v>
      </c>
      <c r="B39" s="759" t="s">
        <v>206</v>
      </c>
      <c r="C39" s="757">
        <v>2012</v>
      </c>
      <c r="D39" s="114">
        <v>5054397.24</v>
      </c>
      <c r="E39" s="114">
        <v>30462999</v>
      </c>
      <c r="F39" s="1370">
        <v>5171904.41</v>
      </c>
      <c r="G39" s="1370">
        <v>7304946.7137829456</v>
      </c>
      <c r="H39" s="761" t="s">
        <v>88</v>
      </c>
      <c r="I39" s="761" t="s">
        <v>88</v>
      </c>
      <c r="J39" s="758"/>
      <c r="K39" s="758"/>
    </row>
    <row r="40" spans="1:11" x14ac:dyDescent="0.2">
      <c r="A40" s="117">
        <f t="shared" si="3"/>
        <v>22</v>
      </c>
      <c r="B40" s="756" t="s">
        <v>207</v>
      </c>
      <c r="C40" s="757">
        <v>2012</v>
      </c>
      <c r="D40" s="114">
        <v>5307523.84</v>
      </c>
      <c r="E40" s="114">
        <v>33064623.609999999</v>
      </c>
      <c r="F40" s="1370">
        <v>6131663.2600000007</v>
      </c>
      <c r="G40" s="1370">
        <v>8061122.6802368183</v>
      </c>
      <c r="H40" s="761" t="s">
        <v>88</v>
      </c>
      <c r="I40" s="761" t="s">
        <v>88</v>
      </c>
      <c r="J40" s="758"/>
      <c r="K40" s="758"/>
    </row>
    <row r="41" spans="1:11" x14ac:dyDescent="0.2">
      <c r="A41" s="117">
        <f t="shared" si="3"/>
        <v>23</v>
      </c>
      <c r="B41" s="759" t="s">
        <v>208</v>
      </c>
      <c r="C41" s="757">
        <v>2012</v>
      </c>
      <c r="D41" s="114">
        <v>6404848.9900000002</v>
      </c>
      <c r="E41" s="114">
        <v>37924466.120000005</v>
      </c>
      <c r="F41" s="1370">
        <v>7087425.4500000002</v>
      </c>
      <c r="G41" s="1370">
        <v>8822480.690404065</v>
      </c>
      <c r="H41" s="761" t="s">
        <v>88</v>
      </c>
      <c r="I41" s="761" t="s">
        <v>88</v>
      </c>
      <c r="J41" s="758"/>
      <c r="K41" s="758"/>
    </row>
    <row r="42" spans="1:11" x14ac:dyDescent="0.2">
      <c r="A42" s="117">
        <f t="shared" si="3"/>
        <v>24</v>
      </c>
      <c r="B42" s="759" t="s">
        <v>209</v>
      </c>
      <c r="C42" s="757">
        <v>2012</v>
      </c>
      <c r="D42" s="114">
        <v>7929868.5099999998</v>
      </c>
      <c r="E42" s="114">
        <v>39118291.93</v>
      </c>
      <c r="F42" s="1370">
        <v>7463084.5099999998</v>
      </c>
      <c r="G42" s="1370">
        <v>9042042.1994562931</v>
      </c>
      <c r="H42" s="761" t="s">
        <v>88</v>
      </c>
      <c r="I42" s="761" t="s">
        <v>88</v>
      </c>
      <c r="J42" s="758"/>
      <c r="K42" s="758"/>
    </row>
    <row r="43" spans="1:11" ht="13.5" thickBot="1" x14ac:dyDescent="0.25">
      <c r="A43" s="117">
        <f t="shared" si="3"/>
        <v>25</v>
      </c>
      <c r="B43" s="756" t="s">
        <v>210</v>
      </c>
      <c r="C43" s="757">
        <v>2012</v>
      </c>
      <c r="D43" s="114">
        <v>9907332.0700000003</v>
      </c>
      <c r="E43" s="114">
        <v>41095013.140000001</v>
      </c>
      <c r="F43" s="1370">
        <v>8414612.4700000007</v>
      </c>
      <c r="G43" s="1370">
        <v>10025611.30168882</v>
      </c>
      <c r="H43" s="761" t="s">
        <v>88</v>
      </c>
      <c r="I43" s="761" t="s">
        <v>88</v>
      </c>
      <c r="J43" s="758"/>
      <c r="K43" s="758"/>
    </row>
    <row r="44" spans="1:11" x14ac:dyDescent="0.2">
      <c r="A44" s="117">
        <f t="shared" si="3"/>
        <v>26</v>
      </c>
      <c r="B44" s="756" t="s">
        <v>211</v>
      </c>
      <c r="C44" s="757">
        <v>2012</v>
      </c>
      <c r="D44" s="114">
        <v>1962269.87</v>
      </c>
      <c r="E44" s="1364">
        <v>42763557.229999997</v>
      </c>
      <c r="F44" s="1370">
        <v>9234289.25</v>
      </c>
      <c r="G44" s="1370">
        <v>10614014.001619678</v>
      </c>
      <c r="H44" s="761" t="s">
        <v>88</v>
      </c>
      <c r="I44" s="761" t="s">
        <v>88</v>
      </c>
      <c r="J44" s="758"/>
      <c r="K44" s="758"/>
    </row>
    <row r="45" spans="1:11" ht="13.5" thickBot="1" x14ac:dyDescent="0.25">
      <c r="A45" s="117">
        <f t="shared" si="3"/>
        <v>27</v>
      </c>
      <c r="B45" s="756" t="s">
        <v>201</v>
      </c>
      <c r="C45" s="757">
        <v>2012</v>
      </c>
      <c r="D45" s="123">
        <v>3256743.08</v>
      </c>
      <c r="E45" s="1336">
        <v>47928159.539999999</v>
      </c>
      <c r="F45" s="1270">
        <v>10360459.710000001</v>
      </c>
      <c r="G45" s="1270">
        <v>11494421.74613302</v>
      </c>
      <c r="H45" s="761" t="s">
        <v>88</v>
      </c>
      <c r="I45" s="761" t="s">
        <v>88</v>
      </c>
      <c r="J45" s="758"/>
      <c r="K45" s="758"/>
    </row>
    <row r="46" spans="1:11" x14ac:dyDescent="0.2">
      <c r="A46" s="117">
        <f t="shared" si="3"/>
        <v>28</v>
      </c>
      <c r="B46" s="756"/>
      <c r="C46" s="760" t="s">
        <v>601</v>
      </c>
      <c r="D46" s="612">
        <f>SUM(D33:D45)/13</f>
        <v>4861315.323947289</v>
      </c>
      <c r="E46" s="1363">
        <f>SUM(E33:E45)/13</f>
        <v>29242552.185500406</v>
      </c>
      <c r="F46" s="1363">
        <f>SUM(F33:F45)/13</f>
        <v>5587350.1441755388</v>
      </c>
      <c r="G46" s="1363">
        <f>SUM(G33:G45)/13</f>
        <v>7391709.0243180729</v>
      </c>
      <c r="H46" s="762" t="s">
        <v>88</v>
      </c>
      <c r="I46" s="762" t="s">
        <v>88</v>
      </c>
      <c r="J46" s="758"/>
      <c r="K46" s="758"/>
    </row>
    <row r="48" spans="1:11" x14ac:dyDescent="0.2">
      <c r="B48" s="763" t="s">
        <v>2385</v>
      </c>
    </row>
    <row r="49" spans="1:13" x14ac:dyDescent="0.2">
      <c r="B49" s="763"/>
      <c r="D49" s="791" t="s">
        <v>396</v>
      </c>
      <c r="E49" s="791" t="s">
        <v>380</v>
      </c>
      <c r="F49" s="791" t="s">
        <v>381</v>
      </c>
      <c r="G49" s="791" t="s">
        <v>382</v>
      </c>
      <c r="H49" s="791" t="s">
        <v>383</v>
      </c>
      <c r="I49" s="791" t="s">
        <v>384</v>
      </c>
      <c r="J49" s="791" t="s">
        <v>385</v>
      </c>
      <c r="K49" s="791" t="s">
        <v>599</v>
      </c>
    </row>
    <row r="50" spans="1:13" s="792" customFormat="1" x14ac:dyDescent="0.2">
      <c r="A50" s="1054"/>
      <c r="D50" s="549" t="s">
        <v>237</v>
      </c>
      <c r="E50" s="549" t="s">
        <v>237</v>
      </c>
      <c r="F50" s="549" t="s">
        <v>237</v>
      </c>
      <c r="G50" s="549" t="s">
        <v>237</v>
      </c>
      <c r="H50" s="549" t="s">
        <v>237</v>
      </c>
      <c r="I50" s="549" t="s">
        <v>237</v>
      </c>
      <c r="J50" s="549" t="s">
        <v>237</v>
      </c>
      <c r="K50" s="549" t="s">
        <v>237</v>
      </c>
      <c r="L50" s="1054"/>
    </row>
    <row r="51" spans="1:13" x14ac:dyDescent="0.2">
      <c r="G51" s="679" t="s">
        <v>2386</v>
      </c>
      <c r="K51" s="793"/>
    </row>
    <row r="52" spans="1:13" x14ac:dyDescent="0.2">
      <c r="A52" s="793"/>
      <c r="B52" s="793"/>
      <c r="C52" s="793"/>
      <c r="D52" s="793" t="s">
        <v>219</v>
      </c>
      <c r="E52" s="793" t="s">
        <v>2369</v>
      </c>
      <c r="F52" s="793" t="s">
        <v>2387</v>
      </c>
      <c r="G52" s="793" t="s">
        <v>217</v>
      </c>
      <c r="H52" s="793" t="s">
        <v>2388</v>
      </c>
      <c r="I52" s="794" t="s">
        <v>2389</v>
      </c>
      <c r="J52" s="793" t="s">
        <v>219</v>
      </c>
      <c r="K52" s="793" t="s">
        <v>19</v>
      </c>
    </row>
    <row r="53" spans="1:13" x14ac:dyDescent="0.2">
      <c r="A53" s="1114" t="s">
        <v>362</v>
      </c>
      <c r="B53" s="755" t="s">
        <v>213</v>
      </c>
      <c r="C53" s="755" t="s">
        <v>214</v>
      </c>
      <c r="D53" s="791" t="s">
        <v>2390</v>
      </c>
      <c r="E53" s="791" t="s">
        <v>2370</v>
      </c>
      <c r="F53" s="791" t="s">
        <v>2391</v>
      </c>
      <c r="G53" s="791" t="s">
        <v>2392</v>
      </c>
      <c r="H53" s="791" t="s">
        <v>2393</v>
      </c>
      <c r="I53" s="791" t="s">
        <v>2394</v>
      </c>
      <c r="J53" s="791" t="s">
        <v>2395</v>
      </c>
      <c r="K53" s="3" t="s">
        <v>2396</v>
      </c>
    </row>
    <row r="54" spans="1:13" x14ac:dyDescent="0.2">
      <c r="A54" s="117">
        <f>A46+1</f>
        <v>29</v>
      </c>
      <c r="B54" s="756" t="s">
        <v>201</v>
      </c>
      <c r="C54" s="757">
        <v>2012</v>
      </c>
      <c r="D54" s="800" t="s">
        <v>88</v>
      </c>
      <c r="E54" s="800" t="s">
        <v>88</v>
      </c>
      <c r="F54" s="800" t="s">
        <v>88</v>
      </c>
      <c r="G54" s="800" t="s">
        <v>88</v>
      </c>
      <c r="H54" s="800" t="s">
        <v>88</v>
      </c>
      <c r="I54" s="800" t="s">
        <v>88</v>
      </c>
      <c r="J54" s="7">
        <f>D25</f>
        <v>1696304100.4639215</v>
      </c>
      <c r="K54" s="800" t="s">
        <v>88</v>
      </c>
    </row>
    <row r="55" spans="1:13" x14ac:dyDescent="0.2">
      <c r="A55" s="117">
        <f>A54+1</f>
        <v>30</v>
      </c>
      <c r="B55" s="756" t="s">
        <v>202</v>
      </c>
      <c r="C55" s="757">
        <v>2013</v>
      </c>
      <c r="D55" s="7">
        <f t="shared" ref="D55:K64" si="4">D89+D122+D153+D186+D217+D250+D281+D314+D345+D378</f>
        <v>50267055.25</v>
      </c>
      <c r="E55" s="7">
        <f t="shared" si="4"/>
        <v>3770029.1437499998</v>
      </c>
      <c r="F55" s="7">
        <f t="shared" si="4"/>
        <v>54037084.393749997</v>
      </c>
      <c r="G55" s="7">
        <f t="shared" si="4"/>
        <v>145129213.62000015</v>
      </c>
      <c r="H55" s="7">
        <f t="shared" si="4"/>
        <v>295022532.56000024</v>
      </c>
      <c r="I55" s="7">
        <f t="shared" si="4"/>
        <v>-11241998.920500007</v>
      </c>
      <c r="J55" s="7">
        <f t="shared" si="4"/>
        <v>1616453970.1581717</v>
      </c>
      <c r="K55" s="7">
        <f t="shared" si="4"/>
        <v>-79850130.305750102</v>
      </c>
      <c r="L55" s="1051"/>
      <c r="M55" s="7"/>
    </row>
    <row r="56" spans="1:13" x14ac:dyDescent="0.2">
      <c r="A56" s="117">
        <f t="shared" ref="A56:A79" si="5">A55+1</f>
        <v>31</v>
      </c>
      <c r="B56" s="759" t="s">
        <v>203</v>
      </c>
      <c r="C56" s="757">
        <v>2013</v>
      </c>
      <c r="D56" s="7">
        <f t="shared" si="4"/>
        <v>97869953.579999998</v>
      </c>
      <c r="E56" s="7">
        <f t="shared" si="4"/>
        <v>7340246.5185000002</v>
      </c>
      <c r="F56" s="7">
        <f t="shared" si="4"/>
        <v>105210200.0985</v>
      </c>
      <c r="G56" s="7">
        <f t="shared" si="4"/>
        <v>9078877.8600000013</v>
      </c>
      <c r="H56" s="7">
        <f t="shared" si="4"/>
        <v>9046424.1300000008</v>
      </c>
      <c r="I56" s="7">
        <f t="shared" si="4"/>
        <v>2434.0297500000001</v>
      </c>
      <c r="J56" s="7">
        <f t="shared" si="4"/>
        <v>1712582858.3669214</v>
      </c>
      <c r="K56" s="7">
        <f t="shared" si="4"/>
        <v>16278757.902999958</v>
      </c>
      <c r="L56" s="1051"/>
      <c r="M56" s="7"/>
    </row>
    <row r="57" spans="1:13" x14ac:dyDescent="0.2">
      <c r="A57" s="117">
        <f t="shared" si="5"/>
        <v>32</v>
      </c>
      <c r="B57" s="759" t="s">
        <v>216</v>
      </c>
      <c r="C57" s="757">
        <v>2013</v>
      </c>
      <c r="D57" s="7">
        <f t="shared" si="4"/>
        <v>137376305.49077931</v>
      </c>
      <c r="E57" s="7">
        <f t="shared" si="4"/>
        <v>10303222.911808452</v>
      </c>
      <c r="F57" s="7">
        <f t="shared" si="4"/>
        <v>147679528.4025878</v>
      </c>
      <c r="G57" s="7">
        <f t="shared" si="4"/>
        <v>1988227.4600000007</v>
      </c>
      <c r="H57" s="7">
        <f t="shared" si="4"/>
        <v>1822508.7900000007</v>
      </c>
      <c r="I57" s="7">
        <f t="shared" si="4"/>
        <v>12428.900250000001</v>
      </c>
      <c r="J57" s="7">
        <f t="shared" si="4"/>
        <v>1858261730.4092593</v>
      </c>
      <c r="K57" s="7">
        <f t="shared" si="4"/>
        <v>161957629.94533786</v>
      </c>
      <c r="L57" s="1051"/>
      <c r="M57" s="7"/>
    </row>
    <row r="58" spans="1:13" x14ac:dyDescent="0.2">
      <c r="A58" s="117">
        <f t="shared" si="5"/>
        <v>33</v>
      </c>
      <c r="B58" s="756" t="s">
        <v>204</v>
      </c>
      <c r="C58" s="757">
        <v>2013</v>
      </c>
      <c r="D58" s="7">
        <f t="shared" si="4"/>
        <v>120237163.51025847</v>
      </c>
      <c r="E58" s="7">
        <f t="shared" si="4"/>
        <v>9017787.2632693853</v>
      </c>
      <c r="F58" s="7">
        <f t="shared" si="4"/>
        <v>129254950.77352788</v>
      </c>
      <c r="G58" s="7">
        <f t="shared" si="4"/>
        <v>9250949.846673375</v>
      </c>
      <c r="H58" s="7">
        <f t="shared" si="4"/>
        <v>9184478.7328800019</v>
      </c>
      <c r="I58" s="7">
        <f t="shared" si="4"/>
        <v>4985.3335345029618</v>
      </c>
      <c r="J58" s="7">
        <f t="shared" si="4"/>
        <v>1978260746.0025792</v>
      </c>
      <c r="K58" s="7">
        <f t="shared" si="4"/>
        <v>281956645.53865784</v>
      </c>
      <c r="L58" s="1051"/>
      <c r="M58" s="7"/>
    </row>
    <row r="59" spans="1:13" x14ac:dyDescent="0.2">
      <c r="A59" s="117">
        <f t="shared" si="5"/>
        <v>34</v>
      </c>
      <c r="B59" s="759" t="s">
        <v>205</v>
      </c>
      <c r="C59" s="757">
        <v>2013</v>
      </c>
      <c r="D59" s="7">
        <f t="shared" si="4"/>
        <v>78677738.589278594</v>
      </c>
      <c r="E59" s="7">
        <f t="shared" si="4"/>
        <v>5900830.3941958956</v>
      </c>
      <c r="F59" s="7">
        <f t="shared" si="4"/>
        <v>84578568.983474493</v>
      </c>
      <c r="G59" s="7">
        <f t="shared" si="4"/>
        <v>578970764.74242997</v>
      </c>
      <c r="H59" s="7">
        <f t="shared" si="4"/>
        <v>387475443.41800046</v>
      </c>
      <c r="I59" s="7">
        <f t="shared" si="4"/>
        <v>14362149.099332213</v>
      </c>
      <c r="J59" s="7">
        <f t="shared" si="4"/>
        <v>1469506401.1442914</v>
      </c>
      <c r="K59" s="7">
        <f t="shared" si="4"/>
        <v>-226797699.31962985</v>
      </c>
      <c r="L59" s="1051"/>
      <c r="M59" s="7"/>
    </row>
    <row r="60" spans="1:13" x14ac:dyDescent="0.2">
      <c r="A60" s="117">
        <f t="shared" si="5"/>
        <v>35</v>
      </c>
      <c r="B60" s="759" t="s">
        <v>1690</v>
      </c>
      <c r="C60" s="757">
        <v>2013</v>
      </c>
      <c r="D60" s="7">
        <f t="shared" si="4"/>
        <v>47897744.44489304</v>
      </c>
      <c r="E60" s="7">
        <f t="shared" si="4"/>
        <v>3592330.833366978</v>
      </c>
      <c r="F60" s="7">
        <f t="shared" si="4"/>
        <v>51490075.278260022</v>
      </c>
      <c r="G60" s="7">
        <f t="shared" si="4"/>
        <v>304260491.25735378</v>
      </c>
      <c r="H60" s="7">
        <f t="shared" si="4"/>
        <v>209603011.40799999</v>
      </c>
      <c r="I60" s="7">
        <f t="shared" si="4"/>
        <v>7099310.9887015354</v>
      </c>
      <c r="J60" s="7">
        <f t="shared" si="4"/>
        <v>1209636674.1764963</v>
      </c>
      <c r="K60" s="7">
        <f t="shared" si="4"/>
        <v>-486667426.28742528</v>
      </c>
      <c r="L60" s="1051"/>
      <c r="M60" s="7"/>
    </row>
    <row r="61" spans="1:13" x14ac:dyDescent="0.2">
      <c r="A61" s="117">
        <f t="shared" si="5"/>
        <v>36</v>
      </c>
      <c r="B61" s="756" t="s">
        <v>207</v>
      </c>
      <c r="C61" s="757">
        <v>2013</v>
      </c>
      <c r="D61" s="7">
        <f t="shared" si="4"/>
        <v>48923475.974959061</v>
      </c>
      <c r="E61" s="7">
        <f t="shared" si="4"/>
        <v>3669260.6981219291</v>
      </c>
      <c r="F61" s="7">
        <f t="shared" si="4"/>
        <v>52592736.673080988</v>
      </c>
      <c r="G61" s="7">
        <f t="shared" si="4"/>
        <v>194776904.06134742</v>
      </c>
      <c r="H61" s="7">
        <f t="shared" si="4"/>
        <v>125045980.76000008</v>
      </c>
      <c r="I61" s="7">
        <f t="shared" si="4"/>
        <v>5229819.2476010518</v>
      </c>
      <c r="J61" s="7">
        <f t="shared" si="4"/>
        <v>1062222687.5406288</v>
      </c>
      <c r="K61" s="7">
        <f t="shared" si="4"/>
        <v>-634081412.92329276</v>
      </c>
      <c r="L61" s="1051"/>
      <c r="M61" s="7"/>
    </row>
    <row r="62" spans="1:13" x14ac:dyDescent="0.2">
      <c r="A62" s="117">
        <f t="shared" si="5"/>
        <v>37</v>
      </c>
      <c r="B62" s="759" t="s">
        <v>208</v>
      </c>
      <c r="C62" s="757">
        <v>2013</v>
      </c>
      <c r="D62" s="7">
        <f t="shared" si="4"/>
        <v>47992536.339006558</v>
      </c>
      <c r="E62" s="7">
        <f t="shared" si="4"/>
        <v>3599440.2254254911</v>
      </c>
      <c r="F62" s="7">
        <f t="shared" si="4"/>
        <v>51591976.56443204</v>
      </c>
      <c r="G62" s="7">
        <f t="shared" si="4"/>
        <v>28117421.389449064</v>
      </c>
      <c r="H62" s="7">
        <f t="shared" si="4"/>
        <v>16238607.729999999</v>
      </c>
      <c r="I62" s="7">
        <f t="shared" si="4"/>
        <v>890911.02445868007</v>
      </c>
      <c r="J62" s="7">
        <f t="shared" si="4"/>
        <v>1084806331.691153</v>
      </c>
      <c r="K62" s="7">
        <f t="shared" si="4"/>
        <v>-611497768.77276826</v>
      </c>
      <c r="L62" s="1051"/>
      <c r="M62" s="7"/>
    </row>
    <row r="63" spans="1:13" x14ac:dyDescent="0.2">
      <c r="A63" s="117">
        <f t="shared" si="5"/>
        <v>38</v>
      </c>
      <c r="B63" s="759" t="s">
        <v>209</v>
      </c>
      <c r="C63" s="757">
        <v>2013</v>
      </c>
      <c r="D63" s="7">
        <f t="shared" si="4"/>
        <v>33229027.402396694</v>
      </c>
      <c r="E63" s="7">
        <f t="shared" si="4"/>
        <v>2492177.0551797524</v>
      </c>
      <c r="F63" s="7">
        <f t="shared" si="4"/>
        <v>35721204.457576446</v>
      </c>
      <c r="G63" s="7">
        <f t="shared" si="4"/>
        <v>233932611.36833364</v>
      </c>
      <c r="H63" s="7">
        <f t="shared" si="4"/>
        <v>169831199.51800036</v>
      </c>
      <c r="I63" s="7">
        <f t="shared" si="4"/>
        <v>4807605.8887749957</v>
      </c>
      <c r="J63" s="7">
        <f t="shared" si="4"/>
        <v>881787318.89162076</v>
      </c>
      <c r="K63" s="7">
        <f t="shared" si="4"/>
        <v>-814516781.57230067</v>
      </c>
      <c r="L63" s="1051"/>
      <c r="M63" s="7"/>
    </row>
    <row r="64" spans="1:13" x14ac:dyDescent="0.2">
      <c r="A64" s="117">
        <f t="shared" si="5"/>
        <v>39</v>
      </c>
      <c r="B64" s="756" t="s">
        <v>212</v>
      </c>
      <c r="C64" s="757">
        <v>2013</v>
      </c>
      <c r="D64" s="7">
        <f t="shared" si="4"/>
        <v>62432102.682293735</v>
      </c>
      <c r="E64" s="7">
        <f t="shared" si="4"/>
        <v>4682407.7011720305</v>
      </c>
      <c r="F64" s="7">
        <f t="shared" si="4"/>
        <v>67114510.383465752</v>
      </c>
      <c r="G64" s="7">
        <f t="shared" si="4"/>
        <v>12122758.021260262</v>
      </c>
      <c r="H64" s="7">
        <f t="shared" si="4"/>
        <v>2179499.4080000003</v>
      </c>
      <c r="I64" s="7">
        <f t="shared" si="4"/>
        <v>745744.3959945197</v>
      </c>
      <c r="J64" s="7">
        <f t="shared" si="4"/>
        <v>936033326.8578316</v>
      </c>
      <c r="K64" s="7">
        <f t="shared" si="4"/>
        <v>-760270773.60608971</v>
      </c>
      <c r="L64" s="1051"/>
      <c r="M64" s="7"/>
    </row>
    <row r="65" spans="1:13" x14ac:dyDescent="0.2">
      <c r="A65" s="117">
        <f t="shared" si="5"/>
        <v>40</v>
      </c>
      <c r="B65" s="756" t="s">
        <v>211</v>
      </c>
      <c r="C65" s="757">
        <v>2013</v>
      </c>
      <c r="D65" s="7">
        <f t="shared" ref="D65:K74" si="6">D99+D132+D163+D196+D227+D260+D291+D324+D355+D388</f>
        <v>31348212.954588011</v>
      </c>
      <c r="E65" s="7">
        <f t="shared" si="6"/>
        <v>2351115.9715941004</v>
      </c>
      <c r="F65" s="7">
        <f t="shared" si="6"/>
        <v>33699328.926182114</v>
      </c>
      <c r="G65" s="7">
        <f t="shared" si="6"/>
        <v>220208460.82001409</v>
      </c>
      <c r="H65" s="7">
        <f t="shared" si="6"/>
        <v>111091694.4000003</v>
      </c>
      <c r="I65" s="7">
        <f t="shared" si="6"/>
        <v>8183757.4815010335</v>
      </c>
      <c r="J65" s="7">
        <f t="shared" si="6"/>
        <v>741340437.48249876</v>
      </c>
      <c r="K65" s="7">
        <f t="shared" si="6"/>
        <v>-954963662.98142278</v>
      </c>
      <c r="L65" s="1051"/>
      <c r="M65" s="7"/>
    </row>
    <row r="66" spans="1:13" x14ac:dyDescent="0.2">
      <c r="A66" s="117">
        <f t="shared" si="5"/>
        <v>41</v>
      </c>
      <c r="B66" s="756" t="s">
        <v>201</v>
      </c>
      <c r="C66" s="757">
        <v>2013</v>
      </c>
      <c r="D66" s="7">
        <f t="shared" si="6"/>
        <v>41877877.26929637</v>
      </c>
      <c r="E66" s="7">
        <f t="shared" si="6"/>
        <v>3140840.7951972284</v>
      </c>
      <c r="F66" s="7">
        <f t="shared" si="6"/>
        <v>45018718.064493604</v>
      </c>
      <c r="G66" s="7">
        <f t="shared" si="6"/>
        <v>157414691.6953938</v>
      </c>
      <c r="H66" s="7">
        <f t="shared" si="6"/>
        <v>85054377.630700752</v>
      </c>
      <c r="I66" s="7">
        <f t="shared" si="6"/>
        <v>5427023.5548519762</v>
      </c>
      <c r="J66" s="7">
        <f t="shared" si="6"/>
        <v>623517440.29674637</v>
      </c>
      <c r="K66" s="7">
        <f t="shared" si="6"/>
        <v>-1072786660.1671752</v>
      </c>
      <c r="L66" s="1051"/>
      <c r="M66" s="7"/>
    </row>
    <row r="67" spans="1:13" x14ac:dyDescent="0.2">
      <c r="A67" s="117">
        <f t="shared" si="5"/>
        <v>42</v>
      </c>
      <c r="B67" s="756" t="s">
        <v>202</v>
      </c>
      <c r="C67" s="757">
        <v>2014</v>
      </c>
      <c r="D67" s="7">
        <f t="shared" si="6"/>
        <v>45999140.387414642</v>
      </c>
      <c r="E67" s="7">
        <f t="shared" si="6"/>
        <v>3449935.5290560983</v>
      </c>
      <c r="F67" s="7">
        <f t="shared" si="6"/>
        <v>49449075.916470751</v>
      </c>
      <c r="G67" s="7">
        <f t="shared" si="6"/>
        <v>14970553.580666667</v>
      </c>
      <c r="H67" s="7">
        <f t="shared" si="6"/>
        <v>311404.80000000005</v>
      </c>
      <c r="I67" s="7">
        <f t="shared" si="6"/>
        <v>1099436.1585500001</v>
      </c>
      <c r="J67" s="7">
        <f t="shared" si="6"/>
        <v>656896526.47400057</v>
      </c>
      <c r="K67" s="7">
        <f t="shared" si="6"/>
        <v>-1039407573.9899209</v>
      </c>
      <c r="L67" s="1051"/>
      <c r="M67" s="7"/>
    </row>
    <row r="68" spans="1:13" x14ac:dyDescent="0.2">
      <c r="A68" s="117">
        <f t="shared" si="5"/>
        <v>43</v>
      </c>
      <c r="B68" s="759" t="s">
        <v>203</v>
      </c>
      <c r="C68" s="757">
        <v>2014</v>
      </c>
      <c r="D68" s="7">
        <f t="shared" si="6"/>
        <v>36570067.601348355</v>
      </c>
      <c r="E68" s="7">
        <f t="shared" si="6"/>
        <v>2742755.0701011266</v>
      </c>
      <c r="F68" s="7">
        <f t="shared" si="6"/>
        <v>39312822.671449475</v>
      </c>
      <c r="G68" s="7">
        <f t="shared" si="6"/>
        <v>11816256.540666668</v>
      </c>
      <c r="H68" s="7">
        <f t="shared" si="6"/>
        <v>370817.76</v>
      </c>
      <c r="I68" s="7">
        <f t="shared" si="6"/>
        <v>858407.90854999993</v>
      </c>
      <c r="J68" s="7">
        <f t="shared" si="6"/>
        <v>683534684.69623339</v>
      </c>
      <c r="K68" s="7">
        <f t="shared" si="6"/>
        <v>-1012769415.767688</v>
      </c>
      <c r="L68" s="1051"/>
      <c r="M68" s="7"/>
    </row>
    <row r="69" spans="1:13" x14ac:dyDescent="0.2">
      <c r="A69" s="117">
        <f t="shared" si="5"/>
        <v>44</v>
      </c>
      <c r="B69" s="759" t="s">
        <v>216</v>
      </c>
      <c r="C69" s="757">
        <v>2014</v>
      </c>
      <c r="D69" s="7">
        <f t="shared" si="6"/>
        <v>39162654.9566378</v>
      </c>
      <c r="E69" s="7">
        <f t="shared" si="6"/>
        <v>2937199.1217478346</v>
      </c>
      <c r="F69" s="7">
        <f t="shared" si="6"/>
        <v>42099854.078385629</v>
      </c>
      <c r="G69" s="7">
        <f t="shared" si="6"/>
        <v>11147138.220666667</v>
      </c>
      <c r="H69" s="7">
        <f t="shared" si="6"/>
        <v>437989.44</v>
      </c>
      <c r="I69" s="7">
        <f t="shared" si="6"/>
        <v>803186.15854999993</v>
      </c>
      <c r="J69" s="7">
        <f t="shared" si="6"/>
        <v>713684214.39540231</v>
      </c>
      <c r="K69" s="7">
        <f t="shared" si="6"/>
        <v>-982619886.068519</v>
      </c>
      <c r="L69" s="1051"/>
      <c r="M69" s="7"/>
    </row>
    <row r="70" spans="1:13" x14ac:dyDescent="0.2">
      <c r="A70" s="117">
        <f t="shared" si="5"/>
        <v>45</v>
      </c>
      <c r="B70" s="756" t="s">
        <v>204</v>
      </c>
      <c r="C70" s="757">
        <v>2014</v>
      </c>
      <c r="D70" s="7">
        <f t="shared" si="6"/>
        <v>19821080.316562839</v>
      </c>
      <c r="E70" s="7">
        <f t="shared" si="6"/>
        <v>1486581.0237422127</v>
      </c>
      <c r="F70" s="7">
        <f t="shared" si="6"/>
        <v>21307661.340305045</v>
      </c>
      <c r="G70" s="7">
        <f t="shared" si="6"/>
        <v>5752812.583333333</v>
      </c>
      <c r="H70" s="7">
        <f t="shared" si="6"/>
        <v>300000</v>
      </c>
      <c r="I70" s="7">
        <f t="shared" si="6"/>
        <v>408960.94374999998</v>
      </c>
      <c r="J70" s="7">
        <f t="shared" si="6"/>
        <v>728830102.20862424</v>
      </c>
      <c r="K70" s="7">
        <f t="shared" si="6"/>
        <v>-967473998.25529718</v>
      </c>
      <c r="L70" s="1051"/>
      <c r="M70" s="7"/>
    </row>
    <row r="71" spans="1:13" x14ac:dyDescent="0.2">
      <c r="A71" s="117">
        <f t="shared" si="5"/>
        <v>46</v>
      </c>
      <c r="B71" s="759" t="s">
        <v>205</v>
      </c>
      <c r="C71" s="757">
        <v>2014</v>
      </c>
      <c r="D71" s="7">
        <f t="shared" si="6"/>
        <v>21655143.71626246</v>
      </c>
      <c r="E71" s="7">
        <f t="shared" si="6"/>
        <v>1624135.7787196846</v>
      </c>
      <c r="F71" s="7">
        <f t="shared" si="6"/>
        <v>23279279.494982142</v>
      </c>
      <c r="G71" s="7">
        <f t="shared" si="6"/>
        <v>4127812.5833333335</v>
      </c>
      <c r="H71" s="7">
        <f t="shared" si="6"/>
        <v>300000</v>
      </c>
      <c r="I71" s="7">
        <f t="shared" si="6"/>
        <v>287085.94374999998</v>
      </c>
      <c r="J71" s="7">
        <f t="shared" si="6"/>
        <v>747694483.17652309</v>
      </c>
      <c r="K71" s="7">
        <f t="shared" si="6"/>
        <v>-948609617.28739834</v>
      </c>
      <c r="L71" s="1051"/>
      <c r="M71" s="7"/>
    </row>
    <row r="72" spans="1:13" x14ac:dyDescent="0.2">
      <c r="A72" s="117">
        <f t="shared" si="5"/>
        <v>47</v>
      </c>
      <c r="B72" s="759" t="s">
        <v>1690</v>
      </c>
      <c r="C72" s="757">
        <v>2014</v>
      </c>
      <c r="D72" s="7">
        <f t="shared" si="6"/>
        <v>18063520.056371771</v>
      </c>
      <c r="E72" s="7">
        <f t="shared" si="6"/>
        <v>1354764.0042278829</v>
      </c>
      <c r="F72" s="7">
        <f t="shared" si="6"/>
        <v>19418284.060599655</v>
      </c>
      <c r="G72" s="7">
        <f t="shared" si="6"/>
        <v>4018645.583333333</v>
      </c>
      <c r="H72" s="7">
        <f t="shared" si="6"/>
        <v>185633</v>
      </c>
      <c r="I72" s="7">
        <f t="shared" si="6"/>
        <v>287475.94374999998</v>
      </c>
      <c r="J72" s="7">
        <f t="shared" si="6"/>
        <v>762806645.7100395</v>
      </c>
      <c r="K72" s="7">
        <f t="shared" si="6"/>
        <v>-933497454.75388193</v>
      </c>
      <c r="L72" s="1051"/>
      <c r="M72" s="7"/>
    </row>
    <row r="73" spans="1:13" x14ac:dyDescent="0.2">
      <c r="A73" s="117">
        <f t="shared" si="5"/>
        <v>48</v>
      </c>
      <c r="B73" s="756" t="s">
        <v>207</v>
      </c>
      <c r="C73" s="757">
        <v>2014</v>
      </c>
      <c r="D73" s="7">
        <f t="shared" si="6"/>
        <v>14605964.975094885</v>
      </c>
      <c r="E73" s="7">
        <f t="shared" si="6"/>
        <v>1095447.3731321164</v>
      </c>
      <c r="F73" s="7">
        <f t="shared" si="6"/>
        <v>15701412.348227002</v>
      </c>
      <c r="G73" s="7">
        <f t="shared" si="6"/>
        <v>1474429.9166666665</v>
      </c>
      <c r="H73" s="7">
        <f t="shared" si="6"/>
        <v>0</v>
      </c>
      <c r="I73" s="7">
        <f t="shared" si="6"/>
        <v>110582.24374999999</v>
      </c>
      <c r="J73" s="7">
        <f t="shared" si="6"/>
        <v>776923045.89784992</v>
      </c>
      <c r="K73" s="7">
        <f t="shared" si="6"/>
        <v>-919381054.56607151</v>
      </c>
      <c r="L73" s="1051"/>
      <c r="M73" s="7"/>
    </row>
    <row r="74" spans="1:13" x14ac:dyDescent="0.2">
      <c r="A74" s="117">
        <f t="shared" si="5"/>
        <v>49</v>
      </c>
      <c r="B74" s="759" t="s">
        <v>208</v>
      </c>
      <c r="C74" s="757">
        <v>2014</v>
      </c>
      <c r="D74" s="7">
        <f t="shared" si="6"/>
        <v>16046375.940404885</v>
      </c>
      <c r="E74" s="7">
        <f t="shared" si="6"/>
        <v>1203478.1955303664</v>
      </c>
      <c r="F74" s="7">
        <f t="shared" si="6"/>
        <v>17249854.135935247</v>
      </c>
      <c r="G74" s="7">
        <f t="shared" si="6"/>
        <v>1434529.9166666665</v>
      </c>
      <c r="H74" s="7">
        <f t="shared" si="6"/>
        <v>0</v>
      </c>
      <c r="I74" s="7">
        <f t="shared" si="6"/>
        <v>107589.74374999999</v>
      </c>
      <c r="J74" s="7">
        <f t="shared" si="6"/>
        <v>792630780.37336862</v>
      </c>
      <c r="K74" s="7">
        <f t="shared" si="6"/>
        <v>-903673320.09055293</v>
      </c>
      <c r="L74" s="1051"/>
      <c r="M74" s="7"/>
    </row>
    <row r="75" spans="1:13" x14ac:dyDescent="0.2">
      <c r="A75" s="117">
        <f t="shared" si="5"/>
        <v>50</v>
      </c>
      <c r="B75" s="759" t="s">
        <v>209</v>
      </c>
      <c r="C75" s="757">
        <v>2014</v>
      </c>
      <c r="D75" s="7">
        <f t="shared" ref="D75:K75" si="7">D109+D142+D173+D206+D237+D270+D301+D334+D365+D398</f>
        <v>17864466.010955501</v>
      </c>
      <c r="E75" s="7">
        <f t="shared" si="7"/>
        <v>1339834.9508216626</v>
      </c>
      <c r="F75" s="7">
        <f t="shared" si="7"/>
        <v>19204300.961777166</v>
      </c>
      <c r="G75" s="7">
        <f t="shared" si="7"/>
        <v>1592479.9166666665</v>
      </c>
      <c r="H75" s="7">
        <f t="shared" si="7"/>
        <v>157950</v>
      </c>
      <c r="I75" s="7">
        <f t="shared" si="7"/>
        <v>107589.74374999999</v>
      </c>
      <c r="J75" s="7">
        <f t="shared" si="7"/>
        <v>810135011.67472923</v>
      </c>
      <c r="K75" s="555">
        <f t="shared" si="7"/>
        <v>-886169088.78919232</v>
      </c>
      <c r="L75" s="1051"/>
      <c r="M75" s="7"/>
    </row>
    <row r="76" spans="1:13" x14ac:dyDescent="0.2">
      <c r="A76" s="117">
        <f t="shared" si="5"/>
        <v>51</v>
      </c>
      <c r="B76" s="759" t="s">
        <v>212</v>
      </c>
      <c r="C76" s="757">
        <v>2014</v>
      </c>
      <c r="D76" s="7">
        <f>D110+D143+D174+D207+D238+D271+D302+D335+D366</f>
        <v>17361939.494164977</v>
      </c>
      <c r="E76" s="7">
        <f>E110+E143+E174+E207+E238+E271+E302+E335+E366+E399</f>
        <v>1302145.4620623731</v>
      </c>
      <c r="F76" s="7">
        <f t="shared" ref="F76:K78" si="8">F110+F143+F174+F207+F238+F271+F302+F335+F366+F399</f>
        <v>18664084.956227347</v>
      </c>
      <c r="G76" s="7">
        <f t="shared" si="8"/>
        <v>1431529.9166666665</v>
      </c>
      <c r="H76" s="7">
        <f t="shared" si="8"/>
        <v>0</v>
      </c>
      <c r="I76" s="7">
        <f t="shared" si="8"/>
        <v>107364.74374999999</v>
      </c>
      <c r="J76" s="7">
        <f t="shared" si="8"/>
        <v>827260201.97054005</v>
      </c>
      <c r="K76" s="555">
        <f t="shared" si="8"/>
        <v>-869043898.49338138</v>
      </c>
      <c r="L76" s="1051"/>
      <c r="M76" s="7"/>
    </row>
    <row r="77" spans="1:13" x14ac:dyDescent="0.2">
      <c r="A77" s="117">
        <f t="shared" si="5"/>
        <v>52</v>
      </c>
      <c r="B77" s="759" t="s">
        <v>211</v>
      </c>
      <c r="C77" s="757">
        <v>2014</v>
      </c>
      <c r="D77" s="7">
        <f>D111+D144+D175+D208+D239+D272+D303+D336+D367</f>
        <v>14712574.19445779</v>
      </c>
      <c r="E77" s="7">
        <f>E111+E144+E175+E208+E239+E272+E303+E336+E367+E400</f>
        <v>1103443.0645843341</v>
      </c>
      <c r="F77" s="7">
        <f t="shared" si="8"/>
        <v>15816017.259042125</v>
      </c>
      <c r="G77" s="7">
        <f t="shared" si="8"/>
        <v>1589529.9166666665</v>
      </c>
      <c r="H77" s="7">
        <f t="shared" si="8"/>
        <v>0</v>
      </c>
      <c r="I77" s="7">
        <f t="shared" si="8"/>
        <v>119214.74374999999</v>
      </c>
      <c r="J77" s="7">
        <f t="shared" si="8"/>
        <v>841367474.56916547</v>
      </c>
      <c r="K77" s="555">
        <f t="shared" si="8"/>
        <v>-854936625.89475596</v>
      </c>
      <c r="L77" s="1051"/>
      <c r="M77" s="7"/>
    </row>
    <row r="78" spans="1:13" x14ac:dyDescent="0.2">
      <c r="A78" s="117">
        <f t="shared" si="5"/>
        <v>53</v>
      </c>
      <c r="B78" s="759" t="s">
        <v>201</v>
      </c>
      <c r="C78" s="757">
        <v>2014</v>
      </c>
      <c r="D78" s="7">
        <f>D112+D145+D176+D209+D240+D273+D304+D337+D368+D401</f>
        <v>15478560.601462318</v>
      </c>
      <c r="E78" s="7">
        <f>E112+E145+E176+E209+E240+E273+E304+E337+E368+E401</f>
        <v>1160892.0451096739</v>
      </c>
      <c r="F78" s="7">
        <f t="shared" si="8"/>
        <v>16639452.646571992</v>
      </c>
      <c r="G78" s="7">
        <f t="shared" si="8"/>
        <v>60839963.86666666</v>
      </c>
      <c r="H78" s="7">
        <f t="shared" si="8"/>
        <v>15217238.950000001</v>
      </c>
      <c r="I78" s="7">
        <f t="shared" si="8"/>
        <v>3421704.3687499994</v>
      </c>
      <c r="J78" s="7">
        <f t="shared" si="8"/>
        <v>793745258.98032093</v>
      </c>
      <c r="K78" s="97">
        <f>K112+K145+K176+K209+K240+K273+K304+K337+K368+K401</f>
        <v>-902558841.4836005</v>
      </c>
      <c r="L78" s="1052"/>
      <c r="M78" s="7"/>
    </row>
    <row r="79" spans="1:13" x14ac:dyDescent="0.2">
      <c r="A79" s="117">
        <f t="shared" si="5"/>
        <v>54</v>
      </c>
      <c r="C79" s="795" t="s">
        <v>1867</v>
      </c>
      <c r="K79" s="78">
        <f>AVERAGE(K66:K78)</f>
        <v>-945609802.73903346</v>
      </c>
      <c r="L79" s="1055"/>
    </row>
    <row r="81" spans="1:11" x14ac:dyDescent="0.2">
      <c r="B81" s="763" t="s">
        <v>2397</v>
      </c>
    </row>
    <row r="82" spans="1:11" s="796" customFormat="1" x14ac:dyDescent="0.2">
      <c r="B82" s="797" t="s">
        <v>2398</v>
      </c>
      <c r="D82" s="1412" t="s">
        <v>251</v>
      </c>
      <c r="E82" s="1412"/>
    </row>
    <row r="83" spans="1:11" s="791" customFormat="1" x14ac:dyDescent="0.2">
      <c r="D83" s="791" t="s">
        <v>396</v>
      </c>
      <c r="E83" s="791" t="s">
        <v>380</v>
      </c>
      <c r="F83" s="791" t="s">
        <v>381</v>
      </c>
      <c r="G83" s="791" t="s">
        <v>382</v>
      </c>
      <c r="H83" s="791" t="s">
        <v>383</v>
      </c>
      <c r="I83" s="791" t="s">
        <v>384</v>
      </c>
      <c r="J83" s="791" t="s">
        <v>385</v>
      </c>
      <c r="K83" s="791" t="s">
        <v>599</v>
      </c>
    </row>
    <row r="84" spans="1:11" s="796" customFormat="1" ht="25.9" customHeight="1" x14ac:dyDescent="0.2">
      <c r="D84" s="798"/>
      <c r="E84" s="799" t="s">
        <v>2762</v>
      </c>
      <c r="F84" s="800" t="s">
        <v>2399</v>
      </c>
      <c r="G84" s="557"/>
      <c r="H84" s="798"/>
      <c r="I84" s="799" t="s">
        <v>2763</v>
      </c>
      <c r="J84" s="799" t="s">
        <v>2400</v>
      </c>
      <c r="K84" s="799" t="s">
        <v>2401</v>
      </c>
    </row>
    <row r="85" spans="1:11" s="796" customFormat="1" x14ac:dyDescent="0.2">
      <c r="D85" s="798"/>
      <c r="E85" s="801"/>
      <c r="F85" s="801"/>
      <c r="G85" s="679" t="str">
        <f>G51</f>
        <v>Unloaded</v>
      </c>
      <c r="H85" s="798"/>
      <c r="I85" s="801"/>
      <c r="J85" s="801"/>
      <c r="K85" s="679"/>
    </row>
    <row r="86" spans="1:11" s="793" customFormat="1" x14ac:dyDescent="0.2">
      <c r="D86" s="793" t="str">
        <f>D$52</f>
        <v>Forecast</v>
      </c>
      <c r="E86" s="793" t="str">
        <f t="shared" ref="E86:J86" si="9">E$52</f>
        <v>Corporate</v>
      </c>
      <c r="F86" s="793" t="str">
        <f t="shared" si="9"/>
        <v xml:space="preserve">Total </v>
      </c>
      <c r="G86" s="679" t="str">
        <f>G52</f>
        <v>Total</v>
      </c>
      <c r="H86" s="793" t="str">
        <f t="shared" si="9"/>
        <v>Prior Period</v>
      </c>
      <c r="I86" s="793" t="str">
        <f t="shared" si="9"/>
        <v>Over Heads</v>
      </c>
      <c r="J86" s="793" t="str">
        <f t="shared" si="9"/>
        <v>Forecast</v>
      </c>
      <c r="K86" s="679" t="str">
        <f>K$52</f>
        <v>Forecast Period</v>
      </c>
    </row>
    <row r="87" spans="1:11" s="796" customFormat="1" x14ac:dyDescent="0.2">
      <c r="A87" s="1114" t="s">
        <v>362</v>
      </c>
      <c r="B87" s="755" t="s">
        <v>213</v>
      </c>
      <c r="C87" s="755" t="s">
        <v>214</v>
      </c>
      <c r="D87" s="791" t="str">
        <f>D$53</f>
        <v>Expenditures</v>
      </c>
      <c r="E87" s="791" t="str">
        <f t="shared" ref="E87:J87" si="10">E$53</f>
        <v>Overheads</v>
      </c>
      <c r="F87" s="791" t="str">
        <f t="shared" si="10"/>
        <v>CWIP Exp</v>
      </c>
      <c r="G87" s="3" t="str">
        <f>G53</f>
        <v>Plant Adds</v>
      </c>
      <c r="H87" s="791" t="str">
        <f t="shared" si="10"/>
        <v>CWIP Closed</v>
      </c>
      <c r="I87" s="791" t="str">
        <f t="shared" si="10"/>
        <v>Closed to PIS</v>
      </c>
      <c r="J87" s="791" t="str">
        <f t="shared" si="10"/>
        <v>Period CWIP</v>
      </c>
      <c r="K87" s="791" t="str">
        <f>K$53</f>
        <v>Incremental CWIP</v>
      </c>
    </row>
    <row r="88" spans="1:11" s="796" customFormat="1" x14ac:dyDescent="0.2">
      <c r="A88" s="117">
        <f>A79+1</f>
        <v>55</v>
      </c>
      <c r="B88" s="756" t="s">
        <v>201</v>
      </c>
      <c r="C88" s="757">
        <v>2012</v>
      </c>
      <c r="D88" s="800" t="s">
        <v>88</v>
      </c>
      <c r="E88" s="800" t="s">
        <v>88</v>
      </c>
      <c r="F88" s="800" t="s">
        <v>88</v>
      </c>
      <c r="G88" s="800" t="s">
        <v>88</v>
      </c>
      <c r="H88" s="800" t="s">
        <v>88</v>
      </c>
      <c r="I88" s="800" t="s">
        <v>88</v>
      </c>
      <c r="J88" s="64">
        <f>E25</f>
        <v>786298777.73778844</v>
      </c>
      <c r="K88" s="800" t="s">
        <v>88</v>
      </c>
    </row>
    <row r="89" spans="1:11" s="796" customFormat="1" x14ac:dyDescent="0.2">
      <c r="A89" s="117">
        <f>A88+1</f>
        <v>56</v>
      </c>
      <c r="B89" s="756" t="s">
        <v>202</v>
      </c>
      <c r="C89" s="757">
        <v>2013</v>
      </c>
      <c r="D89" s="114">
        <v>9701433.4199999962</v>
      </c>
      <c r="E89" s="64">
        <f>D89*'16-PlantAdditions'!$E$103</f>
        <v>727607.50649999967</v>
      </c>
      <c r="F89" s="64">
        <f>E89+D89</f>
        <v>10429040.926499996</v>
      </c>
      <c r="G89" s="114">
        <v>145265213.62000015</v>
      </c>
      <c r="H89" s="114">
        <v>295158532.56000024</v>
      </c>
      <c r="I89" s="64">
        <f>(G89-H89)*'16-PlantAdditions'!$E$103</f>
        <v>-11241998.920500007</v>
      </c>
      <c r="J89" s="64">
        <f>J88+F89-G89-I89</f>
        <v>662704603.96478832</v>
      </c>
      <c r="K89" s="64">
        <f>J89-$J$88</f>
        <v>-123594173.77300012</v>
      </c>
    </row>
    <row r="90" spans="1:11" s="796" customFormat="1" x14ac:dyDescent="0.2">
      <c r="A90" s="117">
        <f t="shared" ref="A90:A108" si="11">A89+1</f>
        <v>57</v>
      </c>
      <c r="B90" s="759" t="s">
        <v>203</v>
      </c>
      <c r="C90" s="757">
        <v>2013</v>
      </c>
      <c r="D90" s="114">
        <v>21194439.509999998</v>
      </c>
      <c r="E90" s="64">
        <f>D90*'16-PlantAdditions'!$E$103</f>
        <v>1589582.9632499998</v>
      </c>
      <c r="F90" s="64">
        <f t="shared" ref="F90:F112" si="12">E90+D90</f>
        <v>22784022.473249998</v>
      </c>
      <c r="G90" s="114">
        <v>8901321.8600000013</v>
      </c>
      <c r="H90" s="114">
        <v>8901321.8600000013</v>
      </c>
      <c r="I90" s="64">
        <f>(G90-H90)*'16-PlantAdditions'!$E$103</f>
        <v>0</v>
      </c>
      <c r="J90" s="64">
        <f t="shared" ref="J90:J108" si="13">J89+F90-G90-I90</f>
        <v>676587304.57803833</v>
      </c>
      <c r="K90" s="64">
        <f t="shared" ref="K90:K112" si="14">J90-$J$88</f>
        <v>-109711473.1597501</v>
      </c>
    </row>
    <row r="91" spans="1:11" s="796" customFormat="1" x14ac:dyDescent="0.2">
      <c r="A91" s="117">
        <f t="shared" si="11"/>
        <v>58</v>
      </c>
      <c r="B91" s="759" t="s">
        <v>216</v>
      </c>
      <c r="C91" s="757">
        <v>2013</v>
      </c>
      <c r="D91" s="114">
        <v>24702735.060779326</v>
      </c>
      <c r="E91" s="64">
        <f>D91*'16-PlantAdditions'!$E$103</f>
        <v>1852705.1295584494</v>
      </c>
      <c r="F91" s="64">
        <f t="shared" si="12"/>
        <v>26555440.190337773</v>
      </c>
      <c r="G91" s="114">
        <v>1810508.7900000007</v>
      </c>
      <c r="H91" s="114">
        <v>1810508.7900000007</v>
      </c>
      <c r="I91" s="64">
        <f>(G91-H91)*'16-PlantAdditions'!$E$103</f>
        <v>0</v>
      </c>
      <c r="J91" s="64">
        <f t="shared" si="13"/>
        <v>701332235.97837615</v>
      </c>
      <c r="K91" s="64">
        <f t="shared" si="14"/>
        <v>-84966541.759412289</v>
      </c>
    </row>
    <row r="92" spans="1:11" s="796" customFormat="1" x14ac:dyDescent="0.2">
      <c r="A92" s="117">
        <f t="shared" si="11"/>
        <v>59</v>
      </c>
      <c r="B92" s="756" t="s">
        <v>204</v>
      </c>
      <c r="C92" s="757">
        <v>2013</v>
      </c>
      <c r="D92" s="114">
        <v>29500491.529659335</v>
      </c>
      <c r="E92" s="64">
        <f>D92*'16-PlantAdditions'!$E$103</f>
        <v>2212536.8647244498</v>
      </c>
      <c r="F92" s="64">
        <f t="shared" si="12"/>
        <v>31713028.394383784</v>
      </c>
      <c r="G92" s="114">
        <v>8804478.7328800019</v>
      </c>
      <c r="H92" s="114">
        <v>8804478.7328800019</v>
      </c>
      <c r="I92" s="64">
        <f>(G92-H92)*'16-PlantAdditions'!$E$103</f>
        <v>0</v>
      </c>
      <c r="J92" s="64">
        <f t="shared" si="13"/>
        <v>724240785.63987994</v>
      </c>
      <c r="K92" s="64">
        <f t="shared" si="14"/>
        <v>-62057992.097908497</v>
      </c>
    </row>
    <row r="93" spans="1:11" s="796" customFormat="1" x14ac:dyDescent="0.2">
      <c r="A93" s="117">
        <f t="shared" si="11"/>
        <v>60</v>
      </c>
      <c r="B93" s="759" t="s">
        <v>205</v>
      </c>
      <c r="C93" s="757">
        <v>2013</v>
      </c>
      <c r="D93" s="114">
        <v>22419669.438779328</v>
      </c>
      <c r="E93" s="64">
        <f>D93*'16-PlantAdditions'!$E$103</f>
        <v>1681475.2079084495</v>
      </c>
      <c r="F93" s="64">
        <f t="shared" si="12"/>
        <v>24101144.646687776</v>
      </c>
      <c r="G93" s="114">
        <v>2663544.2279999997</v>
      </c>
      <c r="H93" s="114">
        <v>2445729.108</v>
      </c>
      <c r="I93" s="64">
        <f>(G93-H93)*'16-PlantAdditions'!$E$103</f>
        <v>16336.133999999973</v>
      </c>
      <c r="J93" s="64">
        <f t="shared" si="13"/>
        <v>745662049.9245677</v>
      </c>
      <c r="K93" s="64">
        <f t="shared" si="14"/>
        <v>-40636727.813220739</v>
      </c>
    </row>
    <row r="94" spans="1:11" s="796" customFormat="1" x14ac:dyDescent="0.2">
      <c r="A94" s="117">
        <f t="shared" si="11"/>
        <v>61</v>
      </c>
      <c r="B94" s="759" t="s">
        <v>1690</v>
      </c>
      <c r="C94" s="757">
        <v>2013</v>
      </c>
      <c r="D94" s="114">
        <v>12557096.83877933</v>
      </c>
      <c r="E94" s="64">
        <f>D94*'16-PlantAdditions'!$E$103</f>
        <v>941782.26290844975</v>
      </c>
      <c r="F94" s="64">
        <f t="shared" si="12"/>
        <v>13498879.10168778</v>
      </c>
      <c r="G94" s="114">
        <v>28024666.607999995</v>
      </c>
      <c r="H94" s="114">
        <v>26868820.717999995</v>
      </c>
      <c r="I94" s="64">
        <f>(G94-H94)*'16-PlantAdditions'!$E$103</f>
        <v>86688.441750000042</v>
      </c>
      <c r="J94" s="64">
        <f t="shared" si="13"/>
        <v>731049573.9765054</v>
      </c>
      <c r="K94" s="64">
        <f t="shared" si="14"/>
        <v>-55249203.76128304</v>
      </c>
    </row>
    <row r="95" spans="1:11" s="796" customFormat="1" x14ac:dyDescent="0.2">
      <c r="A95" s="117">
        <f t="shared" si="11"/>
        <v>62</v>
      </c>
      <c r="B95" s="756" t="s">
        <v>207</v>
      </c>
      <c r="C95" s="757">
        <v>2013</v>
      </c>
      <c r="D95" s="114">
        <v>17914539.280779328</v>
      </c>
      <c r="E95" s="64">
        <f>D95*'16-PlantAdditions'!$E$103</f>
        <v>1343590.4460584496</v>
      </c>
      <c r="F95" s="64">
        <f t="shared" si="12"/>
        <v>19258129.726837777</v>
      </c>
      <c r="G95" s="114">
        <v>1493955.0000000002</v>
      </c>
      <c r="H95" s="114">
        <v>1243695.0000000002</v>
      </c>
      <c r="I95" s="64">
        <f>(G95-H95)*'16-PlantAdditions'!$E$103</f>
        <v>18769.5</v>
      </c>
      <c r="J95" s="64">
        <f t="shared" si="13"/>
        <v>748794979.20334315</v>
      </c>
      <c r="K95" s="64">
        <f t="shared" si="14"/>
        <v>-37503798.534445286</v>
      </c>
    </row>
    <row r="96" spans="1:11" s="796" customFormat="1" x14ac:dyDescent="0.2">
      <c r="A96" s="117">
        <f t="shared" si="11"/>
        <v>63</v>
      </c>
      <c r="B96" s="759" t="s">
        <v>208</v>
      </c>
      <c r="C96" s="757">
        <v>2013</v>
      </c>
      <c r="D96" s="114">
        <v>23603880.320779331</v>
      </c>
      <c r="E96" s="64">
        <f>D96*'16-PlantAdditions'!$E$103</f>
        <v>1770291.0240584498</v>
      </c>
      <c r="F96" s="64">
        <f t="shared" si="12"/>
        <v>25374171.344837781</v>
      </c>
      <c r="G96" s="114">
        <v>1721976.7200000002</v>
      </c>
      <c r="H96" s="114">
        <v>1491336.72</v>
      </c>
      <c r="I96" s="64">
        <f>(G96-H96)*'16-PlantAdditions'!$E$103</f>
        <v>17298.000000000018</v>
      </c>
      <c r="J96" s="64">
        <f t="shared" si="13"/>
        <v>772429875.82818091</v>
      </c>
      <c r="K96" s="64">
        <f t="shared" si="14"/>
        <v>-13868901.90960753</v>
      </c>
    </row>
    <row r="97" spans="1:11" s="796" customFormat="1" x14ac:dyDescent="0.2">
      <c r="A97" s="117">
        <f t="shared" si="11"/>
        <v>64</v>
      </c>
      <c r="B97" s="759" t="s">
        <v>209</v>
      </c>
      <c r="C97" s="757">
        <v>2013</v>
      </c>
      <c r="D97" s="114">
        <v>15876401.24877933</v>
      </c>
      <c r="E97" s="64">
        <f>D97*'16-PlantAdditions'!$E$103</f>
        <v>1190730.0936584498</v>
      </c>
      <c r="F97" s="64">
        <f t="shared" si="12"/>
        <v>17067131.342437781</v>
      </c>
      <c r="G97" s="114">
        <v>2239719.4079999998</v>
      </c>
      <c r="H97" s="114">
        <v>2047299.4080000001</v>
      </c>
      <c r="I97" s="64">
        <f>(G97-H97)*'16-PlantAdditions'!$E$103</f>
        <v>14431.499999999982</v>
      </c>
      <c r="J97" s="64">
        <f t="shared" si="13"/>
        <v>787242856.26261866</v>
      </c>
      <c r="K97" s="64">
        <f t="shared" si="14"/>
        <v>944078.52483022213</v>
      </c>
    </row>
    <row r="98" spans="1:11" s="796" customFormat="1" x14ac:dyDescent="0.2">
      <c r="A98" s="117">
        <f t="shared" si="11"/>
        <v>65</v>
      </c>
      <c r="B98" s="756" t="s">
        <v>212</v>
      </c>
      <c r="C98" s="757">
        <v>2013</v>
      </c>
      <c r="D98" s="114">
        <v>47249610.188779317</v>
      </c>
      <c r="E98" s="64">
        <f>D98*'16-PlantAdditions'!$E$103</f>
        <v>3543720.7641584487</v>
      </c>
      <c r="F98" s="64">
        <f t="shared" si="12"/>
        <v>50793330.952937767</v>
      </c>
      <c r="G98" s="114">
        <v>2373099.4079999998</v>
      </c>
      <c r="H98" s="114">
        <v>2179499.4080000003</v>
      </c>
      <c r="I98" s="64">
        <f>(G98-H98)*'16-PlantAdditions'!$E$103</f>
        <v>14519.999999999965</v>
      </c>
      <c r="J98" s="64">
        <f t="shared" si="13"/>
        <v>835648567.80755639</v>
      </c>
      <c r="K98" s="64">
        <f t="shared" si="14"/>
        <v>49349790.069767952</v>
      </c>
    </row>
    <row r="99" spans="1:11" s="796" customFormat="1" x14ac:dyDescent="0.2">
      <c r="A99" s="117">
        <f t="shared" si="11"/>
        <v>66</v>
      </c>
      <c r="B99" s="756" t="s">
        <v>211</v>
      </c>
      <c r="C99" s="757">
        <v>2013</v>
      </c>
      <c r="D99" s="114">
        <v>17858992.377779327</v>
      </c>
      <c r="E99" s="64">
        <f>D99*'16-PlantAdditions'!$E$103</f>
        <v>1339424.4283334494</v>
      </c>
      <c r="F99" s="64">
        <f t="shared" si="12"/>
        <v>19198416.806112777</v>
      </c>
      <c r="G99" s="114">
        <v>211254694.74450725</v>
      </c>
      <c r="H99" s="114">
        <v>111091694.4000003</v>
      </c>
      <c r="I99" s="64">
        <f>(G99-H99)*'16-PlantAdditions'!$E$103</f>
        <v>7512225.0258380212</v>
      </c>
      <c r="J99" s="64">
        <f t="shared" si="13"/>
        <v>636080064.84332383</v>
      </c>
      <c r="K99" s="64">
        <f t="shared" si="14"/>
        <v>-150218712.89446461</v>
      </c>
    </row>
    <row r="100" spans="1:11" s="796" customFormat="1" x14ac:dyDescent="0.2">
      <c r="A100" s="117">
        <f t="shared" si="11"/>
        <v>67</v>
      </c>
      <c r="B100" s="756" t="s">
        <v>201</v>
      </c>
      <c r="C100" s="757">
        <v>2013</v>
      </c>
      <c r="D100" s="114">
        <v>-2465279.3676325437</v>
      </c>
      <c r="E100" s="64">
        <f>D100*'16-PlantAdditions'!$E$103</f>
        <v>-184895.95257244076</v>
      </c>
      <c r="F100" s="64">
        <f t="shared" si="12"/>
        <v>-2650175.3202049844</v>
      </c>
      <c r="G100" s="114">
        <v>76443490.521450773</v>
      </c>
      <c r="H100" s="114">
        <v>71757044.600700766</v>
      </c>
      <c r="I100" s="64">
        <f>(G100-H100)*'16-PlantAdditions'!$E$103</f>
        <v>351483.4440562505</v>
      </c>
      <c r="J100" s="64">
        <f t="shared" si="13"/>
        <v>556634915.55761182</v>
      </c>
      <c r="K100" s="64">
        <f t="shared" si="14"/>
        <v>-229663862.18017662</v>
      </c>
    </row>
    <row r="101" spans="1:11" s="796" customFormat="1" x14ac:dyDescent="0.2">
      <c r="A101" s="117">
        <f t="shared" si="11"/>
        <v>68</v>
      </c>
      <c r="B101" s="756" t="s">
        <v>202</v>
      </c>
      <c r="C101" s="757">
        <v>2014</v>
      </c>
      <c r="D101" s="114">
        <v>28100958.044000003</v>
      </c>
      <c r="E101" s="64">
        <f>D101*'16-PlantAdditions'!$E$103</f>
        <v>2107571.8533000001</v>
      </c>
      <c r="F101" s="64">
        <f t="shared" si="12"/>
        <v>30208529.897300005</v>
      </c>
      <c r="G101" s="114">
        <v>6949482.9140000008</v>
      </c>
      <c r="H101" s="114">
        <v>311404.80000000005</v>
      </c>
      <c r="I101" s="64">
        <f>(G101-H101)*'16-PlantAdditions'!$E$103</f>
        <v>497855.85855000006</v>
      </c>
      <c r="J101" s="64">
        <f t="shared" si="13"/>
        <v>579396106.68236184</v>
      </c>
      <c r="K101" s="64">
        <f t="shared" si="14"/>
        <v>-206902671.0554266</v>
      </c>
    </row>
    <row r="102" spans="1:11" s="796" customFormat="1" x14ac:dyDescent="0.2">
      <c r="A102" s="117">
        <f t="shared" si="11"/>
        <v>69</v>
      </c>
      <c r="B102" s="759" t="s">
        <v>203</v>
      </c>
      <c r="C102" s="757">
        <v>2014</v>
      </c>
      <c r="D102" s="114">
        <v>30861163.364000004</v>
      </c>
      <c r="E102" s="64">
        <f>D102*'16-PlantAdditions'!$E$103</f>
        <v>2314587.2523000003</v>
      </c>
      <c r="F102" s="64">
        <f t="shared" si="12"/>
        <v>33175750.616300005</v>
      </c>
      <c r="G102" s="114">
        <v>7966495.8740000008</v>
      </c>
      <c r="H102" s="114">
        <v>370817.76</v>
      </c>
      <c r="I102" s="64">
        <f>(G102-H102)*'16-PlantAdditions'!$E$103</f>
        <v>569675.85855</v>
      </c>
      <c r="J102" s="64">
        <f t="shared" si="13"/>
        <v>604035685.56611192</v>
      </c>
      <c r="K102" s="64">
        <f t="shared" si="14"/>
        <v>-182263092.17167652</v>
      </c>
    </row>
    <row r="103" spans="1:11" s="796" customFormat="1" x14ac:dyDescent="0.2">
      <c r="A103" s="117">
        <f t="shared" si="11"/>
        <v>70</v>
      </c>
      <c r="B103" s="759" t="s">
        <v>216</v>
      </c>
      <c r="C103" s="757">
        <v>2014</v>
      </c>
      <c r="D103" s="114">
        <v>32147195.084000003</v>
      </c>
      <c r="E103" s="64">
        <f>D103*'16-PlantAdditions'!$E$103</f>
        <v>2411039.6313</v>
      </c>
      <c r="F103" s="64">
        <f t="shared" si="12"/>
        <v>34558234.715300001</v>
      </c>
      <c r="G103" s="114">
        <v>7646067.5540000014</v>
      </c>
      <c r="H103" s="114">
        <v>437989.44</v>
      </c>
      <c r="I103" s="64">
        <f>(G103-H103)*'16-PlantAdditions'!$E$103</f>
        <v>540605.85855</v>
      </c>
      <c r="J103" s="64">
        <f t="shared" si="13"/>
        <v>630407246.86886191</v>
      </c>
      <c r="K103" s="64">
        <f t="shared" si="14"/>
        <v>-155891530.86892653</v>
      </c>
    </row>
    <row r="104" spans="1:11" s="796" customFormat="1" x14ac:dyDescent="0.2">
      <c r="A104" s="117">
        <f t="shared" si="11"/>
        <v>71</v>
      </c>
      <c r="B104" s="756" t="s">
        <v>204</v>
      </c>
      <c r="C104" s="757">
        <v>2014</v>
      </c>
      <c r="D104" s="114">
        <v>14289165.646666666</v>
      </c>
      <c r="E104" s="64">
        <f>D104*'16-PlantAdditions'!$E$103</f>
        <v>1071687.4235</v>
      </c>
      <c r="F104" s="64">
        <f t="shared" si="12"/>
        <v>15360853.070166666</v>
      </c>
      <c r="G104" s="114">
        <v>2257141.9166666665</v>
      </c>
      <c r="H104" s="114">
        <v>300000</v>
      </c>
      <c r="I104" s="64">
        <f>(G104-H104)*'16-PlantAdditions'!$E$103</f>
        <v>146785.64374999999</v>
      </c>
      <c r="J104" s="64">
        <f t="shared" si="13"/>
        <v>643364172.37861204</v>
      </c>
      <c r="K104" s="64">
        <f t="shared" si="14"/>
        <v>-142934605.3591764</v>
      </c>
    </row>
    <row r="105" spans="1:11" s="796" customFormat="1" x14ac:dyDescent="0.2">
      <c r="A105" s="117">
        <f t="shared" si="11"/>
        <v>72</v>
      </c>
      <c r="B105" s="759" t="s">
        <v>205</v>
      </c>
      <c r="C105" s="757">
        <v>2014</v>
      </c>
      <c r="D105" s="114">
        <v>17162740.24666667</v>
      </c>
      <c r="E105" s="64">
        <f>D105*'16-PlantAdditions'!$E$103</f>
        <v>1287205.5185000002</v>
      </c>
      <c r="F105" s="64">
        <f t="shared" si="12"/>
        <v>18449945.76516667</v>
      </c>
      <c r="G105" s="114">
        <v>1687141.9166666667</v>
      </c>
      <c r="H105" s="114">
        <v>300000</v>
      </c>
      <c r="I105" s="64">
        <f>(G105-H105)*'16-PlantAdditions'!$E$103</f>
        <v>104035.64375</v>
      </c>
      <c r="J105" s="64">
        <f t="shared" si="13"/>
        <v>660022940.5833621</v>
      </c>
      <c r="K105" s="64">
        <f t="shared" si="14"/>
        <v>-126275837.15442634</v>
      </c>
    </row>
    <row r="106" spans="1:11" s="796" customFormat="1" x14ac:dyDescent="0.2">
      <c r="A106" s="117">
        <f t="shared" si="11"/>
        <v>73</v>
      </c>
      <c r="B106" s="759" t="s">
        <v>1690</v>
      </c>
      <c r="C106" s="757">
        <v>2014</v>
      </c>
      <c r="D106" s="114">
        <v>13558517.046666665</v>
      </c>
      <c r="E106" s="64">
        <f>D106*'16-PlantAdditions'!$E$103</f>
        <v>1016888.7784999998</v>
      </c>
      <c r="F106" s="64">
        <f t="shared" si="12"/>
        <v>14575405.825166665</v>
      </c>
      <c r="G106" s="114">
        <v>1579974.9166666665</v>
      </c>
      <c r="H106" s="114">
        <v>185633</v>
      </c>
      <c r="I106" s="64">
        <f>(G106-H106)*'16-PlantAdditions'!$E$103</f>
        <v>104575.64374999999</v>
      </c>
      <c r="J106" s="64">
        <f t="shared" si="13"/>
        <v>672913795.84811223</v>
      </c>
      <c r="K106" s="64">
        <f t="shared" si="14"/>
        <v>-113384981.88967621</v>
      </c>
    </row>
    <row r="107" spans="1:11" s="796" customFormat="1" x14ac:dyDescent="0.2">
      <c r="A107" s="117">
        <f t="shared" si="11"/>
        <v>74</v>
      </c>
      <c r="B107" s="756" t="s">
        <v>207</v>
      </c>
      <c r="C107" s="757">
        <v>2014</v>
      </c>
      <c r="D107" s="114">
        <v>11670587.046666667</v>
      </c>
      <c r="E107" s="64">
        <f>D107*'16-PlantAdditions'!$E$103</f>
        <v>875294.02850000001</v>
      </c>
      <c r="F107" s="64">
        <f t="shared" si="12"/>
        <v>12545881.075166667</v>
      </c>
      <c r="G107" s="114">
        <v>900429.91666666663</v>
      </c>
      <c r="H107" s="114">
        <v>0</v>
      </c>
      <c r="I107" s="64">
        <f>(G107-H107)*'16-PlantAdditions'!$E$103</f>
        <v>67532.243749999994</v>
      </c>
      <c r="J107" s="64">
        <f t="shared" si="13"/>
        <v>684491714.76286232</v>
      </c>
      <c r="K107" s="64">
        <f t="shared" si="14"/>
        <v>-101807062.97492611</v>
      </c>
    </row>
    <row r="108" spans="1:11" s="796" customFormat="1" x14ac:dyDescent="0.2">
      <c r="A108" s="117">
        <f t="shared" si="11"/>
        <v>75</v>
      </c>
      <c r="B108" s="759" t="s">
        <v>208</v>
      </c>
      <c r="C108" s="757">
        <v>2014</v>
      </c>
      <c r="D108" s="114">
        <v>12143877.126666667</v>
      </c>
      <c r="E108" s="64">
        <f>D108*'16-PlantAdditions'!$E$103</f>
        <v>910790.78449999995</v>
      </c>
      <c r="F108" s="64">
        <f t="shared" si="12"/>
        <v>13054667.911166666</v>
      </c>
      <c r="G108" s="114">
        <v>860529.91666666663</v>
      </c>
      <c r="H108" s="114">
        <v>0</v>
      </c>
      <c r="I108" s="64">
        <f>(G108-H108)*'16-PlantAdditions'!$E$103</f>
        <v>64539.743749999994</v>
      </c>
      <c r="J108" s="64">
        <f t="shared" si="13"/>
        <v>696621313.01361239</v>
      </c>
      <c r="K108" s="64">
        <f t="shared" si="14"/>
        <v>-89677464.724176049</v>
      </c>
    </row>
    <row r="109" spans="1:11" s="796" customFormat="1" x14ac:dyDescent="0.2">
      <c r="A109" s="117">
        <f>A108+1</f>
        <v>76</v>
      </c>
      <c r="B109" s="759" t="s">
        <v>209</v>
      </c>
      <c r="C109" s="757">
        <v>2014</v>
      </c>
      <c r="D109" s="114">
        <v>14613879.246666666</v>
      </c>
      <c r="E109" s="64">
        <f>D109*'16-PlantAdditions'!$E$103</f>
        <v>1096040.9434999998</v>
      </c>
      <c r="F109" s="64">
        <f t="shared" si="12"/>
        <v>15709920.190166665</v>
      </c>
      <c r="G109" s="114">
        <v>1018479.9166666666</v>
      </c>
      <c r="H109" s="114">
        <v>157950</v>
      </c>
      <c r="I109" s="64">
        <f>(G109-H109)*'16-PlantAdditions'!$E$103</f>
        <v>64539.743749999994</v>
      </c>
      <c r="J109" s="64">
        <f>J108+F109-G109-I109</f>
        <v>711248213.5433625</v>
      </c>
      <c r="K109" s="64">
        <f t="shared" si="14"/>
        <v>-75050564.194425941</v>
      </c>
    </row>
    <row r="110" spans="1:11" s="796" customFormat="1" x14ac:dyDescent="0.2">
      <c r="A110" s="117">
        <f t="shared" ref="A110:A113" si="15">A109+1</f>
        <v>77</v>
      </c>
      <c r="B110" s="759" t="s">
        <v>212</v>
      </c>
      <c r="C110" s="757">
        <v>2014</v>
      </c>
      <c r="D110" s="114">
        <v>12436262.286666665</v>
      </c>
      <c r="E110" s="64">
        <f>D110*'16-PlantAdditions'!$E$103</f>
        <v>932719.67149999982</v>
      </c>
      <c r="F110" s="64">
        <f t="shared" si="12"/>
        <v>13368981.958166664</v>
      </c>
      <c r="G110" s="114">
        <v>860529.91666666663</v>
      </c>
      <c r="H110" s="114">
        <v>0</v>
      </c>
      <c r="I110" s="64">
        <f>(G110-H110)*'16-PlantAdditions'!$E$103</f>
        <v>64539.743749999994</v>
      </c>
      <c r="J110" s="64">
        <f t="shared" ref="J110:J112" si="16">J109+F110-G110-I110</f>
        <v>723692125.84111261</v>
      </c>
      <c r="K110" s="64">
        <f t="shared" si="14"/>
        <v>-62606651.896675825</v>
      </c>
    </row>
    <row r="111" spans="1:11" s="796" customFormat="1" x14ac:dyDescent="0.2">
      <c r="A111" s="117">
        <f t="shared" si="15"/>
        <v>78</v>
      </c>
      <c r="B111" s="759" t="s">
        <v>211</v>
      </c>
      <c r="C111" s="757">
        <v>2014</v>
      </c>
      <c r="D111" s="114">
        <v>9424638.0066666678</v>
      </c>
      <c r="E111" s="64">
        <f>D111*'16-PlantAdditions'!$E$103</f>
        <v>706847.85050000006</v>
      </c>
      <c r="F111" s="64">
        <f t="shared" si="12"/>
        <v>10131485.857166668</v>
      </c>
      <c r="G111" s="114">
        <v>860529.91666666663</v>
      </c>
      <c r="H111" s="114">
        <v>0</v>
      </c>
      <c r="I111" s="64">
        <f>(G111-H111)*'16-PlantAdditions'!$E$103</f>
        <v>64539.743749999994</v>
      </c>
      <c r="J111" s="64">
        <f t="shared" si="16"/>
        <v>732898542.03786266</v>
      </c>
      <c r="K111" s="64">
        <f t="shared" si="14"/>
        <v>-53400235.69992578</v>
      </c>
    </row>
    <row r="112" spans="1:11" s="796" customFormat="1" x14ac:dyDescent="0.2">
      <c r="A112" s="117">
        <f t="shared" si="15"/>
        <v>79</v>
      </c>
      <c r="B112" s="759" t="s">
        <v>201</v>
      </c>
      <c r="C112" s="757">
        <v>2014</v>
      </c>
      <c r="D112" s="114">
        <v>9244234.2866666652</v>
      </c>
      <c r="E112" s="64">
        <f>D112*'16-PlantAdditions'!$E$103</f>
        <v>693317.57149999985</v>
      </c>
      <c r="F112" s="64">
        <f t="shared" si="12"/>
        <v>9937551.8581666648</v>
      </c>
      <c r="G112" s="114">
        <v>15874280.736666666</v>
      </c>
      <c r="H112" s="114">
        <v>13603555.82</v>
      </c>
      <c r="I112" s="64">
        <f>(G112-H112)*'16-PlantAdditions'!$E$103</f>
        <v>170304.36874999994</v>
      </c>
      <c r="J112" s="64">
        <f t="shared" si="16"/>
        <v>726791508.7906127</v>
      </c>
      <c r="K112" s="118">
        <f t="shared" si="14"/>
        <v>-59507268.947175741</v>
      </c>
    </row>
    <row r="113" spans="1:11" s="796" customFormat="1" x14ac:dyDescent="0.2">
      <c r="A113" s="117">
        <f t="shared" si="15"/>
        <v>80</v>
      </c>
      <c r="B113"/>
      <c r="C113" s="795" t="s">
        <v>1867</v>
      </c>
      <c r="D113"/>
      <c r="E113"/>
      <c r="F113"/>
      <c r="G113"/>
      <c r="H113"/>
      <c r="I113"/>
      <c r="J113"/>
      <c r="K113" s="78">
        <f>AVERAGE(K100:K112)</f>
        <v>-123028140.70129158</v>
      </c>
    </row>
    <row r="114" spans="1:11" s="796" customFormat="1" x14ac:dyDescent="0.2">
      <c r="A114" s="117"/>
      <c r="B114"/>
      <c r="C114" s="795"/>
      <c r="D114"/>
      <c r="E114"/>
      <c r="F114"/>
      <c r="G114"/>
      <c r="H114"/>
      <c r="I114"/>
      <c r="J114"/>
      <c r="K114" s="78"/>
    </row>
    <row r="115" spans="1:11" s="796" customFormat="1" x14ac:dyDescent="0.2">
      <c r="B115" s="797" t="s">
        <v>2402</v>
      </c>
      <c r="D115" s="1412" t="s">
        <v>2403</v>
      </c>
      <c r="E115" s="1412"/>
    </row>
    <row r="116" spans="1:11" s="796" customFormat="1" x14ac:dyDescent="0.2">
      <c r="A116" s="791"/>
      <c r="B116" s="791"/>
      <c r="C116" s="791"/>
      <c r="D116" s="791" t="s">
        <v>396</v>
      </c>
      <c r="E116" s="791" t="s">
        <v>380</v>
      </c>
      <c r="F116" s="791" t="s">
        <v>381</v>
      </c>
      <c r="G116" s="791" t="s">
        <v>382</v>
      </c>
      <c r="H116" s="791" t="s">
        <v>383</v>
      </c>
      <c r="I116" s="791" t="s">
        <v>384</v>
      </c>
      <c r="J116" s="791" t="s">
        <v>385</v>
      </c>
      <c r="K116" s="791" t="s">
        <v>599</v>
      </c>
    </row>
    <row r="117" spans="1:11" s="796" customFormat="1" ht="38.25" x14ac:dyDescent="0.2">
      <c r="D117" s="798"/>
      <c r="E117" s="799" t="s">
        <v>2762</v>
      </c>
      <c r="F117" s="800" t="s">
        <v>2399</v>
      </c>
      <c r="G117" s="557"/>
      <c r="H117" s="798"/>
      <c r="I117" s="799" t="s">
        <v>2763</v>
      </c>
      <c r="J117" s="799" t="s">
        <v>2400</v>
      </c>
      <c r="K117" s="799" t="s">
        <v>2401</v>
      </c>
    </row>
    <row r="118" spans="1:11" s="796" customFormat="1" x14ac:dyDescent="0.2">
      <c r="D118" s="798"/>
      <c r="E118" s="798"/>
      <c r="F118" s="798"/>
      <c r="G118" s="679" t="str">
        <f>G51</f>
        <v>Unloaded</v>
      </c>
      <c r="H118" s="798"/>
      <c r="I118" s="798"/>
    </row>
    <row r="119" spans="1:11" s="796" customFormat="1" x14ac:dyDescent="0.2">
      <c r="A119" s="793"/>
      <c r="B119" s="793"/>
      <c r="C119" s="793"/>
      <c r="D119" s="793" t="str">
        <f>D$52</f>
        <v>Forecast</v>
      </c>
      <c r="E119" s="793" t="str">
        <f t="shared" ref="E119:J119" si="17">E$52</f>
        <v>Corporate</v>
      </c>
      <c r="F119" s="793" t="str">
        <f t="shared" si="17"/>
        <v xml:space="preserve">Total </v>
      </c>
      <c r="G119" s="679" t="str">
        <f>G52</f>
        <v>Total</v>
      </c>
      <c r="H119" s="793" t="str">
        <f t="shared" si="17"/>
        <v>Prior Period</v>
      </c>
      <c r="I119" s="793" t="str">
        <f t="shared" si="17"/>
        <v>Over Heads</v>
      </c>
      <c r="J119" s="793" t="str">
        <f t="shared" si="17"/>
        <v>Forecast</v>
      </c>
      <c r="K119" s="679" t="str">
        <f>K$52</f>
        <v>Forecast Period</v>
      </c>
    </row>
    <row r="120" spans="1:11" s="796" customFormat="1" x14ac:dyDescent="0.2">
      <c r="A120" s="1114" t="s">
        <v>362</v>
      </c>
      <c r="B120" s="755" t="s">
        <v>213</v>
      </c>
      <c r="C120" s="755" t="s">
        <v>214</v>
      </c>
      <c r="D120" s="791" t="str">
        <f>D$53</f>
        <v>Expenditures</v>
      </c>
      <c r="E120" s="791" t="str">
        <f t="shared" ref="E120:J120" si="18">E$53</f>
        <v>Overheads</v>
      </c>
      <c r="F120" s="791" t="str">
        <f t="shared" si="18"/>
        <v>CWIP Exp</v>
      </c>
      <c r="G120" s="3" t="str">
        <f>G53</f>
        <v>Plant Adds</v>
      </c>
      <c r="H120" s="791" t="str">
        <f t="shared" si="18"/>
        <v>CWIP Closed</v>
      </c>
      <c r="I120" s="791" t="str">
        <f t="shared" si="18"/>
        <v>Closed to PIS</v>
      </c>
      <c r="J120" s="791" t="str">
        <f t="shared" si="18"/>
        <v>Period CWIP</v>
      </c>
      <c r="K120" s="791" t="str">
        <f>K$53</f>
        <v>Incremental CWIP</v>
      </c>
    </row>
    <row r="121" spans="1:11" s="796" customFormat="1" x14ac:dyDescent="0.2">
      <c r="A121" s="117">
        <f>A113+1</f>
        <v>81</v>
      </c>
      <c r="B121" s="756" t="s">
        <v>201</v>
      </c>
      <c r="C121" s="757">
        <v>2012</v>
      </c>
      <c r="D121" s="800" t="s">
        <v>88</v>
      </c>
      <c r="E121" s="800" t="s">
        <v>88</v>
      </c>
      <c r="F121" s="800" t="s">
        <v>88</v>
      </c>
      <c r="G121" s="800" t="s">
        <v>88</v>
      </c>
      <c r="H121" s="800" t="s">
        <v>88</v>
      </c>
      <c r="I121" s="800" t="s">
        <v>88</v>
      </c>
      <c r="J121" s="64">
        <f>F25</f>
        <v>536335938.83999997</v>
      </c>
      <c r="K121" s="800" t="s">
        <v>88</v>
      </c>
    </row>
    <row r="122" spans="1:11" s="796" customFormat="1" x14ac:dyDescent="0.2">
      <c r="A122" s="117">
        <f>A121+1</f>
        <v>82</v>
      </c>
      <c r="B122" s="756" t="s">
        <v>202</v>
      </c>
      <c r="C122" s="757">
        <v>2013</v>
      </c>
      <c r="D122" s="114">
        <v>14339251.050000001</v>
      </c>
      <c r="E122" s="64">
        <f>D122*'16-PlantAdditions'!$E$103</f>
        <v>1075443.8287500001</v>
      </c>
      <c r="F122" s="64">
        <f>E122+D122</f>
        <v>15414694.87875</v>
      </c>
      <c r="G122" s="114">
        <v>0</v>
      </c>
      <c r="H122" s="114">
        <v>0</v>
      </c>
      <c r="I122" s="64">
        <f>(G122-H122)*'16-PlantAdditions'!$E$103</f>
        <v>0</v>
      </c>
      <c r="J122" s="64">
        <f>J121+F122-G122-I122</f>
        <v>551750633.71875</v>
      </c>
      <c r="K122" s="563">
        <f>J122-$J$121</f>
        <v>15414694.878750026</v>
      </c>
    </row>
    <row r="123" spans="1:11" s="796" customFormat="1" x14ac:dyDescent="0.2">
      <c r="A123" s="117">
        <f t="shared" ref="A123:A146" si="19">A122+1</f>
        <v>83</v>
      </c>
      <c r="B123" s="759" t="s">
        <v>203</v>
      </c>
      <c r="C123" s="757">
        <v>2013</v>
      </c>
      <c r="D123" s="114">
        <v>21254397.400000002</v>
      </c>
      <c r="E123" s="64">
        <f>D123*'16-PlantAdditions'!$E$103</f>
        <v>1594079.8050000002</v>
      </c>
      <c r="F123" s="64">
        <f t="shared" ref="F123:F145" si="20">E123+D123</f>
        <v>22848477.205000002</v>
      </c>
      <c r="G123" s="114">
        <v>87556.000000000015</v>
      </c>
      <c r="H123" s="114">
        <v>55102.270000000011</v>
      </c>
      <c r="I123" s="64">
        <f>(G123-H123)*'16-PlantAdditions'!$E$103</f>
        <v>2434.0297500000001</v>
      </c>
      <c r="J123" s="64">
        <f t="shared" ref="J123:J145" si="21">J122+F123-G123-I123</f>
        <v>574509120.89400005</v>
      </c>
      <c r="K123" s="563">
        <f t="shared" ref="K123:K145" si="22">J123-$J$121</f>
        <v>38173182.05400008</v>
      </c>
    </row>
    <row r="124" spans="1:11" s="796" customFormat="1" x14ac:dyDescent="0.2">
      <c r="A124" s="117">
        <f t="shared" si="19"/>
        <v>84</v>
      </c>
      <c r="B124" s="759" t="s">
        <v>216</v>
      </c>
      <c r="C124" s="757">
        <v>2013</v>
      </c>
      <c r="D124" s="114">
        <v>42920199.799999997</v>
      </c>
      <c r="E124" s="64">
        <f>D124*'16-PlantAdditions'!$E$103</f>
        <v>3219014.9849999999</v>
      </c>
      <c r="F124" s="64">
        <f t="shared" si="20"/>
        <v>46139214.784999996</v>
      </c>
      <c r="G124" s="114">
        <v>165718.67000000001</v>
      </c>
      <c r="H124" s="114">
        <v>0</v>
      </c>
      <c r="I124" s="64">
        <f>(G124-H124)*'16-PlantAdditions'!$E$103</f>
        <v>12428.900250000001</v>
      </c>
      <c r="J124" s="64">
        <f t="shared" si="21"/>
        <v>620470188.1087501</v>
      </c>
      <c r="K124" s="563">
        <f t="shared" si="22"/>
        <v>84134249.268750131</v>
      </c>
    </row>
    <row r="125" spans="1:11" s="796" customFormat="1" x14ac:dyDescent="0.2">
      <c r="A125" s="117">
        <f t="shared" si="19"/>
        <v>85</v>
      </c>
      <c r="B125" s="756" t="s">
        <v>204</v>
      </c>
      <c r="C125" s="757">
        <v>2013</v>
      </c>
      <c r="D125" s="114">
        <v>34652498.980599128</v>
      </c>
      <c r="E125" s="64">
        <f>D125*'16-PlantAdditions'!$E$103</f>
        <v>2598937.4235449345</v>
      </c>
      <c r="F125" s="64">
        <f t="shared" si="20"/>
        <v>37251436.404144064</v>
      </c>
      <c r="G125" s="114">
        <v>66471.113793372831</v>
      </c>
      <c r="H125" s="114">
        <v>0</v>
      </c>
      <c r="I125" s="64">
        <f>(G125-H125)*'16-PlantAdditions'!$E$103</f>
        <v>4985.3335345029618</v>
      </c>
      <c r="J125" s="64">
        <f t="shared" si="21"/>
        <v>657650168.0655663</v>
      </c>
      <c r="K125" s="563">
        <f t="shared" si="22"/>
        <v>121314229.22556633</v>
      </c>
    </row>
    <row r="126" spans="1:11" s="796" customFormat="1" x14ac:dyDescent="0.2">
      <c r="A126" s="117">
        <f t="shared" si="19"/>
        <v>86</v>
      </c>
      <c r="B126" s="759" t="s">
        <v>205</v>
      </c>
      <c r="C126" s="757">
        <v>2013</v>
      </c>
      <c r="D126" s="114">
        <v>27090154.150499266</v>
      </c>
      <c r="E126" s="64">
        <f>D126*'16-PlantAdditions'!$E$103</f>
        <v>2031761.5612874448</v>
      </c>
      <c r="F126" s="64">
        <f t="shared" si="20"/>
        <v>29121915.71178671</v>
      </c>
      <c r="G126" s="114">
        <v>325744132.57442999</v>
      </c>
      <c r="H126" s="114">
        <v>269228626.37000048</v>
      </c>
      <c r="I126" s="64">
        <f>(G126-H126)*'16-PlantAdditions'!$E$103</f>
        <v>4238662.9653322129</v>
      </c>
      <c r="J126" s="64">
        <f t="shared" si="21"/>
        <v>356789288.23759085</v>
      </c>
      <c r="K126" s="563">
        <f t="shared" si="22"/>
        <v>-179546650.60240912</v>
      </c>
    </row>
    <row r="127" spans="1:11" s="796" customFormat="1" x14ac:dyDescent="0.2">
      <c r="A127" s="117">
        <f t="shared" si="19"/>
        <v>87</v>
      </c>
      <c r="B127" s="759" t="s">
        <v>1690</v>
      </c>
      <c r="C127" s="757">
        <v>2013</v>
      </c>
      <c r="D127" s="114">
        <v>19048409.320399422</v>
      </c>
      <c r="E127" s="64">
        <f>D127*'16-PlantAdditions'!$E$103</f>
        <v>1428630.6990299567</v>
      </c>
      <c r="F127" s="64">
        <f t="shared" si="20"/>
        <v>20477040.019429378</v>
      </c>
      <c r="G127" s="114">
        <v>28014165.079353765</v>
      </c>
      <c r="H127" s="114">
        <v>2923585.120000001</v>
      </c>
      <c r="I127" s="64">
        <f>(G127-H127)*'16-PlantAdditions'!$E$103</f>
        <v>1881793.4969515323</v>
      </c>
      <c r="J127" s="64">
        <f t="shared" si="21"/>
        <v>347370369.68071496</v>
      </c>
      <c r="K127" s="563">
        <f t="shared" si="22"/>
        <v>-188965569.15928501</v>
      </c>
    </row>
    <row r="128" spans="1:11" s="796" customFormat="1" x14ac:dyDescent="0.2">
      <c r="A128" s="117">
        <f t="shared" si="19"/>
        <v>88</v>
      </c>
      <c r="B128" s="756" t="s">
        <v>207</v>
      </c>
      <c r="C128" s="757">
        <v>2013</v>
      </c>
      <c r="D128" s="114">
        <v>14136580.694179734</v>
      </c>
      <c r="E128" s="64">
        <f>D128*'16-PlantAdditions'!$E$103</f>
        <v>1060243.55206348</v>
      </c>
      <c r="F128" s="64">
        <f t="shared" si="20"/>
        <v>15196824.246243214</v>
      </c>
      <c r="G128" s="114">
        <v>100765528.65134744</v>
      </c>
      <c r="H128" s="114">
        <v>70959856.350000083</v>
      </c>
      <c r="I128" s="64">
        <f>(G128-H128)*'16-PlantAdditions'!$E$103</f>
        <v>2235425.4226010521</v>
      </c>
      <c r="J128" s="64">
        <f t="shared" si="21"/>
        <v>259566239.8530097</v>
      </c>
      <c r="K128" s="563">
        <f t="shared" si="22"/>
        <v>-276769698.98699027</v>
      </c>
    </row>
    <row r="129" spans="1:11" s="796" customFormat="1" x14ac:dyDescent="0.2">
      <c r="A129" s="117">
        <f t="shared" si="19"/>
        <v>89</v>
      </c>
      <c r="B129" s="759" t="s">
        <v>208</v>
      </c>
      <c r="C129" s="757">
        <v>2013</v>
      </c>
      <c r="D129" s="114">
        <v>10191184.830099851</v>
      </c>
      <c r="E129" s="64">
        <f>D129*'16-PlantAdditions'!$E$103</f>
        <v>764338.86225748877</v>
      </c>
      <c r="F129" s="64">
        <f t="shared" si="20"/>
        <v>10955523.692357339</v>
      </c>
      <c r="G129" s="114">
        <v>22009602.669449065</v>
      </c>
      <c r="H129" s="114">
        <v>14747271.009999998</v>
      </c>
      <c r="I129" s="64">
        <f>(G129-H129)*'16-PlantAdditions'!$E$103</f>
        <v>544674.87445868005</v>
      </c>
      <c r="J129" s="64">
        <f t="shared" si="21"/>
        <v>247967486.00145933</v>
      </c>
      <c r="K129" s="563">
        <f t="shared" si="22"/>
        <v>-288368452.83854067</v>
      </c>
    </row>
    <row r="130" spans="1:11" s="796" customFormat="1" x14ac:dyDescent="0.2">
      <c r="A130" s="117">
        <f t="shared" si="19"/>
        <v>90</v>
      </c>
      <c r="B130" s="759" t="s">
        <v>209</v>
      </c>
      <c r="C130" s="757">
        <v>2013</v>
      </c>
      <c r="D130" s="114">
        <v>9265843.1536173653</v>
      </c>
      <c r="E130" s="64">
        <f>D130*'16-PlantAdditions'!$E$103</f>
        <v>694938.23652130237</v>
      </c>
      <c r="F130" s="64">
        <f t="shared" si="20"/>
        <v>9960781.3901386671</v>
      </c>
      <c r="G130" s="114">
        <v>223702101.01033366</v>
      </c>
      <c r="H130" s="114">
        <v>166140840.16000038</v>
      </c>
      <c r="I130" s="64">
        <f>(G130-H130)*'16-PlantAdditions'!$E$103</f>
        <v>4317094.5637749955</v>
      </c>
      <c r="J130" s="64">
        <f t="shared" si="21"/>
        <v>29909071.817489333</v>
      </c>
      <c r="K130" s="563">
        <f t="shared" si="22"/>
        <v>-506426867.02251065</v>
      </c>
    </row>
    <row r="131" spans="1:11" s="796" customFormat="1" x14ac:dyDescent="0.2">
      <c r="A131" s="117">
        <f t="shared" si="19"/>
        <v>91</v>
      </c>
      <c r="B131" s="756" t="s">
        <v>212</v>
      </c>
      <c r="C131" s="757">
        <v>2013</v>
      </c>
      <c r="D131" s="114">
        <v>6347717.3652130254</v>
      </c>
      <c r="E131" s="64">
        <f>D131*'16-PlantAdditions'!$E$103</f>
        <v>476078.80239097687</v>
      </c>
      <c r="F131" s="64">
        <f t="shared" si="20"/>
        <v>6823796.1676040022</v>
      </c>
      <c r="G131" s="114">
        <v>5229529.6132602626</v>
      </c>
      <c r="H131" s="114">
        <v>0</v>
      </c>
      <c r="I131" s="64">
        <f>(G131-H131)*'16-PlantAdditions'!$E$103</f>
        <v>392214.72099451971</v>
      </c>
      <c r="J131" s="64">
        <f t="shared" si="21"/>
        <v>31111123.65083855</v>
      </c>
      <c r="K131" s="563">
        <f t="shared" si="22"/>
        <v>-505224815.18916142</v>
      </c>
    </row>
    <row r="132" spans="1:11" s="796" customFormat="1" x14ac:dyDescent="0.2">
      <c r="A132" s="117">
        <f t="shared" si="19"/>
        <v>92</v>
      </c>
      <c r="B132" s="756" t="s">
        <v>211</v>
      </c>
      <c r="C132" s="757">
        <v>2013</v>
      </c>
      <c r="D132" s="114">
        <v>5443891.5768086836</v>
      </c>
      <c r="E132" s="64">
        <f>D132*'16-PlantAdditions'!$E$103</f>
        <v>408291.86826065124</v>
      </c>
      <c r="F132" s="64">
        <f t="shared" si="20"/>
        <v>5852183.4450693345</v>
      </c>
      <c r="G132" s="114">
        <v>4867633.0755068408</v>
      </c>
      <c r="H132" s="114">
        <v>0</v>
      </c>
      <c r="I132" s="64">
        <f>(G132-H132)*'16-PlantAdditions'!$E$103</f>
        <v>365072.48066301306</v>
      </c>
      <c r="J132" s="64">
        <f t="shared" si="21"/>
        <v>31730601.539738029</v>
      </c>
      <c r="K132" s="563">
        <f t="shared" si="22"/>
        <v>-504605337.30026197</v>
      </c>
    </row>
    <row r="133" spans="1:11" s="796" customFormat="1" x14ac:dyDescent="0.2">
      <c r="A133" s="117">
        <f t="shared" si="19"/>
        <v>93</v>
      </c>
      <c r="B133" s="756" t="s">
        <v>201</v>
      </c>
      <c r="C133" s="757">
        <v>2013</v>
      </c>
      <c r="D133" s="114">
        <v>34142000</v>
      </c>
      <c r="E133" s="64">
        <f>D133*'16-PlantAdditions'!$E$103</f>
        <v>2560650</v>
      </c>
      <c r="F133" s="64">
        <f t="shared" si="20"/>
        <v>36702650</v>
      </c>
      <c r="G133" s="114">
        <v>64780583.703943022</v>
      </c>
      <c r="H133" s="114">
        <v>12545612.559999991</v>
      </c>
      <c r="I133" s="64">
        <f>(G133-H133)*'16-PlantAdditions'!$E$103</f>
        <v>3917622.8357957266</v>
      </c>
      <c r="J133" s="64">
        <f t="shared" si="21"/>
        <v>-264955.00000071898</v>
      </c>
      <c r="K133" s="563">
        <f t="shared" si="22"/>
        <v>-536600893.84000069</v>
      </c>
    </row>
    <row r="134" spans="1:11" s="796" customFormat="1" x14ac:dyDescent="0.2">
      <c r="A134" s="117">
        <f t="shared" si="19"/>
        <v>94</v>
      </c>
      <c r="B134" s="756" t="s">
        <v>202</v>
      </c>
      <c r="C134" s="757">
        <v>2014</v>
      </c>
      <c r="D134" s="114">
        <v>7228199.9999999991</v>
      </c>
      <c r="E134" s="64">
        <f>D134*'16-PlantAdditions'!$E$103</f>
        <v>542114.99999999988</v>
      </c>
      <c r="F134" s="64">
        <f t="shared" si="20"/>
        <v>7770314.9999999991</v>
      </c>
      <c r="G134" s="114">
        <v>7228199.9999999991</v>
      </c>
      <c r="H134" s="114">
        <v>0</v>
      </c>
      <c r="I134" s="64">
        <f>(G134-H134)*'16-PlantAdditions'!$E$103</f>
        <v>542114.99999999988</v>
      </c>
      <c r="J134" s="64">
        <f t="shared" si="21"/>
        <v>-264955.00000071886</v>
      </c>
      <c r="K134" s="563">
        <f t="shared" si="22"/>
        <v>-536600893.84000069</v>
      </c>
    </row>
    <row r="135" spans="1:11" s="796" customFormat="1" x14ac:dyDescent="0.2">
      <c r="A135" s="117">
        <f t="shared" si="19"/>
        <v>95</v>
      </c>
      <c r="B135" s="759" t="s">
        <v>203</v>
      </c>
      <c r="C135" s="757">
        <v>2014</v>
      </c>
      <c r="D135" s="114">
        <v>3068200</v>
      </c>
      <c r="E135" s="64">
        <f>D135*'16-PlantAdditions'!$E$103</f>
        <v>230115</v>
      </c>
      <c r="F135" s="64">
        <f t="shared" si="20"/>
        <v>3298315</v>
      </c>
      <c r="G135" s="114">
        <v>3068200</v>
      </c>
      <c r="H135" s="114">
        <v>0</v>
      </c>
      <c r="I135" s="64">
        <f>(G135-H135)*'16-PlantAdditions'!$E$103</f>
        <v>230115</v>
      </c>
      <c r="J135" s="64">
        <f t="shared" si="21"/>
        <v>-264955.00000071898</v>
      </c>
      <c r="K135" s="563">
        <f t="shared" si="22"/>
        <v>-536600893.84000069</v>
      </c>
    </row>
    <row r="136" spans="1:11" s="796" customFormat="1" x14ac:dyDescent="0.2">
      <c r="A136" s="117">
        <f t="shared" si="19"/>
        <v>96</v>
      </c>
      <c r="B136" s="759" t="s">
        <v>216</v>
      </c>
      <c r="C136" s="757">
        <v>2014</v>
      </c>
      <c r="D136" s="114">
        <v>3068200</v>
      </c>
      <c r="E136" s="64">
        <f>D136*'16-PlantAdditions'!$E$103</f>
        <v>230115</v>
      </c>
      <c r="F136" s="64">
        <f t="shared" si="20"/>
        <v>3298315</v>
      </c>
      <c r="G136" s="114">
        <v>3068200</v>
      </c>
      <c r="H136" s="114">
        <v>0</v>
      </c>
      <c r="I136" s="64">
        <f>(G136-H136)*'16-PlantAdditions'!$E$103</f>
        <v>230115</v>
      </c>
      <c r="J136" s="64">
        <f t="shared" si="21"/>
        <v>-264955.00000071898</v>
      </c>
      <c r="K136" s="563">
        <f t="shared" si="22"/>
        <v>-536600893.84000069</v>
      </c>
    </row>
    <row r="137" spans="1:11" s="796" customFormat="1" x14ac:dyDescent="0.2">
      <c r="A137" s="117">
        <f t="shared" si="19"/>
        <v>97</v>
      </c>
      <c r="B137" s="756" t="s">
        <v>204</v>
      </c>
      <c r="C137" s="757">
        <v>2014</v>
      </c>
      <c r="D137" s="114">
        <v>3062800</v>
      </c>
      <c r="E137" s="64">
        <f>D137*'16-PlantAdditions'!$E$103</f>
        <v>229710</v>
      </c>
      <c r="F137" s="64">
        <f t="shared" si="20"/>
        <v>3292510</v>
      </c>
      <c r="G137" s="114">
        <v>3062800</v>
      </c>
      <c r="H137" s="114">
        <v>0</v>
      </c>
      <c r="I137" s="64">
        <f>(G137-H137)*'16-PlantAdditions'!$E$103</f>
        <v>229710</v>
      </c>
      <c r="J137" s="64">
        <f t="shared" si="21"/>
        <v>-264955.00000071898</v>
      </c>
      <c r="K137" s="563">
        <f t="shared" si="22"/>
        <v>-536600893.84000069</v>
      </c>
    </row>
    <row r="138" spans="1:11" s="796" customFormat="1" x14ac:dyDescent="0.2">
      <c r="A138" s="117">
        <f t="shared" si="19"/>
        <v>98</v>
      </c>
      <c r="B138" s="759" t="s">
        <v>205</v>
      </c>
      <c r="C138" s="757">
        <v>2014</v>
      </c>
      <c r="D138" s="114">
        <v>2007800</v>
      </c>
      <c r="E138" s="64">
        <f>D138*'16-PlantAdditions'!$E$103</f>
        <v>150585</v>
      </c>
      <c r="F138" s="64">
        <f t="shared" si="20"/>
        <v>2158385</v>
      </c>
      <c r="G138" s="114">
        <v>2007800</v>
      </c>
      <c r="H138" s="114">
        <v>0</v>
      </c>
      <c r="I138" s="64">
        <f>(G138-H138)*'16-PlantAdditions'!$E$103</f>
        <v>150585</v>
      </c>
      <c r="J138" s="64">
        <f t="shared" si="21"/>
        <v>-264955.00000071898</v>
      </c>
      <c r="K138" s="563">
        <f t="shared" si="22"/>
        <v>-536600893.84000069</v>
      </c>
    </row>
    <row r="139" spans="1:11" s="796" customFormat="1" x14ac:dyDescent="0.2">
      <c r="A139" s="117">
        <f t="shared" si="19"/>
        <v>99</v>
      </c>
      <c r="B139" s="759" t="s">
        <v>1690</v>
      </c>
      <c r="C139" s="757">
        <v>2014</v>
      </c>
      <c r="D139" s="114">
        <v>2005800</v>
      </c>
      <c r="E139" s="64">
        <f>D139*'16-PlantAdditions'!$E$103</f>
        <v>150435</v>
      </c>
      <c r="F139" s="64">
        <f t="shared" si="20"/>
        <v>2156235</v>
      </c>
      <c r="G139" s="114">
        <v>2005800</v>
      </c>
      <c r="H139" s="114">
        <v>0</v>
      </c>
      <c r="I139" s="64">
        <f>(G139-H139)*'16-PlantAdditions'!$E$103</f>
        <v>150435</v>
      </c>
      <c r="J139" s="64">
        <f t="shared" si="21"/>
        <v>-264955.00000071898</v>
      </c>
      <c r="K139" s="563">
        <f t="shared" si="22"/>
        <v>-536600893.84000069</v>
      </c>
    </row>
    <row r="140" spans="1:11" s="796" customFormat="1" x14ac:dyDescent="0.2">
      <c r="A140" s="117">
        <f t="shared" si="19"/>
        <v>100</v>
      </c>
      <c r="B140" s="756" t="s">
        <v>207</v>
      </c>
      <c r="C140" s="757">
        <v>2014</v>
      </c>
      <c r="D140" s="114">
        <v>412000</v>
      </c>
      <c r="E140" s="64">
        <f>D140*'16-PlantAdditions'!$E$103</f>
        <v>30900</v>
      </c>
      <c r="F140" s="64">
        <f t="shared" si="20"/>
        <v>442900</v>
      </c>
      <c r="G140" s="114">
        <v>412000</v>
      </c>
      <c r="H140" s="114">
        <v>0</v>
      </c>
      <c r="I140" s="64">
        <f>(G140-H140)*'16-PlantAdditions'!$E$103</f>
        <v>30900</v>
      </c>
      <c r="J140" s="64">
        <f t="shared" si="21"/>
        <v>-264955.00000071898</v>
      </c>
      <c r="K140" s="563">
        <f t="shared" si="22"/>
        <v>-536600893.84000069</v>
      </c>
    </row>
    <row r="141" spans="1:11" s="796" customFormat="1" x14ac:dyDescent="0.2">
      <c r="A141" s="117">
        <f t="shared" si="19"/>
        <v>101</v>
      </c>
      <c r="B141" s="759" t="s">
        <v>208</v>
      </c>
      <c r="C141" s="757">
        <v>2014</v>
      </c>
      <c r="D141" s="114">
        <v>412000</v>
      </c>
      <c r="E141" s="64">
        <f>D141*'16-PlantAdditions'!$E$103</f>
        <v>30900</v>
      </c>
      <c r="F141" s="64">
        <f t="shared" si="20"/>
        <v>442900</v>
      </c>
      <c r="G141" s="114">
        <v>412000</v>
      </c>
      <c r="H141" s="114">
        <v>0</v>
      </c>
      <c r="I141" s="64">
        <f>(G141-H141)*'16-PlantAdditions'!$E$103</f>
        <v>30900</v>
      </c>
      <c r="J141" s="64">
        <f t="shared" si="21"/>
        <v>-264955.00000071898</v>
      </c>
      <c r="K141" s="563">
        <f t="shared" si="22"/>
        <v>-536600893.84000069</v>
      </c>
    </row>
    <row r="142" spans="1:11" s="796" customFormat="1" x14ac:dyDescent="0.2">
      <c r="A142" s="117">
        <f t="shared" si="19"/>
        <v>102</v>
      </c>
      <c r="B142" s="759" t="s">
        <v>209</v>
      </c>
      <c r="C142" s="757">
        <v>2014</v>
      </c>
      <c r="D142" s="114">
        <v>412000</v>
      </c>
      <c r="E142" s="64">
        <f>D142*'16-PlantAdditions'!$E$103</f>
        <v>30900</v>
      </c>
      <c r="F142" s="64">
        <f t="shared" si="20"/>
        <v>442900</v>
      </c>
      <c r="G142" s="114">
        <v>412000</v>
      </c>
      <c r="H142" s="114">
        <v>0</v>
      </c>
      <c r="I142" s="64">
        <f>(G142-H142)*'16-PlantAdditions'!$E$103</f>
        <v>30900</v>
      </c>
      <c r="J142" s="64">
        <f t="shared" si="21"/>
        <v>-264955.00000071898</v>
      </c>
      <c r="K142" s="563">
        <f t="shared" si="22"/>
        <v>-536600893.84000069</v>
      </c>
    </row>
    <row r="143" spans="1:11" s="796" customFormat="1" x14ac:dyDescent="0.2">
      <c r="A143" s="117">
        <f t="shared" si="19"/>
        <v>103</v>
      </c>
      <c r="B143" s="759" t="s">
        <v>212</v>
      </c>
      <c r="C143" s="757">
        <v>2014</v>
      </c>
      <c r="D143" s="114">
        <v>412000</v>
      </c>
      <c r="E143" s="64">
        <f>D143*'16-PlantAdditions'!$E$103</f>
        <v>30900</v>
      </c>
      <c r="F143" s="64">
        <f t="shared" si="20"/>
        <v>442900</v>
      </c>
      <c r="G143" s="114">
        <v>412000</v>
      </c>
      <c r="H143" s="114">
        <v>0</v>
      </c>
      <c r="I143" s="64">
        <f>(G143-H143)*'16-PlantAdditions'!$E$103</f>
        <v>30900</v>
      </c>
      <c r="J143" s="64">
        <f t="shared" si="21"/>
        <v>-264955.00000071898</v>
      </c>
      <c r="K143" s="563">
        <f t="shared" si="22"/>
        <v>-536600893.84000069</v>
      </c>
    </row>
    <row r="144" spans="1:11" s="796" customFormat="1" x14ac:dyDescent="0.2">
      <c r="A144" s="117">
        <f t="shared" si="19"/>
        <v>104</v>
      </c>
      <c r="B144" s="759" t="s">
        <v>211</v>
      </c>
      <c r="C144" s="757">
        <v>2014</v>
      </c>
      <c r="D144" s="114">
        <v>412000</v>
      </c>
      <c r="E144" s="64">
        <f>D144*'16-PlantAdditions'!$E$103</f>
        <v>30900</v>
      </c>
      <c r="F144" s="64">
        <f t="shared" si="20"/>
        <v>442900</v>
      </c>
      <c r="G144" s="114">
        <v>412000</v>
      </c>
      <c r="H144" s="114">
        <v>0</v>
      </c>
      <c r="I144" s="64">
        <f>(G144-H144)*'16-PlantAdditions'!$E$103</f>
        <v>30900</v>
      </c>
      <c r="J144" s="64">
        <f t="shared" si="21"/>
        <v>-264955.00000071898</v>
      </c>
      <c r="K144" s="563">
        <f t="shared" si="22"/>
        <v>-536600893.84000069</v>
      </c>
    </row>
    <row r="145" spans="1:11" s="796" customFormat="1" x14ac:dyDescent="0.2">
      <c r="A145" s="117">
        <f t="shared" si="19"/>
        <v>105</v>
      </c>
      <c r="B145" s="759" t="s">
        <v>201</v>
      </c>
      <c r="C145" s="757">
        <v>2014</v>
      </c>
      <c r="D145" s="114">
        <v>412000</v>
      </c>
      <c r="E145" s="64">
        <f>D145*'16-PlantAdditions'!$E$103</f>
        <v>30900</v>
      </c>
      <c r="F145" s="64">
        <f t="shared" si="20"/>
        <v>442900</v>
      </c>
      <c r="G145" s="114">
        <v>412000</v>
      </c>
      <c r="H145" s="114">
        <v>0</v>
      </c>
      <c r="I145" s="64">
        <f>(G145-H145)*'16-PlantAdditions'!$E$103</f>
        <v>30900</v>
      </c>
      <c r="J145" s="64">
        <f t="shared" si="21"/>
        <v>-264955.00000071898</v>
      </c>
      <c r="K145" s="118">
        <f t="shared" si="22"/>
        <v>-536600893.84000069</v>
      </c>
    </row>
    <row r="146" spans="1:11" s="796" customFormat="1" x14ac:dyDescent="0.2">
      <c r="A146" s="117">
        <f t="shared" si="19"/>
        <v>106</v>
      </c>
      <c r="B146"/>
      <c r="C146" s="795" t="s">
        <v>1867</v>
      </c>
      <c r="D146"/>
      <c r="E146"/>
      <c r="F146"/>
      <c r="G146"/>
      <c r="H146"/>
      <c r="I146"/>
      <c r="J146"/>
      <c r="K146" s="78">
        <f>AVERAGE(K133:K145)</f>
        <v>-536600893.84000081</v>
      </c>
    </row>
    <row r="147" spans="1:11" s="796" customFormat="1" x14ac:dyDescent="0.2">
      <c r="A147" s="117"/>
      <c r="B147"/>
      <c r="C147" s="795"/>
      <c r="D147"/>
      <c r="E147"/>
      <c r="F147"/>
      <c r="G147"/>
      <c r="H147"/>
      <c r="I147"/>
      <c r="J147"/>
      <c r="K147" s="78"/>
    </row>
    <row r="148" spans="1:11" s="796" customFormat="1" x14ac:dyDescent="0.2">
      <c r="B148" s="797" t="s">
        <v>2404</v>
      </c>
      <c r="D148" s="1412" t="s">
        <v>2405</v>
      </c>
      <c r="E148" s="1412"/>
    </row>
    <row r="149" spans="1:11" s="796" customFormat="1" x14ac:dyDescent="0.2">
      <c r="D149" s="798"/>
      <c r="E149" s="798"/>
      <c r="F149" s="798"/>
      <c r="G149" s="679" t="str">
        <f>G51</f>
        <v>Unloaded</v>
      </c>
      <c r="H149" s="798"/>
      <c r="I149" s="798"/>
    </row>
    <row r="150" spans="1:11" s="796" customFormat="1" x14ac:dyDescent="0.2">
      <c r="A150" s="793"/>
      <c r="B150" s="793"/>
      <c r="C150" s="793"/>
      <c r="D150" s="793" t="str">
        <f>D$52</f>
        <v>Forecast</v>
      </c>
      <c r="E150" s="793" t="str">
        <f t="shared" ref="E150:J150" si="23">E$52</f>
        <v>Corporate</v>
      </c>
      <c r="F150" s="793" t="str">
        <f t="shared" si="23"/>
        <v xml:space="preserve">Total </v>
      </c>
      <c r="G150" s="679" t="str">
        <f>G52</f>
        <v>Total</v>
      </c>
      <c r="H150" s="793" t="str">
        <f t="shared" si="23"/>
        <v>Prior Period</v>
      </c>
      <c r="I150" s="793" t="str">
        <f t="shared" si="23"/>
        <v>Over Heads</v>
      </c>
      <c r="J150" s="793" t="str">
        <f t="shared" si="23"/>
        <v>Forecast</v>
      </c>
      <c r="K150" s="679" t="str">
        <f>K$52</f>
        <v>Forecast Period</v>
      </c>
    </row>
    <row r="151" spans="1:11" s="796" customFormat="1" x14ac:dyDescent="0.2">
      <c r="A151" s="1114" t="s">
        <v>362</v>
      </c>
      <c r="B151" s="755" t="s">
        <v>213</v>
      </c>
      <c r="C151" s="755" t="s">
        <v>214</v>
      </c>
      <c r="D151" s="791" t="str">
        <f>D$53</f>
        <v>Expenditures</v>
      </c>
      <c r="E151" s="791" t="str">
        <f t="shared" ref="E151:J151" si="24">E$53</f>
        <v>Overheads</v>
      </c>
      <c r="F151" s="791" t="str">
        <f t="shared" si="24"/>
        <v>CWIP Exp</v>
      </c>
      <c r="G151" s="3" t="str">
        <f>G53</f>
        <v>Plant Adds</v>
      </c>
      <c r="H151" s="791" t="str">
        <f t="shared" si="24"/>
        <v>CWIP Closed</v>
      </c>
      <c r="I151" s="791" t="str">
        <f t="shared" si="24"/>
        <v>Closed to PIS</v>
      </c>
      <c r="J151" s="791" t="str">
        <f t="shared" si="24"/>
        <v>Period CWIP</v>
      </c>
      <c r="K151" s="791" t="str">
        <f>K$53</f>
        <v>Incremental CWIP</v>
      </c>
    </row>
    <row r="152" spans="1:11" s="796" customFormat="1" x14ac:dyDescent="0.2">
      <c r="A152" s="117">
        <f>A146+1</f>
        <v>107</v>
      </c>
      <c r="B152" s="756" t="s">
        <v>201</v>
      </c>
      <c r="C152" s="757">
        <v>2012</v>
      </c>
      <c r="D152" s="800" t="s">
        <v>88</v>
      </c>
      <c r="E152" s="800" t="s">
        <v>88</v>
      </c>
      <c r="F152" s="800" t="s">
        <v>88</v>
      </c>
      <c r="G152" s="800" t="s">
        <v>88</v>
      </c>
      <c r="H152" s="800" t="s">
        <v>88</v>
      </c>
      <c r="I152" s="800" t="s">
        <v>88</v>
      </c>
      <c r="J152" s="64">
        <f>G25</f>
        <v>149796433.14000002</v>
      </c>
      <c r="K152" s="800" t="s">
        <v>88</v>
      </c>
    </row>
    <row r="153" spans="1:11" s="796" customFormat="1" x14ac:dyDescent="0.2">
      <c r="A153" s="117">
        <f>A152+1</f>
        <v>108</v>
      </c>
      <c r="B153" s="756" t="s">
        <v>202</v>
      </c>
      <c r="C153" s="757">
        <v>2013</v>
      </c>
      <c r="D153" s="114">
        <v>16215000</v>
      </c>
      <c r="E153" s="64">
        <f>D153*'16-PlantAdditions'!$E$103</f>
        <v>1216125</v>
      </c>
      <c r="F153" s="64">
        <f>E153+D153</f>
        <v>17431125</v>
      </c>
      <c r="G153" s="114">
        <v>0</v>
      </c>
      <c r="H153" s="114">
        <v>0</v>
      </c>
      <c r="I153" s="64">
        <f>(G153-H153)*'16-PlantAdditions'!$E$103</f>
        <v>0</v>
      </c>
      <c r="J153" s="64">
        <f>J152+F153-G153-I153</f>
        <v>167227558.14000002</v>
      </c>
      <c r="K153" s="64">
        <f>J153-$J$152</f>
        <v>17431125</v>
      </c>
    </row>
    <row r="154" spans="1:11" s="796" customFormat="1" x14ac:dyDescent="0.2">
      <c r="A154" s="117">
        <f t="shared" ref="A154:A177" si="25">A153+1</f>
        <v>109</v>
      </c>
      <c r="B154" s="759" t="s">
        <v>203</v>
      </c>
      <c r="C154" s="757">
        <v>2013</v>
      </c>
      <c r="D154" s="114">
        <v>36204000</v>
      </c>
      <c r="E154" s="64">
        <f>D154*'16-PlantAdditions'!$E$103</f>
        <v>2715300</v>
      </c>
      <c r="F154" s="64">
        <f t="shared" ref="F154:F176" si="26">E154+D154</f>
        <v>38919300</v>
      </c>
      <c r="G154" s="114">
        <v>0</v>
      </c>
      <c r="H154" s="114">
        <v>0</v>
      </c>
      <c r="I154" s="64">
        <f>(G154-H154)*'16-PlantAdditions'!$E$103</f>
        <v>0</v>
      </c>
      <c r="J154" s="64">
        <f t="shared" ref="J154:J173" si="27">J153+F154-G154-I154</f>
        <v>206146858.14000002</v>
      </c>
      <c r="K154" s="64">
        <f t="shared" ref="K154:K176" si="28">J154-$J$152</f>
        <v>56350425</v>
      </c>
    </row>
    <row r="155" spans="1:11" s="796" customFormat="1" x14ac:dyDescent="0.2">
      <c r="A155" s="117">
        <f t="shared" si="25"/>
        <v>110</v>
      </c>
      <c r="B155" s="759" t="s">
        <v>216</v>
      </c>
      <c r="C155" s="757">
        <v>2013</v>
      </c>
      <c r="D155" s="114">
        <v>48427000</v>
      </c>
      <c r="E155" s="64">
        <f>D155*'16-PlantAdditions'!$E$103</f>
        <v>3632025</v>
      </c>
      <c r="F155" s="64">
        <f t="shared" si="26"/>
        <v>52059025</v>
      </c>
      <c r="G155" s="114">
        <v>0</v>
      </c>
      <c r="H155" s="114">
        <v>0</v>
      </c>
      <c r="I155" s="64">
        <f>(G155-H155)*'16-PlantAdditions'!$E$103</f>
        <v>0</v>
      </c>
      <c r="J155" s="64">
        <f t="shared" si="27"/>
        <v>258205883.14000002</v>
      </c>
      <c r="K155" s="64">
        <f t="shared" si="28"/>
        <v>108409450</v>
      </c>
    </row>
    <row r="156" spans="1:11" s="796" customFormat="1" x14ac:dyDescent="0.2">
      <c r="A156" s="117">
        <f t="shared" si="25"/>
        <v>111</v>
      </c>
      <c r="B156" s="756" t="s">
        <v>204</v>
      </c>
      <c r="C156" s="757">
        <v>2013</v>
      </c>
      <c r="D156" s="114">
        <v>41182700.000000007</v>
      </c>
      <c r="E156" s="64">
        <f>D156*'16-PlantAdditions'!$E$103</f>
        <v>3088702.5000000005</v>
      </c>
      <c r="F156" s="64">
        <f t="shared" si="26"/>
        <v>44271402.500000007</v>
      </c>
      <c r="G156" s="114">
        <v>0</v>
      </c>
      <c r="H156" s="114">
        <v>0</v>
      </c>
      <c r="I156" s="64">
        <f>(G156-H156)*'16-PlantAdditions'!$E$103</f>
        <v>0</v>
      </c>
      <c r="J156" s="64">
        <f t="shared" si="27"/>
        <v>302477285.64000005</v>
      </c>
      <c r="K156" s="64">
        <f t="shared" si="28"/>
        <v>152680852.50000003</v>
      </c>
    </row>
    <row r="157" spans="1:11" s="796" customFormat="1" x14ac:dyDescent="0.2">
      <c r="A157" s="117">
        <f t="shared" si="25"/>
        <v>112</v>
      </c>
      <c r="B157" s="759" t="s">
        <v>205</v>
      </c>
      <c r="C157" s="757">
        <v>2013</v>
      </c>
      <c r="D157" s="114">
        <v>9973900.0000000019</v>
      </c>
      <c r="E157" s="64">
        <f>D157*'16-PlantAdditions'!$E$103</f>
        <v>748042.50000000012</v>
      </c>
      <c r="F157" s="64">
        <f t="shared" si="26"/>
        <v>10721942.500000002</v>
      </c>
      <c r="G157" s="114">
        <v>250563087.93999997</v>
      </c>
      <c r="H157" s="114">
        <v>115801087.93999998</v>
      </c>
      <c r="I157" s="64">
        <f>(G157-H157)*'16-PlantAdditions'!$E$103</f>
        <v>10107150</v>
      </c>
      <c r="J157" s="64">
        <f t="shared" si="27"/>
        <v>52528990.200000077</v>
      </c>
      <c r="K157" s="64">
        <f t="shared" si="28"/>
        <v>-97267442.939999938</v>
      </c>
    </row>
    <row r="158" spans="1:11" s="796" customFormat="1" x14ac:dyDescent="0.2">
      <c r="A158" s="117">
        <f t="shared" si="25"/>
        <v>113</v>
      </c>
      <c r="B158" s="759" t="s">
        <v>1690</v>
      </c>
      <c r="C158" s="757">
        <v>2013</v>
      </c>
      <c r="D158" s="114">
        <v>6540400.0000000009</v>
      </c>
      <c r="E158" s="64">
        <f>D158*'16-PlantAdditions'!$E$103</f>
        <v>490530.00000000006</v>
      </c>
      <c r="F158" s="64">
        <f t="shared" si="26"/>
        <v>7030930.0000000009</v>
      </c>
      <c r="G158" s="114">
        <v>45167044.490000032</v>
      </c>
      <c r="H158" s="114">
        <v>29167944.490000028</v>
      </c>
      <c r="I158" s="64">
        <f>(G158-H158)*'16-PlantAdditions'!$E$103</f>
        <v>1199932.5000000002</v>
      </c>
      <c r="J158" s="64">
        <f t="shared" si="27"/>
        <v>13192943.210000046</v>
      </c>
      <c r="K158" s="64">
        <f t="shared" si="28"/>
        <v>-136603489.92999998</v>
      </c>
    </row>
    <row r="159" spans="1:11" s="796" customFormat="1" x14ac:dyDescent="0.2">
      <c r="A159" s="117">
        <f t="shared" si="25"/>
        <v>114</v>
      </c>
      <c r="B159" s="756" t="s">
        <v>207</v>
      </c>
      <c r="C159" s="757">
        <v>2013</v>
      </c>
      <c r="D159" s="114">
        <v>2723899.9999999995</v>
      </c>
      <c r="E159" s="64">
        <f>D159*'16-PlantAdditions'!$E$103</f>
        <v>204292.49999999997</v>
      </c>
      <c r="F159" s="64">
        <f t="shared" si="26"/>
        <v>2928192.4999999995</v>
      </c>
      <c r="G159" s="114">
        <v>15333957.870000001</v>
      </c>
      <c r="H159" s="114">
        <v>4828157.870000001</v>
      </c>
      <c r="I159" s="64">
        <f>(G159-H159)*'16-PlantAdditions'!$E$103</f>
        <v>787935</v>
      </c>
      <c r="J159" s="64">
        <f t="shared" si="27"/>
        <v>-757.15999995544553</v>
      </c>
      <c r="K159" s="64">
        <f t="shared" si="28"/>
        <v>-149797190.29999998</v>
      </c>
    </row>
    <row r="160" spans="1:11" s="796" customFormat="1" x14ac:dyDescent="0.2">
      <c r="A160" s="117">
        <f t="shared" si="25"/>
        <v>115</v>
      </c>
      <c r="B160" s="759" t="s">
        <v>208</v>
      </c>
      <c r="C160" s="757">
        <v>2013</v>
      </c>
      <c r="D160" s="114">
        <v>1808899.9999999998</v>
      </c>
      <c r="E160" s="64">
        <f>D160*'16-PlantAdditions'!$E$103</f>
        <v>135667.49999999997</v>
      </c>
      <c r="F160" s="64">
        <f t="shared" si="26"/>
        <v>1944567.4999999998</v>
      </c>
      <c r="G160" s="114">
        <v>1808899.9999999998</v>
      </c>
      <c r="H160" s="114">
        <v>0</v>
      </c>
      <c r="I160" s="64">
        <f>(G160-H160)*'16-PlantAdditions'!$E$103</f>
        <v>135667.49999999997</v>
      </c>
      <c r="J160" s="64">
        <f t="shared" si="27"/>
        <v>-757.15999995541642</v>
      </c>
      <c r="K160" s="64">
        <f t="shared" si="28"/>
        <v>-149797190.29999998</v>
      </c>
    </row>
    <row r="161" spans="1:11" s="796" customFormat="1" x14ac:dyDescent="0.2">
      <c r="A161" s="117">
        <f t="shared" si="25"/>
        <v>116</v>
      </c>
      <c r="B161" s="759" t="s">
        <v>209</v>
      </c>
      <c r="C161" s="757">
        <v>2013</v>
      </c>
      <c r="D161" s="114">
        <v>1245899.9999999998</v>
      </c>
      <c r="E161" s="64">
        <f>D161*'16-PlantAdditions'!$E$103</f>
        <v>93442.499999999985</v>
      </c>
      <c r="F161" s="64">
        <f t="shared" si="26"/>
        <v>1339342.4999999998</v>
      </c>
      <c r="G161" s="114">
        <v>1245899.9999999998</v>
      </c>
      <c r="H161" s="114">
        <v>0</v>
      </c>
      <c r="I161" s="64">
        <f>(G161-H161)*'16-PlantAdditions'!$E$103</f>
        <v>93442.499999999985</v>
      </c>
      <c r="J161" s="64">
        <f t="shared" si="27"/>
        <v>-757.15999995543098</v>
      </c>
      <c r="K161" s="64">
        <f t="shared" si="28"/>
        <v>-149797190.29999998</v>
      </c>
    </row>
    <row r="162" spans="1:11" s="796" customFormat="1" x14ac:dyDescent="0.2">
      <c r="A162" s="117">
        <f t="shared" si="25"/>
        <v>117</v>
      </c>
      <c r="B162" s="756" t="s">
        <v>212</v>
      </c>
      <c r="C162" s="757">
        <v>2013</v>
      </c>
      <c r="D162" s="114">
        <v>1147900</v>
      </c>
      <c r="E162" s="64">
        <f>D162*'16-PlantAdditions'!$E$103</f>
        <v>86092.5</v>
      </c>
      <c r="F162" s="64">
        <f t="shared" si="26"/>
        <v>1233992.5</v>
      </c>
      <c r="G162" s="114">
        <v>1147900</v>
      </c>
      <c r="H162" s="114">
        <v>0</v>
      </c>
      <c r="I162" s="64">
        <f>(G162-H162)*'16-PlantAdditions'!$E$103</f>
        <v>86092.5</v>
      </c>
      <c r="J162" s="64">
        <f t="shared" si="27"/>
        <v>-757.15999995544553</v>
      </c>
      <c r="K162" s="64">
        <f t="shared" si="28"/>
        <v>-149797190.29999998</v>
      </c>
    </row>
    <row r="163" spans="1:11" s="796" customFormat="1" x14ac:dyDescent="0.2">
      <c r="A163" s="117">
        <f t="shared" si="25"/>
        <v>118</v>
      </c>
      <c r="B163" s="756" t="s">
        <v>211</v>
      </c>
      <c r="C163" s="757">
        <v>2013</v>
      </c>
      <c r="D163" s="114">
        <v>1097900</v>
      </c>
      <c r="E163" s="64">
        <f>D163*'16-PlantAdditions'!$E$103</f>
        <v>82342.5</v>
      </c>
      <c r="F163" s="64">
        <f t="shared" si="26"/>
        <v>1180242.5</v>
      </c>
      <c r="G163" s="114">
        <v>1097900</v>
      </c>
      <c r="H163" s="114">
        <v>0</v>
      </c>
      <c r="I163" s="64">
        <f>(G163-H163)*'16-PlantAdditions'!$E$103</f>
        <v>82342.5</v>
      </c>
      <c r="J163" s="64">
        <f t="shared" si="27"/>
        <v>-757.15999995544553</v>
      </c>
      <c r="K163" s="64">
        <f t="shared" si="28"/>
        <v>-149797190.29999998</v>
      </c>
    </row>
    <row r="164" spans="1:11" s="796" customFormat="1" x14ac:dyDescent="0.2">
      <c r="A164" s="117">
        <f t="shared" si="25"/>
        <v>119</v>
      </c>
      <c r="B164" s="756" t="s">
        <v>201</v>
      </c>
      <c r="C164" s="757">
        <v>2013</v>
      </c>
      <c r="D164" s="114">
        <v>858900.00000000012</v>
      </c>
      <c r="E164" s="64">
        <f>D164*'16-PlantAdditions'!$E$103</f>
        <v>64417.500000000007</v>
      </c>
      <c r="F164" s="64">
        <f t="shared" si="26"/>
        <v>923317.50000000012</v>
      </c>
      <c r="G164" s="114">
        <v>858900.00000000012</v>
      </c>
      <c r="H164" s="114">
        <v>0</v>
      </c>
      <c r="I164" s="64">
        <f>(G164-H164)*'16-PlantAdditions'!$E$103</f>
        <v>64417.500000000007</v>
      </c>
      <c r="J164" s="64">
        <f t="shared" si="27"/>
        <v>-757.1599999554528</v>
      </c>
      <c r="K164" s="64">
        <f t="shared" si="28"/>
        <v>-149797190.29999998</v>
      </c>
    </row>
    <row r="165" spans="1:11" s="796" customFormat="1" x14ac:dyDescent="0.2">
      <c r="A165" s="117">
        <f t="shared" si="25"/>
        <v>120</v>
      </c>
      <c r="B165" s="756" t="s">
        <v>202</v>
      </c>
      <c r="C165" s="757">
        <v>2014</v>
      </c>
      <c r="D165" s="114">
        <v>173000</v>
      </c>
      <c r="E165" s="64">
        <f>D165*'16-PlantAdditions'!$E$103</f>
        <v>12975</v>
      </c>
      <c r="F165" s="64">
        <f t="shared" si="26"/>
        <v>185975</v>
      </c>
      <c r="G165" s="114">
        <v>173000</v>
      </c>
      <c r="H165" s="114">
        <v>0</v>
      </c>
      <c r="I165" s="64">
        <f>(G165-H165)*'16-PlantAdditions'!$E$103</f>
        <v>12975</v>
      </c>
      <c r="J165" s="64">
        <f t="shared" si="27"/>
        <v>-757.15999995544553</v>
      </c>
      <c r="K165" s="64">
        <f t="shared" si="28"/>
        <v>-149797190.29999998</v>
      </c>
    </row>
    <row r="166" spans="1:11" s="796" customFormat="1" x14ac:dyDescent="0.2">
      <c r="A166" s="117">
        <f t="shared" si="25"/>
        <v>121</v>
      </c>
      <c r="B166" s="759" t="s">
        <v>203</v>
      </c>
      <c r="C166" s="757">
        <v>2014</v>
      </c>
      <c r="D166" s="114">
        <v>163000</v>
      </c>
      <c r="E166" s="64">
        <f>D166*'16-PlantAdditions'!$E$103</f>
        <v>12225</v>
      </c>
      <c r="F166" s="64">
        <f t="shared" si="26"/>
        <v>175225</v>
      </c>
      <c r="G166" s="114">
        <v>163000</v>
      </c>
      <c r="H166" s="114">
        <v>0</v>
      </c>
      <c r="I166" s="64">
        <f>(G166-H166)*'16-PlantAdditions'!$E$103</f>
        <v>12225</v>
      </c>
      <c r="J166" s="64">
        <f t="shared" si="27"/>
        <v>-757.15999995544553</v>
      </c>
      <c r="K166" s="64">
        <f t="shared" si="28"/>
        <v>-149797190.29999998</v>
      </c>
    </row>
    <row r="167" spans="1:11" s="796" customFormat="1" x14ac:dyDescent="0.2">
      <c r="A167" s="117">
        <f t="shared" si="25"/>
        <v>122</v>
      </c>
      <c r="B167" s="759" t="s">
        <v>216</v>
      </c>
      <c r="C167" s="757">
        <v>2014</v>
      </c>
      <c r="D167" s="114">
        <v>163000</v>
      </c>
      <c r="E167" s="64">
        <f>D167*'16-PlantAdditions'!$E$103</f>
        <v>12225</v>
      </c>
      <c r="F167" s="64">
        <f t="shared" si="26"/>
        <v>175225</v>
      </c>
      <c r="G167" s="114">
        <v>163000</v>
      </c>
      <c r="H167" s="114">
        <v>0</v>
      </c>
      <c r="I167" s="64">
        <f>(G167-H167)*'16-PlantAdditions'!$E$103</f>
        <v>12225</v>
      </c>
      <c r="J167" s="64">
        <f t="shared" si="27"/>
        <v>-757.15999995544553</v>
      </c>
      <c r="K167" s="64">
        <f t="shared" si="28"/>
        <v>-149797190.29999998</v>
      </c>
    </row>
    <row r="168" spans="1:11" s="796" customFormat="1" x14ac:dyDescent="0.2">
      <c r="A168" s="117">
        <f t="shared" si="25"/>
        <v>123</v>
      </c>
      <c r="B168" s="756" t="s">
        <v>204</v>
      </c>
      <c r="C168" s="757">
        <v>2014</v>
      </c>
      <c r="D168" s="114">
        <v>163000</v>
      </c>
      <c r="E168" s="64">
        <f>D168*'16-PlantAdditions'!$E$103</f>
        <v>12225</v>
      </c>
      <c r="F168" s="64">
        <f t="shared" si="26"/>
        <v>175225</v>
      </c>
      <c r="G168" s="114">
        <v>163000</v>
      </c>
      <c r="H168" s="114">
        <v>0</v>
      </c>
      <c r="I168" s="64">
        <f>(G168-H168)*'16-PlantAdditions'!$E$103</f>
        <v>12225</v>
      </c>
      <c r="J168" s="64">
        <f t="shared" si="27"/>
        <v>-757.15999995544553</v>
      </c>
      <c r="K168" s="64">
        <f t="shared" si="28"/>
        <v>-149797190.29999998</v>
      </c>
    </row>
    <row r="169" spans="1:11" s="796" customFormat="1" x14ac:dyDescent="0.2">
      <c r="A169" s="117">
        <f t="shared" si="25"/>
        <v>124</v>
      </c>
      <c r="B169" s="759" t="s">
        <v>205</v>
      </c>
      <c r="C169" s="757">
        <v>2014</v>
      </c>
      <c r="D169" s="114">
        <v>163000</v>
      </c>
      <c r="E169" s="64">
        <f>D169*'16-PlantAdditions'!$E$103</f>
        <v>12225</v>
      </c>
      <c r="F169" s="64">
        <f t="shared" si="26"/>
        <v>175225</v>
      </c>
      <c r="G169" s="114">
        <v>163000</v>
      </c>
      <c r="H169" s="114">
        <v>0</v>
      </c>
      <c r="I169" s="64">
        <f>(G169-H169)*'16-PlantAdditions'!$E$103</f>
        <v>12225</v>
      </c>
      <c r="J169" s="64">
        <f t="shared" si="27"/>
        <v>-757.15999995544553</v>
      </c>
      <c r="K169" s="64">
        <f t="shared" si="28"/>
        <v>-149797190.29999998</v>
      </c>
    </row>
    <row r="170" spans="1:11" s="796" customFormat="1" x14ac:dyDescent="0.2">
      <c r="A170" s="117">
        <f t="shared" si="25"/>
        <v>125</v>
      </c>
      <c r="B170" s="759" t="s">
        <v>1690</v>
      </c>
      <c r="C170" s="757">
        <v>2014</v>
      </c>
      <c r="D170" s="114">
        <v>163000</v>
      </c>
      <c r="E170" s="64">
        <f>D170*'16-PlantAdditions'!$E$103</f>
        <v>12225</v>
      </c>
      <c r="F170" s="64">
        <f t="shared" si="26"/>
        <v>175225</v>
      </c>
      <c r="G170" s="114">
        <v>163000</v>
      </c>
      <c r="H170" s="114">
        <v>0</v>
      </c>
      <c r="I170" s="64">
        <f>(G170-H170)*'16-PlantAdditions'!$E$103</f>
        <v>12225</v>
      </c>
      <c r="J170" s="64">
        <f t="shared" si="27"/>
        <v>-757.15999995544553</v>
      </c>
      <c r="K170" s="64">
        <f t="shared" si="28"/>
        <v>-149797190.29999998</v>
      </c>
    </row>
    <row r="171" spans="1:11" s="796" customFormat="1" x14ac:dyDescent="0.2">
      <c r="A171" s="117">
        <f t="shared" si="25"/>
        <v>126</v>
      </c>
      <c r="B171" s="756" t="s">
        <v>207</v>
      </c>
      <c r="C171" s="757">
        <v>2014</v>
      </c>
      <c r="D171" s="114">
        <v>162000</v>
      </c>
      <c r="E171" s="64">
        <f>D171*'16-PlantAdditions'!$E$103</f>
        <v>12150</v>
      </c>
      <c r="F171" s="64">
        <f t="shared" si="26"/>
        <v>174150</v>
      </c>
      <c r="G171" s="114">
        <v>162000</v>
      </c>
      <c r="H171" s="114">
        <v>0</v>
      </c>
      <c r="I171" s="64">
        <f>(G171-H171)*'16-PlantAdditions'!$E$103</f>
        <v>12150</v>
      </c>
      <c r="J171" s="64">
        <f t="shared" si="27"/>
        <v>-757.15999995544553</v>
      </c>
      <c r="K171" s="64">
        <f t="shared" si="28"/>
        <v>-149797190.29999998</v>
      </c>
    </row>
    <row r="172" spans="1:11" s="796" customFormat="1" x14ac:dyDescent="0.2">
      <c r="A172" s="117">
        <f t="shared" si="25"/>
        <v>127</v>
      </c>
      <c r="B172" s="759" t="s">
        <v>208</v>
      </c>
      <c r="C172" s="757">
        <v>2014</v>
      </c>
      <c r="D172" s="114">
        <v>162000</v>
      </c>
      <c r="E172" s="64">
        <f>D172*'16-PlantAdditions'!$E$103</f>
        <v>12150</v>
      </c>
      <c r="F172" s="64">
        <f t="shared" si="26"/>
        <v>174150</v>
      </c>
      <c r="G172" s="114">
        <v>162000</v>
      </c>
      <c r="H172" s="114">
        <v>0</v>
      </c>
      <c r="I172" s="64">
        <f>(G172-H172)*'16-PlantAdditions'!$E$103</f>
        <v>12150</v>
      </c>
      <c r="J172" s="64">
        <f t="shared" si="27"/>
        <v>-757.15999995544553</v>
      </c>
      <c r="K172" s="64">
        <f t="shared" si="28"/>
        <v>-149797190.29999998</v>
      </c>
    </row>
    <row r="173" spans="1:11" s="796" customFormat="1" x14ac:dyDescent="0.2">
      <c r="A173" s="117">
        <f t="shared" si="25"/>
        <v>128</v>
      </c>
      <c r="B173" s="759" t="s">
        <v>209</v>
      </c>
      <c r="C173" s="757">
        <v>2014</v>
      </c>
      <c r="D173" s="114">
        <v>162000</v>
      </c>
      <c r="E173" s="64">
        <f>D173*'16-PlantAdditions'!$E$103</f>
        <v>12150</v>
      </c>
      <c r="F173" s="64">
        <f t="shared" si="26"/>
        <v>174150</v>
      </c>
      <c r="G173" s="114">
        <v>162000</v>
      </c>
      <c r="H173" s="114">
        <v>0</v>
      </c>
      <c r="I173" s="64">
        <f>(G173-H173)*'16-PlantAdditions'!$E$103</f>
        <v>12150</v>
      </c>
      <c r="J173" s="64">
        <f t="shared" si="27"/>
        <v>-757.15999995544553</v>
      </c>
      <c r="K173" s="64">
        <f t="shared" si="28"/>
        <v>-149797190.29999998</v>
      </c>
    </row>
    <row r="174" spans="1:11" s="796" customFormat="1" x14ac:dyDescent="0.2">
      <c r="A174" s="117">
        <f t="shared" si="25"/>
        <v>129</v>
      </c>
      <c r="B174" s="759" t="s">
        <v>212</v>
      </c>
      <c r="C174" s="757">
        <v>2014</v>
      </c>
      <c r="D174" s="114">
        <v>159000</v>
      </c>
      <c r="E174" s="64">
        <f>D174*'16-PlantAdditions'!$E$103</f>
        <v>11925</v>
      </c>
      <c r="F174" s="64">
        <f t="shared" si="26"/>
        <v>170925</v>
      </c>
      <c r="G174" s="114">
        <v>159000</v>
      </c>
      <c r="H174" s="114">
        <v>0</v>
      </c>
      <c r="I174" s="64">
        <f>(G174-H174)*'16-PlantAdditions'!$E$103</f>
        <v>11925</v>
      </c>
      <c r="J174" s="64">
        <f t="shared" ref="J174:J176" si="29">J173+F174-G174-I174</f>
        <v>-757.15999995544553</v>
      </c>
      <c r="K174" s="64">
        <f t="shared" si="28"/>
        <v>-149797190.29999998</v>
      </c>
    </row>
    <row r="175" spans="1:11" s="796" customFormat="1" x14ac:dyDescent="0.2">
      <c r="A175" s="117">
        <f t="shared" si="25"/>
        <v>130</v>
      </c>
      <c r="B175" s="759" t="s">
        <v>211</v>
      </c>
      <c r="C175" s="757">
        <v>2014</v>
      </c>
      <c r="D175" s="114">
        <v>317000</v>
      </c>
      <c r="E175" s="64">
        <f>D175*'16-PlantAdditions'!$E$103</f>
        <v>23775</v>
      </c>
      <c r="F175" s="64">
        <f t="shared" si="26"/>
        <v>340775</v>
      </c>
      <c r="G175" s="114">
        <v>317000</v>
      </c>
      <c r="H175" s="114">
        <v>0</v>
      </c>
      <c r="I175" s="64">
        <f>(G175-H175)*'16-PlantAdditions'!$E$103</f>
        <v>23775</v>
      </c>
      <c r="J175" s="64">
        <f t="shared" si="29"/>
        <v>-757.15999995544553</v>
      </c>
      <c r="K175" s="64">
        <f t="shared" si="28"/>
        <v>-149797190.29999998</v>
      </c>
    </row>
    <row r="176" spans="1:11" s="796" customFormat="1" x14ac:dyDescent="0.2">
      <c r="A176" s="117">
        <f t="shared" si="25"/>
        <v>131</v>
      </c>
      <c r="B176" s="759" t="s">
        <v>201</v>
      </c>
      <c r="C176" s="757">
        <v>2014</v>
      </c>
      <c r="D176" s="114">
        <v>317000</v>
      </c>
      <c r="E176" s="64">
        <f>D176*'16-PlantAdditions'!$E$103</f>
        <v>23775</v>
      </c>
      <c r="F176" s="64">
        <f t="shared" si="26"/>
        <v>340775</v>
      </c>
      <c r="G176" s="114">
        <v>317000</v>
      </c>
      <c r="H176" s="114">
        <v>0</v>
      </c>
      <c r="I176" s="64">
        <f>(G176-H176)*'16-PlantAdditions'!$E$103</f>
        <v>23775</v>
      </c>
      <c r="J176" s="64">
        <f t="shared" si="29"/>
        <v>-757.15999995544553</v>
      </c>
      <c r="K176" s="118">
        <f t="shared" si="28"/>
        <v>-149797190.29999998</v>
      </c>
    </row>
    <row r="177" spans="1:11" s="796" customFormat="1" x14ac:dyDescent="0.2">
      <c r="A177" s="117">
        <f t="shared" si="25"/>
        <v>132</v>
      </c>
      <c r="B177"/>
      <c r="C177" s="795" t="s">
        <v>1867</v>
      </c>
      <c r="D177"/>
      <c r="E177"/>
      <c r="F177"/>
      <c r="G177"/>
      <c r="H177"/>
      <c r="I177"/>
      <c r="J177"/>
      <c r="K177" s="78">
        <f>AVERAGE(K164:K176)</f>
        <v>-149797190.29999998</v>
      </c>
    </row>
    <row r="178" spans="1:11" s="796" customFormat="1" x14ac:dyDescent="0.2">
      <c r="A178" s="117"/>
      <c r="B178"/>
      <c r="C178" s="795"/>
      <c r="D178"/>
      <c r="E178"/>
      <c r="F178"/>
      <c r="G178"/>
      <c r="H178"/>
      <c r="I178"/>
      <c r="J178"/>
      <c r="K178" s="78"/>
    </row>
    <row r="179" spans="1:11" s="796" customFormat="1" x14ac:dyDescent="0.2">
      <c r="B179" s="797" t="s">
        <v>2406</v>
      </c>
      <c r="D179" s="1412" t="s">
        <v>2407</v>
      </c>
      <c r="E179" s="1412"/>
    </row>
    <row r="180" spans="1:11" s="796" customFormat="1" x14ac:dyDescent="0.2">
      <c r="A180" s="791"/>
      <c r="B180" s="791"/>
      <c r="C180" s="791"/>
      <c r="D180" s="791" t="s">
        <v>396</v>
      </c>
      <c r="E180" s="791" t="s">
        <v>380</v>
      </c>
      <c r="F180" s="791" t="s">
        <v>381</v>
      </c>
      <c r="G180" s="791" t="s">
        <v>382</v>
      </c>
      <c r="H180" s="791" t="s">
        <v>383</v>
      </c>
      <c r="I180" s="791" t="s">
        <v>384</v>
      </c>
      <c r="J180" s="791" t="s">
        <v>385</v>
      </c>
      <c r="K180" s="791" t="s">
        <v>599</v>
      </c>
    </row>
    <row r="181" spans="1:11" s="796" customFormat="1" ht="38.25" x14ac:dyDescent="0.2">
      <c r="D181" s="798"/>
      <c r="E181" s="799" t="s">
        <v>2762</v>
      </c>
      <c r="F181" s="800" t="s">
        <v>2399</v>
      </c>
      <c r="G181" s="557"/>
      <c r="H181" s="798"/>
      <c r="I181" s="799" t="s">
        <v>2763</v>
      </c>
      <c r="J181" s="799" t="s">
        <v>2400</v>
      </c>
      <c r="K181" s="799" t="s">
        <v>2401</v>
      </c>
    </row>
    <row r="182" spans="1:11" s="796" customFormat="1" x14ac:dyDescent="0.2">
      <c r="D182" s="798"/>
      <c r="E182" s="799"/>
      <c r="F182" s="800"/>
      <c r="G182" s="4" t="str">
        <f>G51</f>
        <v>Unloaded</v>
      </c>
      <c r="H182" s="798"/>
      <c r="I182" s="799"/>
      <c r="J182" s="799"/>
      <c r="K182" s="799"/>
    </row>
    <row r="183" spans="1:11" s="796" customFormat="1" x14ac:dyDescent="0.2">
      <c r="A183" s="793"/>
      <c r="B183" s="793"/>
      <c r="C183" s="793"/>
      <c r="D183" s="793" t="str">
        <f>D$52</f>
        <v>Forecast</v>
      </c>
      <c r="E183" s="793" t="str">
        <f t="shared" ref="E183:J183" si="30">E$52</f>
        <v>Corporate</v>
      </c>
      <c r="F183" s="793" t="str">
        <f t="shared" si="30"/>
        <v xml:space="preserve">Total </v>
      </c>
      <c r="G183" s="4" t="str">
        <f>G52</f>
        <v>Total</v>
      </c>
      <c r="H183" s="793" t="str">
        <f t="shared" si="30"/>
        <v>Prior Period</v>
      </c>
      <c r="I183" s="793" t="str">
        <f t="shared" si="30"/>
        <v>Over Heads</v>
      </c>
      <c r="J183" s="793" t="str">
        <f t="shared" si="30"/>
        <v>Forecast</v>
      </c>
      <c r="K183" s="679" t="str">
        <f>K$52</f>
        <v>Forecast Period</v>
      </c>
    </row>
    <row r="184" spans="1:11" s="796" customFormat="1" x14ac:dyDescent="0.2">
      <c r="A184" s="1114" t="s">
        <v>362</v>
      </c>
      <c r="B184" s="755" t="s">
        <v>213</v>
      </c>
      <c r="C184" s="755" t="s">
        <v>214</v>
      </c>
      <c r="D184" s="791" t="str">
        <f>D$53</f>
        <v>Expenditures</v>
      </c>
      <c r="E184" s="791" t="str">
        <f t="shared" ref="E184:J184" si="31">E$53</f>
        <v>Overheads</v>
      </c>
      <c r="F184" s="791" t="str">
        <f t="shared" si="31"/>
        <v>CWIP Exp</v>
      </c>
      <c r="G184" s="90" t="str">
        <f>G53</f>
        <v>Plant Adds</v>
      </c>
      <c r="H184" s="791" t="str">
        <f t="shared" si="31"/>
        <v>CWIP Closed</v>
      </c>
      <c r="I184" s="791" t="str">
        <f t="shared" si="31"/>
        <v>Closed to PIS</v>
      </c>
      <c r="J184" s="791" t="str">
        <f t="shared" si="31"/>
        <v>Period CWIP</v>
      </c>
      <c r="K184" s="791" t="str">
        <f>K$53</f>
        <v>Incremental CWIP</v>
      </c>
    </row>
    <row r="185" spans="1:11" s="796" customFormat="1" x14ac:dyDescent="0.2">
      <c r="A185" s="117">
        <f>A177+1</f>
        <v>133</v>
      </c>
      <c r="B185" s="756" t="s">
        <v>201</v>
      </c>
      <c r="C185" s="757">
        <v>2012</v>
      </c>
      <c r="D185" s="800" t="s">
        <v>88</v>
      </c>
      <c r="E185" s="800" t="s">
        <v>88</v>
      </c>
      <c r="F185" s="800" t="s">
        <v>88</v>
      </c>
      <c r="G185" s="800" t="s">
        <v>88</v>
      </c>
      <c r="H185" s="800" t="s">
        <v>88</v>
      </c>
      <c r="I185" s="800" t="s">
        <v>88</v>
      </c>
      <c r="J185" s="64">
        <f>H25</f>
        <v>-69617.340000000084</v>
      </c>
      <c r="K185" s="800" t="s">
        <v>88</v>
      </c>
    </row>
    <row r="186" spans="1:11" s="796" customFormat="1" x14ac:dyDescent="0.2">
      <c r="A186" s="117">
        <f>A185+1</f>
        <v>134</v>
      </c>
      <c r="B186" s="756" t="s">
        <v>202</v>
      </c>
      <c r="C186" s="757">
        <v>2013</v>
      </c>
      <c r="D186" s="114">
        <v>0</v>
      </c>
      <c r="E186" s="64">
        <f>D186*'16-PlantAdditions'!$E$103</f>
        <v>0</v>
      </c>
      <c r="F186" s="64">
        <f>E186+D186</f>
        <v>0</v>
      </c>
      <c r="G186" s="114">
        <v>0</v>
      </c>
      <c r="H186" s="114">
        <v>0</v>
      </c>
      <c r="I186" s="64">
        <f>(G186-H186)*'16-PlantAdditions'!$E$103</f>
        <v>0</v>
      </c>
      <c r="J186" s="64">
        <f>J185+F186-G186-I186</f>
        <v>-69617.340000000084</v>
      </c>
      <c r="K186" s="64">
        <f>J186-$J$185</f>
        <v>0</v>
      </c>
    </row>
    <row r="187" spans="1:11" s="796" customFormat="1" x14ac:dyDescent="0.2">
      <c r="A187" s="117">
        <f t="shared" ref="A187:A210" si="32">A186+1</f>
        <v>135</v>
      </c>
      <c r="B187" s="759" t="s">
        <v>203</v>
      </c>
      <c r="C187" s="757">
        <v>2013</v>
      </c>
      <c r="D187" s="114">
        <v>0</v>
      </c>
      <c r="E187" s="64">
        <f>D187*'16-PlantAdditions'!$E$103</f>
        <v>0</v>
      </c>
      <c r="F187" s="64">
        <f t="shared" ref="F187:F206" si="33">E187+D187</f>
        <v>0</v>
      </c>
      <c r="G187" s="114">
        <v>0</v>
      </c>
      <c r="H187" s="114">
        <v>0</v>
      </c>
      <c r="I187" s="64">
        <f>(G187-H187)*'16-PlantAdditions'!$E$103</f>
        <v>0</v>
      </c>
      <c r="J187" s="64">
        <f t="shared" ref="J187:J206" si="34">J186+F187-G187-I187</f>
        <v>-69617.340000000084</v>
      </c>
      <c r="K187" s="64">
        <f t="shared" ref="K187:K209" si="35">J187-$J$185</f>
        <v>0</v>
      </c>
    </row>
    <row r="188" spans="1:11" s="796" customFormat="1" x14ac:dyDescent="0.2">
      <c r="A188" s="117">
        <f t="shared" si="32"/>
        <v>136</v>
      </c>
      <c r="B188" s="759" t="s">
        <v>216</v>
      </c>
      <c r="C188" s="757">
        <v>2013</v>
      </c>
      <c r="D188" s="114">
        <v>0</v>
      </c>
      <c r="E188" s="64">
        <f>D188*'16-PlantAdditions'!$E$103</f>
        <v>0</v>
      </c>
      <c r="F188" s="64">
        <f t="shared" si="33"/>
        <v>0</v>
      </c>
      <c r="G188" s="114">
        <v>0</v>
      </c>
      <c r="H188" s="114">
        <v>0</v>
      </c>
      <c r="I188" s="64">
        <f>(G188-H188)*'16-PlantAdditions'!$E$103</f>
        <v>0</v>
      </c>
      <c r="J188" s="64">
        <f t="shared" si="34"/>
        <v>-69617.340000000084</v>
      </c>
      <c r="K188" s="64">
        <f t="shared" si="35"/>
        <v>0</v>
      </c>
    </row>
    <row r="189" spans="1:11" s="796" customFormat="1" x14ac:dyDescent="0.2">
      <c r="A189" s="117">
        <f t="shared" si="32"/>
        <v>137</v>
      </c>
      <c r="B189" s="756" t="s">
        <v>204</v>
      </c>
      <c r="C189" s="757">
        <v>2013</v>
      </c>
      <c r="D189" s="114">
        <v>0</v>
      </c>
      <c r="E189" s="64">
        <f>D189*'16-PlantAdditions'!$E$103</f>
        <v>0</v>
      </c>
      <c r="F189" s="64">
        <f t="shared" si="33"/>
        <v>0</v>
      </c>
      <c r="G189" s="114">
        <v>0</v>
      </c>
      <c r="H189" s="114">
        <v>0</v>
      </c>
      <c r="I189" s="64">
        <f>(G189-H189)*'16-PlantAdditions'!$E$103</f>
        <v>0</v>
      </c>
      <c r="J189" s="64">
        <f t="shared" si="34"/>
        <v>-69617.340000000084</v>
      </c>
      <c r="K189" s="64">
        <f t="shared" si="35"/>
        <v>0</v>
      </c>
    </row>
    <row r="190" spans="1:11" s="796" customFormat="1" x14ac:dyDescent="0.2">
      <c r="A190" s="117">
        <f t="shared" si="32"/>
        <v>138</v>
      </c>
      <c r="B190" s="759" t="s">
        <v>205</v>
      </c>
      <c r="C190" s="757">
        <v>2013</v>
      </c>
      <c r="D190" s="114">
        <v>0</v>
      </c>
      <c r="E190" s="64">
        <f>D190*'16-PlantAdditions'!$E$103</f>
        <v>0</v>
      </c>
      <c r="F190" s="64">
        <f t="shared" si="33"/>
        <v>0</v>
      </c>
      <c r="G190" s="114">
        <v>0</v>
      </c>
      <c r="H190" s="114">
        <v>0</v>
      </c>
      <c r="I190" s="64">
        <f>(G190-H190)*'16-PlantAdditions'!$E$103</f>
        <v>0</v>
      </c>
      <c r="J190" s="64">
        <f t="shared" si="34"/>
        <v>-69617.340000000084</v>
      </c>
      <c r="K190" s="64">
        <f t="shared" si="35"/>
        <v>0</v>
      </c>
    </row>
    <row r="191" spans="1:11" s="796" customFormat="1" x14ac:dyDescent="0.2">
      <c r="A191" s="117">
        <f t="shared" si="32"/>
        <v>139</v>
      </c>
      <c r="B191" s="759" t="s">
        <v>1690</v>
      </c>
      <c r="C191" s="757">
        <v>2013</v>
      </c>
      <c r="D191" s="114">
        <v>0</v>
      </c>
      <c r="E191" s="64">
        <f>D191*'16-PlantAdditions'!$E$103</f>
        <v>0</v>
      </c>
      <c r="F191" s="64">
        <f t="shared" si="33"/>
        <v>0</v>
      </c>
      <c r="G191" s="114">
        <v>0</v>
      </c>
      <c r="H191" s="114">
        <v>0</v>
      </c>
      <c r="I191" s="64">
        <f>(G191-H191)*'16-PlantAdditions'!$E$103</f>
        <v>0</v>
      </c>
      <c r="J191" s="64">
        <f t="shared" si="34"/>
        <v>-69617.340000000084</v>
      </c>
      <c r="K191" s="64">
        <f t="shared" si="35"/>
        <v>0</v>
      </c>
    </row>
    <row r="192" spans="1:11" s="796" customFormat="1" x14ac:dyDescent="0.2">
      <c r="A192" s="117">
        <f t="shared" si="32"/>
        <v>140</v>
      </c>
      <c r="B192" s="756" t="s">
        <v>207</v>
      </c>
      <c r="C192" s="757">
        <v>2013</v>
      </c>
      <c r="D192" s="114">
        <v>0</v>
      </c>
      <c r="E192" s="64">
        <f>D192*'16-PlantAdditions'!$E$103</f>
        <v>0</v>
      </c>
      <c r="F192" s="64">
        <f t="shared" si="33"/>
        <v>0</v>
      </c>
      <c r="G192" s="114">
        <v>0</v>
      </c>
      <c r="H192" s="114">
        <v>0</v>
      </c>
      <c r="I192" s="64">
        <f>(G192-H192)*'16-PlantAdditions'!$E$103</f>
        <v>0</v>
      </c>
      <c r="J192" s="64">
        <f t="shared" si="34"/>
        <v>-69617.340000000084</v>
      </c>
      <c r="K192" s="64">
        <f t="shared" si="35"/>
        <v>0</v>
      </c>
    </row>
    <row r="193" spans="1:11" s="796" customFormat="1" x14ac:dyDescent="0.2">
      <c r="A193" s="117">
        <f t="shared" si="32"/>
        <v>141</v>
      </c>
      <c r="B193" s="759" t="s">
        <v>208</v>
      </c>
      <c r="C193" s="757">
        <v>2013</v>
      </c>
      <c r="D193" s="114">
        <v>0</v>
      </c>
      <c r="E193" s="64">
        <f>D193*'16-PlantAdditions'!$E$103</f>
        <v>0</v>
      </c>
      <c r="F193" s="64">
        <f t="shared" si="33"/>
        <v>0</v>
      </c>
      <c r="G193" s="114">
        <v>0</v>
      </c>
      <c r="H193" s="114">
        <v>0</v>
      </c>
      <c r="I193" s="64">
        <f>(G193-H193)*'16-PlantAdditions'!$E$103</f>
        <v>0</v>
      </c>
      <c r="J193" s="64">
        <f t="shared" si="34"/>
        <v>-69617.340000000084</v>
      </c>
      <c r="K193" s="64">
        <f t="shared" si="35"/>
        <v>0</v>
      </c>
    </row>
    <row r="194" spans="1:11" s="796" customFormat="1" x14ac:dyDescent="0.2">
      <c r="A194" s="117">
        <f t="shared" si="32"/>
        <v>142</v>
      </c>
      <c r="B194" s="759" t="s">
        <v>209</v>
      </c>
      <c r="C194" s="757">
        <v>2013</v>
      </c>
      <c r="D194" s="114">
        <v>0</v>
      </c>
      <c r="E194" s="64">
        <f>D194*'16-PlantAdditions'!$E$103</f>
        <v>0</v>
      </c>
      <c r="F194" s="64">
        <f t="shared" si="33"/>
        <v>0</v>
      </c>
      <c r="G194" s="114">
        <v>0</v>
      </c>
      <c r="H194" s="114">
        <v>0</v>
      </c>
      <c r="I194" s="64">
        <f>(G194-H194)*'16-PlantAdditions'!$E$103</f>
        <v>0</v>
      </c>
      <c r="J194" s="64">
        <f t="shared" si="34"/>
        <v>-69617.340000000084</v>
      </c>
      <c r="K194" s="64">
        <f t="shared" si="35"/>
        <v>0</v>
      </c>
    </row>
    <row r="195" spans="1:11" s="796" customFormat="1" x14ac:dyDescent="0.2">
      <c r="A195" s="117">
        <f t="shared" si="32"/>
        <v>143</v>
      </c>
      <c r="B195" s="756" t="s">
        <v>212</v>
      </c>
      <c r="C195" s="757">
        <v>2013</v>
      </c>
      <c r="D195" s="114">
        <v>0</v>
      </c>
      <c r="E195" s="64">
        <f>D195*'16-PlantAdditions'!$E$103</f>
        <v>0</v>
      </c>
      <c r="F195" s="64">
        <f t="shared" si="33"/>
        <v>0</v>
      </c>
      <c r="G195" s="114">
        <v>0</v>
      </c>
      <c r="H195" s="114">
        <v>0</v>
      </c>
      <c r="I195" s="64">
        <f>(G195-H195)*'16-PlantAdditions'!$E$103</f>
        <v>0</v>
      </c>
      <c r="J195" s="64">
        <f t="shared" si="34"/>
        <v>-69617.340000000084</v>
      </c>
      <c r="K195" s="64">
        <f t="shared" si="35"/>
        <v>0</v>
      </c>
    </row>
    <row r="196" spans="1:11" s="796" customFormat="1" x14ac:dyDescent="0.2">
      <c r="A196" s="117">
        <f t="shared" si="32"/>
        <v>144</v>
      </c>
      <c r="B196" s="756" t="s">
        <v>211</v>
      </c>
      <c r="C196" s="757">
        <v>2013</v>
      </c>
      <c r="D196" s="114">
        <v>0</v>
      </c>
      <c r="E196" s="64">
        <f>D196*'16-PlantAdditions'!$E$103</f>
        <v>0</v>
      </c>
      <c r="F196" s="64">
        <f t="shared" si="33"/>
        <v>0</v>
      </c>
      <c r="G196" s="114">
        <v>0</v>
      </c>
      <c r="H196" s="114">
        <v>0</v>
      </c>
      <c r="I196" s="64">
        <f>(G196-H196)*'16-PlantAdditions'!$E$103</f>
        <v>0</v>
      </c>
      <c r="J196" s="64">
        <f t="shared" si="34"/>
        <v>-69617.340000000084</v>
      </c>
      <c r="K196" s="64">
        <f t="shared" si="35"/>
        <v>0</v>
      </c>
    </row>
    <row r="197" spans="1:11" s="796" customFormat="1" x14ac:dyDescent="0.2">
      <c r="A197" s="117">
        <f t="shared" si="32"/>
        <v>145</v>
      </c>
      <c r="B197" s="756" t="s">
        <v>201</v>
      </c>
      <c r="C197" s="757">
        <v>2013</v>
      </c>
      <c r="D197" s="114">
        <v>0</v>
      </c>
      <c r="E197" s="64">
        <f>D197*'16-PlantAdditions'!$E$103</f>
        <v>0</v>
      </c>
      <c r="F197" s="64">
        <f t="shared" si="33"/>
        <v>0</v>
      </c>
      <c r="G197" s="114">
        <v>0</v>
      </c>
      <c r="H197" s="114">
        <v>0</v>
      </c>
      <c r="I197" s="64">
        <f>(G197-H197)*'16-PlantAdditions'!$E$103</f>
        <v>0</v>
      </c>
      <c r="J197" s="64">
        <f t="shared" si="34"/>
        <v>-69617.340000000084</v>
      </c>
      <c r="K197" s="64">
        <f t="shared" si="35"/>
        <v>0</v>
      </c>
    </row>
    <row r="198" spans="1:11" s="796" customFormat="1" x14ac:dyDescent="0.2">
      <c r="A198" s="117">
        <f t="shared" si="32"/>
        <v>146</v>
      </c>
      <c r="B198" s="756" t="s">
        <v>202</v>
      </c>
      <c r="C198" s="757">
        <v>2014</v>
      </c>
      <c r="D198" s="114">
        <v>0</v>
      </c>
      <c r="E198" s="64">
        <f>D198*'16-PlantAdditions'!$E$103</f>
        <v>0</v>
      </c>
      <c r="F198" s="64">
        <f t="shared" si="33"/>
        <v>0</v>
      </c>
      <c r="G198" s="114">
        <v>0</v>
      </c>
      <c r="H198" s="114">
        <v>0</v>
      </c>
      <c r="I198" s="64">
        <f>(G198-H198)*'16-PlantAdditions'!$E$103</f>
        <v>0</v>
      </c>
      <c r="J198" s="64">
        <f t="shared" si="34"/>
        <v>-69617.340000000084</v>
      </c>
      <c r="K198" s="64">
        <f t="shared" si="35"/>
        <v>0</v>
      </c>
    </row>
    <row r="199" spans="1:11" s="796" customFormat="1" x14ac:dyDescent="0.2">
      <c r="A199" s="117">
        <f t="shared" si="32"/>
        <v>147</v>
      </c>
      <c r="B199" s="759" t="s">
        <v>203</v>
      </c>
      <c r="C199" s="757">
        <v>2014</v>
      </c>
      <c r="D199" s="114">
        <v>0</v>
      </c>
      <c r="E199" s="64">
        <f>D199*'16-PlantAdditions'!$E$103</f>
        <v>0</v>
      </c>
      <c r="F199" s="64">
        <f t="shared" si="33"/>
        <v>0</v>
      </c>
      <c r="G199" s="114">
        <v>0</v>
      </c>
      <c r="H199" s="114">
        <v>0</v>
      </c>
      <c r="I199" s="64">
        <f>(G199-H199)*'16-PlantAdditions'!$E$103</f>
        <v>0</v>
      </c>
      <c r="J199" s="64">
        <f t="shared" si="34"/>
        <v>-69617.340000000084</v>
      </c>
      <c r="K199" s="64">
        <f t="shared" si="35"/>
        <v>0</v>
      </c>
    </row>
    <row r="200" spans="1:11" s="796" customFormat="1" x14ac:dyDescent="0.2">
      <c r="A200" s="117">
        <f t="shared" si="32"/>
        <v>148</v>
      </c>
      <c r="B200" s="759" t="s">
        <v>216</v>
      </c>
      <c r="C200" s="757">
        <v>2014</v>
      </c>
      <c r="D200" s="114">
        <v>0</v>
      </c>
      <c r="E200" s="64">
        <f>D200*'16-PlantAdditions'!$E$103</f>
        <v>0</v>
      </c>
      <c r="F200" s="64">
        <f t="shared" si="33"/>
        <v>0</v>
      </c>
      <c r="G200" s="114">
        <v>0</v>
      </c>
      <c r="H200" s="114">
        <v>0</v>
      </c>
      <c r="I200" s="64">
        <f>(G200-H200)*'16-PlantAdditions'!$E$103</f>
        <v>0</v>
      </c>
      <c r="J200" s="64">
        <f t="shared" si="34"/>
        <v>-69617.340000000084</v>
      </c>
      <c r="K200" s="64">
        <f t="shared" si="35"/>
        <v>0</v>
      </c>
    </row>
    <row r="201" spans="1:11" s="796" customFormat="1" x14ac:dyDescent="0.2">
      <c r="A201" s="117">
        <f t="shared" si="32"/>
        <v>149</v>
      </c>
      <c r="B201" s="756" t="s">
        <v>204</v>
      </c>
      <c r="C201" s="757">
        <v>2014</v>
      </c>
      <c r="D201" s="114">
        <v>0</v>
      </c>
      <c r="E201" s="64">
        <f>D201*'16-PlantAdditions'!$E$103</f>
        <v>0</v>
      </c>
      <c r="F201" s="64">
        <f t="shared" si="33"/>
        <v>0</v>
      </c>
      <c r="G201" s="114">
        <v>0</v>
      </c>
      <c r="H201" s="114">
        <v>0</v>
      </c>
      <c r="I201" s="64">
        <f>(G201-H201)*'16-PlantAdditions'!$E$103</f>
        <v>0</v>
      </c>
      <c r="J201" s="64">
        <f t="shared" si="34"/>
        <v>-69617.340000000084</v>
      </c>
      <c r="K201" s="64">
        <f t="shared" si="35"/>
        <v>0</v>
      </c>
    </row>
    <row r="202" spans="1:11" s="796" customFormat="1" x14ac:dyDescent="0.2">
      <c r="A202" s="117">
        <f t="shared" si="32"/>
        <v>150</v>
      </c>
      <c r="B202" s="759" t="s">
        <v>205</v>
      </c>
      <c r="C202" s="757">
        <v>2014</v>
      </c>
      <c r="D202" s="114">
        <v>0</v>
      </c>
      <c r="E202" s="64">
        <f>D202*'16-PlantAdditions'!$E$103</f>
        <v>0</v>
      </c>
      <c r="F202" s="64">
        <f t="shared" si="33"/>
        <v>0</v>
      </c>
      <c r="G202" s="114">
        <v>0</v>
      </c>
      <c r="H202" s="114">
        <v>0</v>
      </c>
      <c r="I202" s="64">
        <f>(G202-H202)*'16-PlantAdditions'!$E$103</f>
        <v>0</v>
      </c>
      <c r="J202" s="64">
        <f t="shared" si="34"/>
        <v>-69617.340000000084</v>
      </c>
      <c r="K202" s="64">
        <f t="shared" si="35"/>
        <v>0</v>
      </c>
    </row>
    <row r="203" spans="1:11" s="796" customFormat="1" x14ac:dyDescent="0.2">
      <c r="A203" s="117">
        <f t="shared" si="32"/>
        <v>151</v>
      </c>
      <c r="B203" s="759" t="s">
        <v>1690</v>
      </c>
      <c r="C203" s="757">
        <v>2014</v>
      </c>
      <c r="D203" s="114">
        <v>0</v>
      </c>
      <c r="E203" s="64">
        <f>D203*'16-PlantAdditions'!$E$103</f>
        <v>0</v>
      </c>
      <c r="F203" s="64">
        <f t="shared" si="33"/>
        <v>0</v>
      </c>
      <c r="G203" s="114">
        <v>0</v>
      </c>
      <c r="H203" s="114">
        <v>0</v>
      </c>
      <c r="I203" s="64">
        <f>(G203-H203)*'16-PlantAdditions'!$E$103</f>
        <v>0</v>
      </c>
      <c r="J203" s="64">
        <f t="shared" si="34"/>
        <v>-69617.340000000084</v>
      </c>
      <c r="K203" s="64">
        <f t="shared" si="35"/>
        <v>0</v>
      </c>
    </row>
    <row r="204" spans="1:11" s="796" customFormat="1" x14ac:dyDescent="0.2">
      <c r="A204" s="117">
        <f t="shared" si="32"/>
        <v>152</v>
      </c>
      <c r="B204" s="756" t="s">
        <v>207</v>
      </c>
      <c r="C204" s="757">
        <v>2014</v>
      </c>
      <c r="D204" s="114">
        <v>0</v>
      </c>
      <c r="E204" s="64">
        <f>D204*'16-PlantAdditions'!$E$103</f>
        <v>0</v>
      </c>
      <c r="F204" s="64">
        <f t="shared" si="33"/>
        <v>0</v>
      </c>
      <c r="G204" s="114">
        <v>0</v>
      </c>
      <c r="H204" s="114">
        <v>0</v>
      </c>
      <c r="I204" s="64">
        <f>(G204-H204)*'16-PlantAdditions'!$E$103</f>
        <v>0</v>
      </c>
      <c r="J204" s="64">
        <f t="shared" si="34"/>
        <v>-69617.340000000084</v>
      </c>
      <c r="K204" s="64">
        <f t="shared" si="35"/>
        <v>0</v>
      </c>
    </row>
    <row r="205" spans="1:11" s="796" customFormat="1" x14ac:dyDescent="0.2">
      <c r="A205" s="117">
        <f t="shared" si="32"/>
        <v>153</v>
      </c>
      <c r="B205" s="759" t="s">
        <v>208</v>
      </c>
      <c r="C205" s="757">
        <v>2014</v>
      </c>
      <c r="D205" s="114">
        <v>0</v>
      </c>
      <c r="E205" s="64">
        <f>D205*'16-PlantAdditions'!$E$103</f>
        <v>0</v>
      </c>
      <c r="F205" s="64">
        <f t="shared" si="33"/>
        <v>0</v>
      </c>
      <c r="G205" s="114">
        <v>0</v>
      </c>
      <c r="H205" s="114">
        <v>0</v>
      </c>
      <c r="I205" s="64">
        <f>(G205-H205)*'16-PlantAdditions'!$E$103</f>
        <v>0</v>
      </c>
      <c r="J205" s="64">
        <f t="shared" si="34"/>
        <v>-69617.340000000084</v>
      </c>
      <c r="K205" s="64">
        <f t="shared" si="35"/>
        <v>0</v>
      </c>
    </row>
    <row r="206" spans="1:11" s="796" customFormat="1" x14ac:dyDescent="0.2">
      <c r="A206" s="117">
        <f t="shared" si="32"/>
        <v>154</v>
      </c>
      <c r="B206" s="759" t="s">
        <v>209</v>
      </c>
      <c r="C206" s="757">
        <v>2014</v>
      </c>
      <c r="D206" s="114">
        <v>0</v>
      </c>
      <c r="E206" s="64">
        <f>D206*'16-PlantAdditions'!$E$103</f>
        <v>0</v>
      </c>
      <c r="F206" s="64">
        <f t="shared" si="33"/>
        <v>0</v>
      </c>
      <c r="G206" s="114">
        <v>0</v>
      </c>
      <c r="H206" s="114">
        <v>0</v>
      </c>
      <c r="I206" s="64">
        <f>(G206-H206)*'16-PlantAdditions'!$E$103</f>
        <v>0</v>
      </c>
      <c r="J206" s="64">
        <f t="shared" si="34"/>
        <v>-69617.340000000084</v>
      </c>
      <c r="K206" s="64">
        <f t="shared" si="35"/>
        <v>0</v>
      </c>
    </row>
    <row r="207" spans="1:11" s="796" customFormat="1" x14ac:dyDescent="0.2">
      <c r="A207" s="117">
        <f t="shared" si="32"/>
        <v>155</v>
      </c>
      <c r="B207" s="759" t="s">
        <v>212</v>
      </c>
      <c r="C207" s="757">
        <v>2014</v>
      </c>
      <c r="D207" s="114">
        <v>0</v>
      </c>
      <c r="E207" s="64">
        <f>D207*'16-PlantAdditions'!$E$103</f>
        <v>0</v>
      </c>
      <c r="F207" s="64">
        <f t="shared" ref="F207:F209" si="36">E207+D207</f>
        <v>0</v>
      </c>
      <c r="G207" s="114">
        <v>0</v>
      </c>
      <c r="H207" s="114">
        <v>0</v>
      </c>
      <c r="I207" s="64">
        <f>(G207-H207)*'16-PlantAdditions'!$E$103</f>
        <v>0</v>
      </c>
      <c r="J207" s="64">
        <f t="shared" ref="J207:J209" si="37">J206+F207-G207-I207</f>
        <v>-69617.340000000084</v>
      </c>
      <c r="K207" s="64">
        <f t="shared" si="35"/>
        <v>0</v>
      </c>
    </row>
    <row r="208" spans="1:11" s="796" customFormat="1" x14ac:dyDescent="0.2">
      <c r="A208" s="117">
        <f t="shared" si="32"/>
        <v>156</v>
      </c>
      <c r="B208" s="759" t="s">
        <v>211</v>
      </c>
      <c r="C208" s="757">
        <v>2014</v>
      </c>
      <c r="D208" s="114">
        <v>0</v>
      </c>
      <c r="E208" s="64">
        <f>D208*'16-PlantAdditions'!$E$103</f>
        <v>0</v>
      </c>
      <c r="F208" s="64">
        <f t="shared" si="36"/>
        <v>0</v>
      </c>
      <c r="G208" s="114">
        <v>0</v>
      </c>
      <c r="H208" s="114">
        <v>0</v>
      </c>
      <c r="I208" s="64">
        <f>(G208-H208)*'16-PlantAdditions'!$E$103</f>
        <v>0</v>
      </c>
      <c r="J208" s="64">
        <f t="shared" si="37"/>
        <v>-69617.340000000084</v>
      </c>
      <c r="K208" s="64">
        <f t="shared" si="35"/>
        <v>0</v>
      </c>
    </row>
    <row r="209" spans="1:11" s="796" customFormat="1" x14ac:dyDescent="0.2">
      <c r="A209" s="117">
        <f t="shared" si="32"/>
        <v>157</v>
      </c>
      <c r="B209" s="759" t="s">
        <v>201</v>
      </c>
      <c r="C209" s="757">
        <v>2014</v>
      </c>
      <c r="D209" s="114">
        <v>0</v>
      </c>
      <c r="E209" s="64">
        <f>D209*'16-PlantAdditions'!$E$103</f>
        <v>0</v>
      </c>
      <c r="F209" s="64">
        <f t="shared" si="36"/>
        <v>0</v>
      </c>
      <c r="G209" s="114">
        <v>0</v>
      </c>
      <c r="H209" s="114">
        <v>0</v>
      </c>
      <c r="I209" s="64">
        <f>(G209-H209)*'16-PlantAdditions'!$E$103</f>
        <v>0</v>
      </c>
      <c r="J209" s="64">
        <f t="shared" si="37"/>
        <v>-69617.340000000084</v>
      </c>
      <c r="K209" s="118">
        <f t="shared" si="35"/>
        <v>0</v>
      </c>
    </row>
    <row r="210" spans="1:11" s="796" customFormat="1" x14ac:dyDescent="0.2">
      <c r="A210" s="117">
        <f t="shared" si="32"/>
        <v>158</v>
      </c>
      <c r="B210"/>
      <c r="C210" s="795" t="s">
        <v>1867</v>
      </c>
      <c r="D210"/>
      <c r="E210"/>
      <c r="F210"/>
      <c r="G210"/>
      <c r="H210"/>
      <c r="I210"/>
      <c r="J210"/>
      <c r="K210" s="78">
        <f>AVERAGE(K197:K209)</f>
        <v>0</v>
      </c>
    </row>
    <row r="211" spans="1:11" s="796" customFormat="1" x14ac:dyDescent="0.2">
      <c r="A211" s="117"/>
      <c r="B211"/>
      <c r="C211" s="795"/>
      <c r="D211"/>
      <c r="E211"/>
      <c r="F211"/>
      <c r="G211"/>
      <c r="H211"/>
      <c r="I211"/>
      <c r="J211"/>
      <c r="K211" s="78"/>
    </row>
    <row r="212" spans="1:11" s="796" customFormat="1" x14ac:dyDescent="0.2">
      <c r="B212" s="797" t="s">
        <v>2408</v>
      </c>
      <c r="D212" s="1412" t="s">
        <v>604</v>
      </c>
      <c r="E212" s="1412"/>
    </row>
    <row r="213" spans="1:11" s="796" customFormat="1" x14ac:dyDescent="0.2">
      <c r="D213" s="798"/>
      <c r="E213" s="798"/>
      <c r="F213" s="798"/>
      <c r="G213" s="679" t="str">
        <f>G51</f>
        <v>Unloaded</v>
      </c>
      <c r="H213" s="798"/>
      <c r="I213" s="798"/>
    </row>
    <row r="214" spans="1:11" s="796" customFormat="1" x14ac:dyDescent="0.2">
      <c r="A214" s="793"/>
      <c r="B214" s="793"/>
      <c r="C214" s="793"/>
      <c r="D214" s="793" t="str">
        <f>D$52</f>
        <v>Forecast</v>
      </c>
      <c r="E214" s="793" t="str">
        <f t="shared" ref="E214:J214" si="38">E$52</f>
        <v>Corporate</v>
      </c>
      <c r="F214" s="793" t="str">
        <f t="shared" si="38"/>
        <v xml:space="preserve">Total </v>
      </c>
      <c r="G214" s="679" t="str">
        <f>G52</f>
        <v>Total</v>
      </c>
      <c r="H214" s="793" t="str">
        <f t="shared" si="38"/>
        <v>Prior Period</v>
      </c>
      <c r="I214" s="793" t="str">
        <f t="shared" si="38"/>
        <v>Over Heads</v>
      </c>
      <c r="J214" s="793" t="str">
        <f t="shared" si="38"/>
        <v>Forecast</v>
      </c>
      <c r="K214" s="679" t="str">
        <f>K$52</f>
        <v>Forecast Period</v>
      </c>
    </row>
    <row r="215" spans="1:11" s="796" customFormat="1" x14ac:dyDescent="0.2">
      <c r="A215" s="1114" t="s">
        <v>362</v>
      </c>
      <c r="B215" s="755" t="s">
        <v>213</v>
      </c>
      <c r="C215" s="755" t="s">
        <v>214</v>
      </c>
      <c r="D215" s="791" t="str">
        <f>D$53</f>
        <v>Expenditures</v>
      </c>
      <c r="E215" s="791" t="str">
        <f t="shared" ref="E215:J215" si="39">E$53</f>
        <v>Overheads</v>
      </c>
      <c r="F215" s="791" t="str">
        <f t="shared" si="39"/>
        <v>CWIP Exp</v>
      </c>
      <c r="G215" s="3" t="str">
        <f>G53</f>
        <v>Plant Adds</v>
      </c>
      <c r="H215" s="791" t="str">
        <f t="shared" si="39"/>
        <v>CWIP Closed</v>
      </c>
      <c r="I215" s="791" t="str">
        <f t="shared" si="39"/>
        <v>Closed to PIS</v>
      </c>
      <c r="J215" s="791" t="str">
        <f t="shared" si="39"/>
        <v>Period CWIP</v>
      </c>
      <c r="K215" s="791" t="str">
        <f>K$53</f>
        <v>Incremental CWIP</v>
      </c>
    </row>
    <row r="216" spans="1:11" s="796" customFormat="1" x14ac:dyDescent="0.2">
      <c r="A216" s="117">
        <f>A210+1</f>
        <v>159</v>
      </c>
      <c r="B216" s="756" t="s">
        <v>201</v>
      </c>
      <c r="C216" s="757">
        <v>2012</v>
      </c>
      <c r="D216" s="800" t="s">
        <v>88</v>
      </c>
      <c r="E216" s="800" t="s">
        <v>88</v>
      </c>
      <c r="F216" s="800" t="s">
        <v>88</v>
      </c>
      <c r="G216" s="800" t="s">
        <v>88</v>
      </c>
      <c r="H216" s="800" t="s">
        <v>88</v>
      </c>
      <c r="I216" s="800" t="s">
        <v>88</v>
      </c>
      <c r="J216" s="64">
        <f>I25</f>
        <v>150902784.00999999</v>
      </c>
      <c r="K216" s="800" t="s">
        <v>88</v>
      </c>
    </row>
    <row r="217" spans="1:11" s="796" customFormat="1" x14ac:dyDescent="0.2">
      <c r="A217" s="117">
        <f>A216+1</f>
        <v>160</v>
      </c>
      <c r="B217" s="756" t="s">
        <v>202</v>
      </c>
      <c r="C217" s="757">
        <v>2013</v>
      </c>
      <c r="D217" s="114">
        <v>5040893</v>
      </c>
      <c r="E217" s="64">
        <f>D217*'16-PlantAdditions'!$E$103</f>
        <v>378066.97499999998</v>
      </c>
      <c r="F217" s="64">
        <f>E217+D217</f>
        <v>5418959.9749999996</v>
      </c>
      <c r="G217" s="114">
        <v>0</v>
      </c>
      <c r="H217" s="114">
        <v>0</v>
      </c>
      <c r="I217" s="64">
        <f>(G217-H217)*'16-PlantAdditions'!$E$103</f>
        <v>0</v>
      </c>
      <c r="J217" s="64">
        <f>J216+F217-G217-I217</f>
        <v>156321743.98499998</v>
      </c>
      <c r="K217" s="64">
        <f>J217-$J$216</f>
        <v>5418959.974999994</v>
      </c>
    </row>
    <row r="218" spans="1:11" s="796" customFormat="1" x14ac:dyDescent="0.2">
      <c r="A218" s="117">
        <f t="shared" ref="A218:A241" si="40">A217+1</f>
        <v>161</v>
      </c>
      <c r="B218" s="759" t="s">
        <v>203</v>
      </c>
      <c r="C218" s="757">
        <v>2013</v>
      </c>
      <c r="D218" s="114">
        <v>14276571</v>
      </c>
      <c r="E218" s="64">
        <f>D218*'16-PlantAdditions'!$E$103</f>
        <v>1070742.825</v>
      </c>
      <c r="F218" s="64">
        <f t="shared" ref="F218:F237" si="41">E218+D218</f>
        <v>15347313.824999999</v>
      </c>
      <c r="G218" s="114">
        <v>0</v>
      </c>
      <c r="H218" s="114">
        <v>0</v>
      </c>
      <c r="I218" s="64">
        <f>(G218-H218)*'16-PlantAdditions'!$E$103</f>
        <v>0</v>
      </c>
      <c r="J218" s="64">
        <f t="shared" ref="J218:J237" si="42">J217+F218-G218-I218</f>
        <v>171669057.80999997</v>
      </c>
      <c r="K218" s="64">
        <f t="shared" ref="K218:K240" si="43">J218-$J$216</f>
        <v>20766273.799999982</v>
      </c>
    </row>
    <row r="219" spans="1:11" s="796" customFormat="1" x14ac:dyDescent="0.2">
      <c r="A219" s="117">
        <f t="shared" si="40"/>
        <v>162</v>
      </c>
      <c r="B219" s="759" t="s">
        <v>216</v>
      </c>
      <c r="C219" s="757">
        <v>2013</v>
      </c>
      <c r="D219" s="114">
        <v>15192399.000000002</v>
      </c>
      <c r="E219" s="64">
        <f>D219*'16-PlantAdditions'!$E$103</f>
        <v>1139429.925</v>
      </c>
      <c r="F219" s="64">
        <f t="shared" si="41"/>
        <v>16331828.925000003</v>
      </c>
      <c r="G219" s="114">
        <v>0</v>
      </c>
      <c r="H219" s="114">
        <v>0</v>
      </c>
      <c r="I219" s="64">
        <f>(G219-H219)*'16-PlantAdditions'!$E$103</f>
        <v>0</v>
      </c>
      <c r="J219" s="64">
        <f t="shared" si="42"/>
        <v>188000886.73499998</v>
      </c>
      <c r="K219" s="64">
        <f t="shared" si="43"/>
        <v>37098102.724999994</v>
      </c>
    </row>
    <row r="220" spans="1:11" s="796" customFormat="1" x14ac:dyDescent="0.2">
      <c r="A220" s="117">
        <f t="shared" si="40"/>
        <v>163</v>
      </c>
      <c r="B220" s="756" t="s">
        <v>204</v>
      </c>
      <c r="C220" s="757">
        <v>2013</v>
      </c>
      <c r="D220" s="114">
        <v>9570445.0000000019</v>
      </c>
      <c r="E220" s="64">
        <f>D220*'16-PlantAdditions'!$E$103</f>
        <v>717783.37500000012</v>
      </c>
      <c r="F220" s="64">
        <f t="shared" si="41"/>
        <v>10288228.375000002</v>
      </c>
      <c r="G220" s="114">
        <v>0</v>
      </c>
      <c r="H220" s="114">
        <v>0</v>
      </c>
      <c r="I220" s="64">
        <f>(G220-H220)*'16-PlantAdditions'!$E$103</f>
        <v>0</v>
      </c>
      <c r="J220" s="64">
        <f t="shared" si="42"/>
        <v>198289115.10999998</v>
      </c>
      <c r="K220" s="64">
        <f t="shared" si="43"/>
        <v>47386331.099999994</v>
      </c>
    </row>
    <row r="221" spans="1:11" s="796" customFormat="1" x14ac:dyDescent="0.2">
      <c r="A221" s="117">
        <f t="shared" si="40"/>
        <v>164</v>
      </c>
      <c r="B221" s="759" t="s">
        <v>205</v>
      </c>
      <c r="C221" s="757">
        <v>2013</v>
      </c>
      <c r="D221" s="114">
        <v>9570446.0000000019</v>
      </c>
      <c r="E221" s="64">
        <f>D221*'16-PlantAdditions'!$E$103</f>
        <v>717783.45000000007</v>
      </c>
      <c r="F221" s="64">
        <f t="shared" si="41"/>
        <v>10288229.450000001</v>
      </c>
      <c r="G221" s="114">
        <v>0</v>
      </c>
      <c r="H221" s="114">
        <v>0</v>
      </c>
      <c r="I221" s="64">
        <f>(G221-H221)*'16-PlantAdditions'!$E$103</f>
        <v>0</v>
      </c>
      <c r="J221" s="64">
        <f t="shared" si="42"/>
        <v>208577344.55999997</v>
      </c>
      <c r="K221" s="64">
        <f t="shared" si="43"/>
        <v>57674560.549999982</v>
      </c>
    </row>
    <row r="222" spans="1:11" s="796" customFormat="1" x14ac:dyDescent="0.2">
      <c r="A222" s="117">
        <f t="shared" si="40"/>
        <v>165</v>
      </c>
      <c r="B222" s="759" t="s">
        <v>1690</v>
      </c>
      <c r="C222" s="757">
        <v>2013</v>
      </c>
      <c r="D222" s="114">
        <v>2953126</v>
      </c>
      <c r="E222" s="64">
        <f>D222*'16-PlantAdditions'!$E$103</f>
        <v>221484.44999999998</v>
      </c>
      <c r="F222" s="64">
        <f t="shared" si="41"/>
        <v>3174610.45</v>
      </c>
      <c r="G222" s="114">
        <v>203054615.08000001</v>
      </c>
      <c r="H222" s="114">
        <v>150642661.07999998</v>
      </c>
      <c r="I222" s="64">
        <f>(G222-H222)*'16-PlantAdditions'!$E$103</f>
        <v>3930896.5500000021</v>
      </c>
      <c r="J222" s="64">
        <f t="shared" si="42"/>
        <v>4766443.3799999449</v>
      </c>
      <c r="K222" s="64">
        <f t="shared" si="43"/>
        <v>-146136340.63000005</v>
      </c>
    </row>
    <row r="223" spans="1:11" s="796" customFormat="1" x14ac:dyDescent="0.2">
      <c r="A223" s="117">
        <f t="shared" si="40"/>
        <v>166</v>
      </c>
      <c r="B223" s="756" t="s">
        <v>207</v>
      </c>
      <c r="C223" s="757">
        <v>2013</v>
      </c>
      <c r="D223" s="114">
        <v>8144536</v>
      </c>
      <c r="E223" s="64">
        <f>D223*'16-PlantAdditions'!$E$103</f>
        <v>610840.19999999995</v>
      </c>
      <c r="F223" s="64">
        <f t="shared" si="41"/>
        <v>8755376.1999999993</v>
      </c>
      <c r="G223" s="114">
        <v>7163127</v>
      </c>
      <c r="H223" s="114">
        <v>0</v>
      </c>
      <c r="I223" s="64">
        <f>(G223-H223)*'16-PlantAdditions'!$E$103</f>
        <v>537234.52500000002</v>
      </c>
      <c r="J223" s="64">
        <f t="shared" si="42"/>
        <v>5821458.0549999438</v>
      </c>
      <c r="K223" s="64">
        <f t="shared" si="43"/>
        <v>-145081325.95500004</v>
      </c>
    </row>
    <row r="224" spans="1:11" s="796" customFormat="1" x14ac:dyDescent="0.2">
      <c r="A224" s="117">
        <f t="shared" si="40"/>
        <v>167</v>
      </c>
      <c r="B224" s="759" t="s">
        <v>208</v>
      </c>
      <c r="C224" s="757">
        <v>2013</v>
      </c>
      <c r="D224" s="114">
        <v>2554964</v>
      </c>
      <c r="E224" s="64">
        <f>D224*'16-PlantAdditions'!$E$103</f>
        <v>191622.3</v>
      </c>
      <c r="F224" s="64">
        <f t="shared" si="41"/>
        <v>2746586.3</v>
      </c>
      <c r="G224" s="114">
        <v>1573555</v>
      </c>
      <c r="H224" s="114">
        <v>0</v>
      </c>
      <c r="I224" s="64">
        <f>(G224-H224)*'16-PlantAdditions'!$E$103</f>
        <v>118016.625</v>
      </c>
      <c r="J224" s="64">
        <f t="shared" si="42"/>
        <v>6876472.7299999446</v>
      </c>
      <c r="K224" s="64">
        <f t="shared" si="43"/>
        <v>-144026311.28000003</v>
      </c>
    </row>
    <row r="225" spans="1:11" s="796" customFormat="1" x14ac:dyDescent="0.2">
      <c r="A225" s="117">
        <f t="shared" si="40"/>
        <v>168</v>
      </c>
      <c r="B225" s="759" t="s">
        <v>209</v>
      </c>
      <c r="C225" s="757">
        <v>2013</v>
      </c>
      <c r="D225" s="114">
        <v>3231786</v>
      </c>
      <c r="E225" s="64">
        <f>D225*'16-PlantAdditions'!$E$103</f>
        <v>242383.94999999998</v>
      </c>
      <c r="F225" s="64">
        <f t="shared" si="41"/>
        <v>3474169.95</v>
      </c>
      <c r="G225" s="114">
        <v>2339596</v>
      </c>
      <c r="H225" s="114">
        <v>0</v>
      </c>
      <c r="I225" s="64">
        <f>(G225-H225)*'16-PlantAdditions'!$E$103</f>
        <v>175469.69999999998</v>
      </c>
      <c r="J225" s="64">
        <f t="shared" si="42"/>
        <v>7835576.9799999436</v>
      </c>
      <c r="K225" s="64">
        <f t="shared" si="43"/>
        <v>-143067207.03000006</v>
      </c>
    </row>
    <row r="226" spans="1:11" s="796" customFormat="1" x14ac:dyDescent="0.2">
      <c r="A226" s="117">
        <f t="shared" si="40"/>
        <v>169</v>
      </c>
      <c r="B226" s="756" t="s">
        <v>212</v>
      </c>
      <c r="C226" s="757">
        <v>2013</v>
      </c>
      <c r="D226" s="114">
        <v>4107260</v>
      </c>
      <c r="E226" s="64">
        <f>D226*'16-PlantAdditions'!$E$103</f>
        <v>308044.5</v>
      </c>
      <c r="F226" s="64">
        <f t="shared" si="41"/>
        <v>4415304.5</v>
      </c>
      <c r="G226" s="114">
        <v>2573555</v>
      </c>
      <c r="H226" s="114">
        <v>0</v>
      </c>
      <c r="I226" s="64">
        <f>(G226-H226)*'16-PlantAdditions'!$E$103</f>
        <v>193016.625</v>
      </c>
      <c r="J226" s="64">
        <f t="shared" si="42"/>
        <v>9484309.8549999446</v>
      </c>
      <c r="K226" s="64">
        <f t="shared" si="43"/>
        <v>-141418474.15500003</v>
      </c>
    </row>
    <row r="227" spans="1:11" s="796" customFormat="1" x14ac:dyDescent="0.2">
      <c r="A227" s="117">
        <f t="shared" si="40"/>
        <v>170</v>
      </c>
      <c r="B227" s="756" t="s">
        <v>211</v>
      </c>
      <c r="C227" s="757">
        <v>2013</v>
      </c>
      <c r="D227" s="114">
        <v>4043500</v>
      </c>
      <c r="E227" s="64">
        <f>D227*'16-PlantAdditions'!$E$103</f>
        <v>303262.5</v>
      </c>
      <c r="F227" s="64">
        <f t="shared" si="41"/>
        <v>4346762.5</v>
      </c>
      <c r="G227" s="114">
        <v>2688233</v>
      </c>
      <c r="H227" s="114">
        <v>0</v>
      </c>
      <c r="I227" s="64">
        <f>(G227-H227)*'16-PlantAdditions'!$E$103</f>
        <v>201617.47500000001</v>
      </c>
      <c r="J227" s="64">
        <f t="shared" si="42"/>
        <v>10941221.879999945</v>
      </c>
      <c r="K227" s="64">
        <f t="shared" si="43"/>
        <v>-139961562.13000005</v>
      </c>
    </row>
    <row r="228" spans="1:11" s="796" customFormat="1" x14ac:dyDescent="0.2">
      <c r="A228" s="117">
        <f t="shared" si="40"/>
        <v>171</v>
      </c>
      <c r="B228" s="756" t="s">
        <v>201</v>
      </c>
      <c r="C228" s="757">
        <v>2013</v>
      </c>
      <c r="D228" s="114">
        <v>2945671.0000000005</v>
      </c>
      <c r="E228" s="64">
        <f>D228*'16-PlantAdditions'!$E$103</f>
        <v>220925.32500000004</v>
      </c>
      <c r="F228" s="64">
        <f t="shared" si="41"/>
        <v>3166596.3250000007</v>
      </c>
      <c r="G228" s="114">
        <v>13633297.469999997</v>
      </c>
      <c r="H228" s="114">
        <v>751720.47</v>
      </c>
      <c r="I228" s="64">
        <f>(G228-H228)*'16-PlantAdditions'!$E$103</f>
        <v>966118.27499999967</v>
      </c>
      <c r="J228" s="64">
        <f t="shared" si="42"/>
        <v>-491597.54000005056</v>
      </c>
      <c r="K228" s="64">
        <f t="shared" si="43"/>
        <v>-151394381.55000004</v>
      </c>
    </row>
    <row r="229" spans="1:11" s="796" customFormat="1" x14ac:dyDescent="0.2">
      <c r="A229" s="117">
        <f t="shared" si="40"/>
        <v>172</v>
      </c>
      <c r="B229" s="756" t="s">
        <v>202</v>
      </c>
      <c r="C229" s="757">
        <v>2014</v>
      </c>
      <c r="D229" s="114">
        <v>511659.66666666669</v>
      </c>
      <c r="E229" s="64">
        <f>D229*'16-PlantAdditions'!$E$103</f>
        <v>38374.474999999999</v>
      </c>
      <c r="F229" s="64">
        <f t="shared" si="41"/>
        <v>550034.14166666672</v>
      </c>
      <c r="G229" s="114">
        <v>511659.66666666669</v>
      </c>
      <c r="H229" s="114">
        <v>0</v>
      </c>
      <c r="I229" s="64">
        <f>(G229-H229)*'16-PlantAdditions'!$E$103</f>
        <v>38374.474999999999</v>
      </c>
      <c r="J229" s="64">
        <f t="shared" si="42"/>
        <v>-491597.5400000505</v>
      </c>
      <c r="K229" s="64">
        <f t="shared" si="43"/>
        <v>-151394381.55000004</v>
      </c>
    </row>
    <row r="230" spans="1:11" s="796" customFormat="1" x14ac:dyDescent="0.2">
      <c r="A230" s="117">
        <f t="shared" si="40"/>
        <v>173</v>
      </c>
      <c r="B230" s="759" t="s">
        <v>203</v>
      </c>
      <c r="C230" s="757">
        <v>2014</v>
      </c>
      <c r="D230" s="114">
        <v>510349.66666666663</v>
      </c>
      <c r="E230" s="64">
        <f>D230*'16-PlantAdditions'!$E$103</f>
        <v>38276.224999999999</v>
      </c>
      <c r="F230" s="64">
        <f t="shared" si="41"/>
        <v>548625.8916666666</v>
      </c>
      <c r="G230" s="114">
        <v>510349.66666666663</v>
      </c>
      <c r="H230" s="114">
        <v>0</v>
      </c>
      <c r="I230" s="64">
        <f>(G230-H230)*'16-PlantAdditions'!$E$103</f>
        <v>38276.224999999999</v>
      </c>
      <c r="J230" s="64">
        <f t="shared" si="42"/>
        <v>-491597.5400000505</v>
      </c>
      <c r="K230" s="64">
        <f t="shared" si="43"/>
        <v>-151394381.55000004</v>
      </c>
    </row>
    <row r="231" spans="1:11" s="796" customFormat="1" x14ac:dyDescent="0.2">
      <c r="A231" s="117">
        <f t="shared" si="40"/>
        <v>174</v>
      </c>
      <c r="B231" s="759" t="s">
        <v>216</v>
      </c>
      <c r="C231" s="757">
        <v>2014</v>
      </c>
      <c r="D231" s="114">
        <v>161659.66666666666</v>
      </c>
      <c r="E231" s="64">
        <f>D231*'16-PlantAdditions'!$E$103</f>
        <v>12124.474999999999</v>
      </c>
      <c r="F231" s="64">
        <f t="shared" si="41"/>
        <v>173784.14166666666</v>
      </c>
      <c r="G231" s="114">
        <v>161659.66666666666</v>
      </c>
      <c r="H231" s="114">
        <v>0</v>
      </c>
      <c r="I231" s="64">
        <f>(G231-H231)*'16-PlantAdditions'!$E$103</f>
        <v>12124.474999999999</v>
      </c>
      <c r="J231" s="64">
        <f t="shared" si="42"/>
        <v>-491597.54000005045</v>
      </c>
      <c r="K231" s="64">
        <f t="shared" si="43"/>
        <v>-151394381.55000004</v>
      </c>
    </row>
    <row r="232" spans="1:11" s="796" customFormat="1" x14ac:dyDescent="0.2">
      <c r="A232" s="117">
        <f t="shared" si="40"/>
        <v>175</v>
      </c>
      <c r="B232" s="756" t="s">
        <v>204</v>
      </c>
      <c r="C232" s="757">
        <v>2014</v>
      </c>
      <c r="D232" s="114">
        <v>161659.66666666666</v>
      </c>
      <c r="E232" s="64">
        <f>D232*'16-PlantAdditions'!$E$103</f>
        <v>12124.474999999999</v>
      </c>
      <c r="F232" s="64">
        <f t="shared" si="41"/>
        <v>173784.14166666666</v>
      </c>
      <c r="G232" s="114">
        <v>161659.66666666666</v>
      </c>
      <c r="H232" s="114">
        <v>0</v>
      </c>
      <c r="I232" s="64">
        <f>(G232-H232)*'16-PlantAdditions'!$E$103</f>
        <v>12124.474999999999</v>
      </c>
      <c r="J232" s="64">
        <f t="shared" si="42"/>
        <v>-491597.54000005045</v>
      </c>
      <c r="K232" s="64">
        <f t="shared" si="43"/>
        <v>-151394381.55000004</v>
      </c>
    </row>
    <row r="233" spans="1:11" s="796" customFormat="1" x14ac:dyDescent="0.2">
      <c r="A233" s="117">
        <f t="shared" si="40"/>
        <v>176</v>
      </c>
      <c r="B233" s="759" t="s">
        <v>205</v>
      </c>
      <c r="C233" s="757">
        <v>2014</v>
      </c>
      <c r="D233" s="114">
        <v>161659.66666666666</v>
      </c>
      <c r="E233" s="64">
        <f>D233*'16-PlantAdditions'!$E$103</f>
        <v>12124.474999999999</v>
      </c>
      <c r="F233" s="64">
        <f t="shared" si="41"/>
        <v>173784.14166666666</v>
      </c>
      <c r="G233" s="114">
        <v>161659.66666666666</v>
      </c>
      <c r="H233" s="114">
        <v>0</v>
      </c>
      <c r="I233" s="64">
        <f>(G233-H233)*'16-PlantAdditions'!$E$103</f>
        <v>12124.474999999999</v>
      </c>
      <c r="J233" s="64">
        <f t="shared" si="42"/>
        <v>-491597.54000005045</v>
      </c>
      <c r="K233" s="64">
        <f t="shared" si="43"/>
        <v>-151394381.55000004</v>
      </c>
    </row>
    <row r="234" spans="1:11" s="796" customFormat="1" x14ac:dyDescent="0.2">
      <c r="A234" s="117">
        <f t="shared" si="40"/>
        <v>177</v>
      </c>
      <c r="B234" s="759" t="s">
        <v>1690</v>
      </c>
      <c r="C234" s="757">
        <v>2014</v>
      </c>
      <c r="D234" s="114">
        <v>161659.66666666666</v>
      </c>
      <c r="E234" s="64">
        <f>D234*'16-PlantAdditions'!$E$103</f>
        <v>12124.474999999999</v>
      </c>
      <c r="F234" s="64">
        <f t="shared" si="41"/>
        <v>173784.14166666666</v>
      </c>
      <c r="G234" s="114">
        <v>161659.66666666666</v>
      </c>
      <c r="H234" s="114">
        <v>0</v>
      </c>
      <c r="I234" s="64">
        <f>(G234-H234)*'16-PlantAdditions'!$E$103</f>
        <v>12124.474999999999</v>
      </c>
      <c r="J234" s="64">
        <f t="shared" si="42"/>
        <v>-491597.54000005045</v>
      </c>
      <c r="K234" s="64">
        <f t="shared" si="43"/>
        <v>-151394381.55000004</v>
      </c>
    </row>
    <row r="235" spans="1:11" s="796" customFormat="1" x14ac:dyDescent="0.2">
      <c r="A235" s="117">
        <f t="shared" si="40"/>
        <v>178</v>
      </c>
      <c r="B235" s="756" t="s">
        <v>207</v>
      </c>
      <c r="C235" s="757">
        <v>2014</v>
      </c>
      <c r="D235" s="114">
        <v>0</v>
      </c>
      <c r="E235" s="64">
        <f>D235*'16-PlantAdditions'!$E$103</f>
        <v>0</v>
      </c>
      <c r="F235" s="64">
        <f t="shared" si="41"/>
        <v>0</v>
      </c>
      <c r="G235" s="114">
        <v>0</v>
      </c>
      <c r="H235" s="114">
        <v>0</v>
      </c>
      <c r="I235" s="64">
        <f>(G235-H235)*'16-PlantAdditions'!$E$103</f>
        <v>0</v>
      </c>
      <c r="J235" s="64">
        <f t="shared" si="42"/>
        <v>-491597.54000005045</v>
      </c>
      <c r="K235" s="64">
        <f t="shared" si="43"/>
        <v>-151394381.55000004</v>
      </c>
    </row>
    <row r="236" spans="1:11" s="796" customFormat="1" x14ac:dyDescent="0.2">
      <c r="A236" s="117">
        <f t="shared" si="40"/>
        <v>179</v>
      </c>
      <c r="B236" s="759" t="s">
        <v>208</v>
      </c>
      <c r="C236" s="757">
        <v>2014</v>
      </c>
      <c r="D236" s="114">
        <v>0</v>
      </c>
      <c r="E236" s="64">
        <f>D236*'16-PlantAdditions'!$E$103</f>
        <v>0</v>
      </c>
      <c r="F236" s="64">
        <f t="shared" si="41"/>
        <v>0</v>
      </c>
      <c r="G236" s="114">
        <v>0</v>
      </c>
      <c r="H236" s="114">
        <v>0</v>
      </c>
      <c r="I236" s="64">
        <f>(G236-H236)*'16-PlantAdditions'!$E$103</f>
        <v>0</v>
      </c>
      <c r="J236" s="64">
        <f t="shared" si="42"/>
        <v>-491597.54000005045</v>
      </c>
      <c r="K236" s="64">
        <f t="shared" si="43"/>
        <v>-151394381.55000004</v>
      </c>
    </row>
    <row r="237" spans="1:11" s="796" customFormat="1" x14ac:dyDescent="0.2">
      <c r="A237" s="117">
        <f t="shared" si="40"/>
        <v>180</v>
      </c>
      <c r="B237" s="759" t="s">
        <v>209</v>
      </c>
      <c r="C237" s="757">
        <v>2014</v>
      </c>
      <c r="D237" s="114">
        <v>0</v>
      </c>
      <c r="E237" s="64">
        <f>D237*'16-PlantAdditions'!$E$103</f>
        <v>0</v>
      </c>
      <c r="F237" s="64">
        <f t="shared" si="41"/>
        <v>0</v>
      </c>
      <c r="G237" s="114">
        <v>0</v>
      </c>
      <c r="H237" s="114">
        <v>0</v>
      </c>
      <c r="I237" s="64">
        <f>(G237-H237)*'16-PlantAdditions'!$E$103</f>
        <v>0</v>
      </c>
      <c r="J237" s="64">
        <f t="shared" si="42"/>
        <v>-491597.54000005045</v>
      </c>
      <c r="K237" s="64">
        <f t="shared" si="43"/>
        <v>-151394381.55000004</v>
      </c>
    </row>
    <row r="238" spans="1:11" s="796" customFormat="1" x14ac:dyDescent="0.2">
      <c r="A238" s="117">
        <f t="shared" si="40"/>
        <v>181</v>
      </c>
      <c r="B238" s="759" t="s">
        <v>212</v>
      </c>
      <c r="C238" s="757">
        <v>2014</v>
      </c>
      <c r="D238" s="114">
        <v>0</v>
      </c>
      <c r="E238" s="64">
        <f>D238*'16-PlantAdditions'!$E$103</f>
        <v>0</v>
      </c>
      <c r="F238" s="64">
        <f t="shared" ref="F238:F240" si="44">E238+D238</f>
        <v>0</v>
      </c>
      <c r="G238" s="114">
        <v>0</v>
      </c>
      <c r="H238" s="114">
        <v>0</v>
      </c>
      <c r="I238" s="64">
        <f>(G238-H238)*'16-PlantAdditions'!$E$103</f>
        <v>0</v>
      </c>
      <c r="J238" s="64">
        <f t="shared" ref="J238:J240" si="45">J237+F238-G238-I238</f>
        <v>-491597.54000005045</v>
      </c>
      <c r="K238" s="64">
        <f t="shared" si="43"/>
        <v>-151394381.55000004</v>
      </c>
    </row>
    <row r="239" spans="1:11" s="796" customFormat="1" x14ac:dyDescent="0.2">
      <c r="A239" s="117">
        <f t="shared" si="40"/>
        <v>182</v>
      </c>
      <c r="B239" s="759" t="s">
        <v>211</v>
      </c>
      <c r="C239" s="757">
        <v>2014</v>
      </c>
      <c r="D239" s="114">
        <v>0</v>
      </c>
      <c r="E239" s="64">
        <f>D239*'16-PlantAdditions'!$E$103</f>
        <v>0</v>
      </c>
      <c r="F239" s="64">
        <f t="shared" si="44"/>
        <v>0</v>
      </c>
      <c r="G239" s="114">
        <v>0</v>
      </c>
      <c r="H239" s="114">
        <v>0</v>
      </c>
      <c r="I239" s="64">
        <f>(G239-H239)*'16-PlantAdditions'!$E$103</f>
        <v>0</v>
      </c>
      <c r="J239" s="64">
        <f t="shared" si="45"/>
        <v>-491597.54000005045</v>
      </c>
      <c r="K239" s="64">
        <f t="shared" si="43"/>
        <v>-151394381.55000004</v>
      </c>
    </row>
    <row r="240" spans="1:11" s="796" customFormat="1" x14ac:dyDescent="0.2">
      <c r="A240" s="117">
        <f t="shared" si="40"/>
        <v>183</v>
      </c>
      <c r="B240" s="759" t="s">
        <v>201</v>
      </c>
      <c r="C240" s="757">
        <v>2014</v>
      </c>
      <c r="D240" s="114">
        <v>0</v>
      </c>
      <c r="E240" s="64">
        <f>D240*'16-PlantAdditions'!$E$103</f>
        <v>0</v>
      </c>
      <c r="F240" s="64">
        <f t="shared" si="44"/>
        <v>0</v>
      </c>
      <c r="G240" s="114">
        <v>0</v>
      </c>
      <c r="H240" s="114">
        <v>0</v>
      </c>
      <c r="I240" s="64">
        <f>(G240-H240)*'16-PlantAdditions'!$E$103</f>
        <v>0</v>
      </c>
      <c r="J240" s="64">
        <f t="shared" si="45"/>
        <v>-491597.54000005045</v>
      </c>
      <c r="K240" s="118">
        <f t="shared" si="43"/>
        <v>-151394381.55000004</v>
      </c>
    </row>
    <row r="241" spans="1:11" s="796" customFormat="1" x14ac:dyDescent="0.2">
      <c r="A241" s="117">
        <f t="shared" si="40"/>
        <v>184</v>
      </c>
      <c r="B241"/>
      <c r="C241" s="795" t="s">
        <v>1867</v>
      </c>
      <c r="D241"/>
      <c r="E241"/>
      <c r="F241"/>
      <c r="G241"/>
      <c r="H241"/>
      <c r="I241"/>
      <c r="J241"/>
      <c r="K241" s="78">
        <f>AVERAGE(K228:K240)</f>
        <v>-151394381.55000001</v>
      </c>
    </row>
    <row r="242" spans="1:11" s="796" customFormat="1" x14ac:dyDescent="0.2">
      <c r="A242" s="117"/>
      <c r="B242"/>
      <c r="C242" s="795"/>
      <c r="D242"/>
      <c r="E242"/>
      <c r="F242"/>
      <c r="G242"/>
      <c r="H242"/>
      <c r="I242"/>
      <c r="J242"/>
      <c r="K242" s="78"/>
    </row>
    <row r="243" spans="1:11" s="796" customFormat="1" x14ac:dyDescent="0.2">
      <c r="B243" s="797" t="s">
        <v>2409</v>
      </c>
      <c r="D243" s="1412" t="s">
        <v>2410</v>
      </c>
      <c r="E243" s="1412"/>
    </row>
    <row r="244" spans="1:11" s="796" customFormat="1" x14ac:dyDescent="0.2">
      <c r="A244" s="791"/>
      <c r="B244" s="791"/>
      <c r="C244" s="791"/>
      <c r="D244" s="791" t="s">
        <v>396</v>
      </c>
      <c r="E244" s="791" t="s">
        <v>380</v>
      </c>
      <c r="F244" s="791" t="s">
        <v>381</v>
      </c>
      <c r="G244" s="791" t="s">
        <v>382</v>
      </c>
      <c r="H244" s="791" t="s">
        <v>383</v>
      </c>
      <c r="I244" s="791" t="s">
        <v>384</v>
      </c>
      <c r="J244" s="791" t="s">
        <v>385</v>
      </c>
      <c r="K244" s="791" t="s">
        <v>599</v>
      </c>
    </row>
    <row r="245" spans="1:11" s="796" customFormat="1" ht="38.25" x14ac:dyDescent="0.2">
      <c r="D245" s="798"/>
      <c r="E245" s="799" t="s">
        <v>2762</v>
      </c>
      <c r="F245" s="800" t="s">
        <v>2399</v>
      </c>
      <c r="G245" s="557"/>
      <c r="H245" s="798"/>
      <c r="I245" s="799" t="s">
        <v>2763</v>
      </c>
      <c r="J245" s="799" t="s">
        <v>2400</v>
      </c>
      <c r="K245" s="799" t="s">
        <v>2401</v>
      </c>
    </row>
    <row r="246" spans="1:11" s="796" customFormat="1" x14ac:dyDescent="0.2">
      <c r="D246" s="798"/>
      <c r="E246" s="798"/>
      <c r="F246" s="798"/>
      <c r="G246" s="679" t="s">
        <v>2411</v>
      </c>
      <c r="H246" s="798"/>
      <c r="I246" s="798"/>
    </row>
    <row r="247" spans="1:11" s="796" customFormat="1" x14ac:dyDescent="0.2">
      <c r="A247" s="793"/>
      <c r="B247" s="793"/>
      <c r="C247" s="793"/>
      <c r="D247" s="793" t="str">
        <f>D$52</f>
        <v>Forecast</v>
      </c>
      <c r="E247" s="793" t="str">
        <f t="shared" ref="E247:J247" si="46">E$52</f>
        <v>Corporate</v>
      </c>
      <c r="F247" s="793" t="str">
        <f t="shared" si="46"/>
        <v xml:space="preserve">Total </v>
      </c>
      <c r="G247" s="793" t="s">
        <v>217</v>
      </c>
      <c r="H247" s="793" t="str">
        <f t="shared" si="46"/>
        <v>Prior Period</v>
      </c>
      <c r="I247" s="793" t="str">
        <f t="shared" si="46"/>
        <v>Over Heads</v>
      </c>
      <c r="J247" s="793" t="str">
        <f t="shared" si="46"/>
        <v>Forecast</v>
      </c>
      <c r="K247" s="679" t="str">
        <f>K$52</f>
        <v>Forecast Period</v>
      </c>
    </row>
    <row r="248" spans="1:11" s="796" customFormat="1" x14ac:dyDescent="0.2">
      <c r="A248" s="1114" t="s">
        <v>362</v>
      </c>
      <c r="B248" s="755" t="s">
        <v>213</v>
      </c>
      <c r="C248" s="755" t="s">
        <v>214</v>
      </c>
      <c r="D248" s="791" t="str">
        <f>D$53</f>
        <v>Expenditures</v>
      </c>
      <c r="E248" s="791" t="str">
        <f t="shared" ref="E248:J248" si="47">E$53</f>
        <v>Overheads</v>
      </c>
      <c r="F248" s="791" t="str">
        <f t="shared" si="47"/>
        <v>CWIP Exp</v>
      </c>
      <c r="G248" s="791" t="s">
        <v>2392</v>
      </c>
      <c r="H248" s="791" t="str">
        <f t="shared" si="47"/>
        <v>CWIP Closed</v>
      </c>
      <c r="I248" s="791" t="str">
        <f t="shared" si="47"/>
        <v>Closed to PIS</v>
      </c>
      <c r="J248" s="791" t="str">
        <f t="shared" si="47"/>
        <v>Period CWIP</v>
      </c>
      <c r="K248" s="791" t="str">
        <f>K$53</f>
        <v>Incremental CWIP</v>
      </c>
    </row>
    <row r="249" spans="1:11" s="796" customFormat="1" x14ac:dyDescent="0.2">
      <c r="A249" s="117">
        <f>A241+1</f>
        <v>185</v>
      </c>
      <c r="B249" s="756" t="s">
        <v>201</v>
      </c>
      <c r="C249" s="757">
        <v>2012</v>
      </c>
      <c r="D249" s="800" t="s">
        <v>88</v>
      </c>
      <c r="E249" s="800" t="s">
        <v>88</v>
      </c>
      <c r="F249" s="800" t="s">
        <v>88</v>
      </c>
      <c r="G249" s="800" t="s">
        <v>88</v>
      </c>
      <c r="H249" s="800" t="s">
        <v>88</v>
      </c>
      <c r="I249" s="800" t="s">
        <v>88</v>
      </c>
      <c r="J249" s="64">
        <f>D45</f>
        <v>3256743.08</v>
      </c>
      <c r="K249" s="800" t="s">
        <v>88</v>
      </c>
    </row>
    <row r="250" spans="1:11" s="796" customFormat="1" x14ac:dyDescent="0.2">
      <c r="A250" s="117">
        <f>A249+1</f>
        <v>186</v>
      </c>
      <c r="B250" s="756" t="s">
        <v>202</v>
      </c>
      <c r="C250" s="757">
        <v>2013</v>
      </c>
      <c r="D250" s="114">
        <v>8000</v>
      </c>
      <c r="E250" s="64">
        <f>D250*'16-PlantAdditions'!$E$103</f>
        <v>600</v>
      </c>
      <c r="F250" s="64">
        <f>E250+D250</f>
        <v>8600</v>
      </c>
      <c r="G250" s="114">
        <v>-136000</v>
      </c>
      <c r="H250" s="114">
        <v>-136000</v>
      </c>
      <c r="I250" s="64">
        <f>(G250-H250)*'16-PlantAdditions'!$E$103</f>
        <v>0</v>
      </c>
      <c r="J250" s="64">
        <f>J249+F250-G250-I250</f>
        <v>3401343.08</v>
      </c>
      <c r="K250" s="64">
        <f>J250-$J$249</f>
        <v>144600</v>
      </c>
    </row>
    <row r="251" spans="1:11" s="796" customFormat="1" x14ac:dyDescent="0.2">
      <c r="A251" s="117">
        <f t="shared" ref="A251:A274" si="48">A250+1</f>
        <v>187</v>
      </c>
      <c r="B251" s="759" t="s">
        <v>203</v>
      </c>
      <c r="C251" s="757">
        <v>2013</v>
      </c>
      <c r="D251" s="114">
        <v>252000</v>
      </c>
      <c r="E251" s="64">
        <f>D251*'16-PlantAdditions'!$E$103</f>
        <v>18900</v>
      </c>
      <c r="F251" s="64">
        <f t="shared" ref="F251:F270" si="49">E251+D251</f>
        <v>270900</v>
      </c>
      <c r="G251" s="114">
        <v>90000</v>
      </c>
      <c r="H251" s="114">
        <v>90000</v>
      </c>
      <c r="I251" s="64">
        <f>(G251-H251)*'16-PlantAdditions'!$E$103</f>
        <v>0</v>
      </c>
      <c r="J251" s="64">
        <f t="shared" ref="J251:J270" si="50">J250+F251-G251-I251</f>
        <v>3582243.08</v>
      </c>
      <c r="K251" s="64">
        <f t="shared" ref="K251:K273" si="51">J251-$J$249</f>
        <v>325500</v>
      </c>
    </row>
    <row r="252" spans="1:11" s="796" customFormat="1" x14ac:dyDescent="0.2">
      <c r="A252" s="117">
        <f t="shared" si="48"/>
        <v>188</v>
      </c>
      <c r="B252" s="759" t="s">
        <v>216</v>
      </c>
      <c r="C252" s="757">
        <v>2013</v>
      </c>
      <c r="D252" s="114">
        <v>90000</v>
      </c>
      <c r="E252" s="64">
        <f>D252*'16-PlantAdditions'!$E$103</f>
        <v>6750</v>
      </c>
      <c r="F252" s="64">
        <f t="shared" si="49"/>
        <v>96750</v>
      </c>
      <c r="G252" s="114">
        <v>12000</v>
      </c>
      <c r="H252" s="114">
        <v>12000</v>
      </c>
      <c r="I252" s="64">
        <f>(G252-H252)*'16-PlantAdditions'!$E$103</f>
        <v>0</v>
      </c>
      <c r="J252" s="64">
        <f t="shared" si="50"/>
        <v>3666993.08</v>
      </c>
      <c r="K252" s="64">
        <f t="shared" si="51"/>
        <v>410250</v>
      </c>
    </row>
    <row r="253" spans="1:11" s="796" customFormat="1" x14ac:dyDescent="0.2">
      <c r="A253" s="117">
        <f t="shared" si="48"/>
        <v>189</v>
      </c>
      <c r="B253" s="756" t="s">
        <v>204</v>
      </c>
      <c r="C253" s="757">
        <v>2013</v>
      </c>
      <c r="D253" s="114">
        <v>565000</v>
      </c>
      <c r="E253" s="64">
        <f>D253*'16-PlantAdditions'!$E$103</f>
        <v>42375</v>
      </c>
      <c r="F253" s="64">
        <f t="shared" si="49"/>
        <v>607375</v>
      </c>
      <c r="G253" s="114">
        <v>380000</v>
      </c>
      <c r="H253" s="114">
        <v>380000</v>
      </c>
      <c r="I253" s="64">
        <f>(G253-H253)*'16-PlantAdditions'!$E$103</f>
        <v>0</v>
      </c>
      <c r="J253" s="64">
        <f t="shared" si="50"/>
        <v>3894368.08</v>
      </c>
      <c r="K253" s="64">
        <f t="shared" si="51"/>
        <v>637625</v>
      </c>
    </row>
    <row r="254" spans="1:11" s="796" customFormat="1" x14ac:dyDescent="0.2">
      <c r="A254" s="117">
        <f t="shared" si="48"/>
        <v>190</v>
      </c>
      <c r="B254" s="759" t="s">
        <v>205</v>
      </c>
      <c r="C254" s="757">
        <v>2013</v>
      </c>
      <c r="D254" s="114">
        <v>4020000</v>
      </c>
      <c r="E254" s="64">
        <f>D254*'16-PlantAdditions'!$E$103</f>
        <v>301500</v>
      </c>
      <c r="F254" s="64">
        <f t="shared" si="49"/>
        <v>4321500</v>
      </c>
      <c r="G254" s="114">
        <v>0</v>
      </c>
      <c r="H254" s="114">
        <v>0</v>
      </c>
      <c r="I254" s="64">
        <f>(G254-H254)*'16-PlantAdditions'!$E$103</f>
        <v>0</v>
      </c>
      <c r="J254" s="64">
        <f t="shared" si="50"/>
        <v>8215868.0800000001</v>
      </c>
      <c r="K254" s="64">
        <f t="shared" si="51"/>
        <v>4959125</v>
      </c>
    </row>
    <row r="255" spans="1:11" s="796" customFormat="1" x14ac:dyDescent="0.2">
      <c r="A255" s="117">
        <f t="shared" si="48"/>
        <v>191</v>
      </c>
      <c r="B255" s="759" t="s">
        <v>1690</v>
      </c>
      <c r="C255" s="757">
        <v>2013</v>
      </c>
      <c r="D255" s="114">
        <v>1505000</v>
      </c>
      <c r="E255" s="64">
        <f>D255*'16-PlantAdditions'!$E$103</f>
        <v>112875</v>
      </c>
      <c r="F255" s="64">
        <f t="shared" si="49"/>
        <v>1617875</v>
      </c>
      <c r="G255" s="114">
        <v>0</v>
      </c>
      <c r="H255" s="114">
        <v>0</v>
      </c>
      <c r="I255" s="64">
        <f>(G255-H255)*'16-PlantAdditions'!$E$103</f>
        <v>0</v>
      </c>
      <c r="J255" s="64">
        <f t="shared" si="50"/>
        <v>9833743.0800000001</v>
      </c>
      <c r="K255" s="64">
        <f t="shared" si="51"/>
        <v>6577000</v>
      </c>
    </row>
    <row r="256" spans="1:11" s="796" customFormat="1" x14ac:dyDescent="0.2">
      <c r="A256" s="117">
        <f t="shared" si="48"/>
        <v>192</v>
      </c>
      <c r="B256" s="756" t="s">
        <v>207</v>
      </c>
      <c r="C256" s="757">
        <v>2013</v>
      </c>
      <c r="D256" s="114">
        <v>2585000</v>
      </c>
      <c r="E256" s="64">
        <f>D256*'16-PlantAdditions'!$E$103</f>
        <v>193875</v>
      </c>
      <c r="F256" s="64">
        <f t="shared" si="49"/>
        <v>2778875</v>
      </c>
      <c r="G256" s="114">
        <v>0</v>
      </c>
      <c r="H256" s="114">
        <v>0</v>
      </c>
      <c r="I256" s="64">
        <f>(G256-H256)*'16-PlantAdditions'!$E$103</f>
        <v>0</v>
      </c>
      <c r="J256" s="64">
        <f t="shared" si="50"/>
        <v>12612618.08</v>
      </c>
      <c r="K256" s="64">
        <f t="shared" si="51"/>
        <v>9355875</v>
      </c>
    </row>
    <row r="257" spans="1:11" s="796" customFormat="1" x14ac:dyDescent="0.2">
      <c r="A257" s="117">
        <f t="shared" si="48"/>
        <v>193</v>
      </c>
      <c r="B257" s="759" t="s">
        <v>208</v>
      </c>
      <c r="C257" s="757">
        <v>2013</v>
      </c>
      <c r="D257" s="114">
        <v>6570000</v>
      </c>
      <c r="E257" s="64">
        <f>D257*'16-PlantAdditions'!$E$103</f>
        <v>492750</v>
      </c>
      <c r="F257" s="64">
        <f t="shared" si="49"/>
        <v>7062750</v>
      </c>
      <c r="G257" s="114">
        <v>0</v>
      </c>
      <c r="H257" s="114">
        <v>0</v>
      </c>
      <c r="I257" s="64">
        <f>(G257-H257)*'16-PlantAdditions'!$E$103</f>
        <v>0</v>
      </c>
      <c r="J257" s="64">
        <f t="shared" si="50"/>
        <v>19675368.079999998</v>
      </c>
      <c r="K257" s="64">
        <f t="shared" si="51"/>
        <v>16418624.999999998</v>
      </c>
    </row>
    <row r="258" spans="1:11" s="796" customFormat="1" x14ac:dyDescent="0.2">
      <c r="A258" s="117">
        <f t="shared" si="48"/>
        <v>194</v>
      </c>
      <c r="B258" s="759" t="s">
        <v>209</v>
      </c>
      <c r="C258" s="757">
        <v>2013</v>
      </c>
      <c r="D258" s="114">
        <v>1780000</v>
      </c>
      <c r="E258" s="64">
        <f>D258*'16-PlantAdditions'!$E$103</f>
        <v>133500</v>
      </c>
      <c r="F258" s="64">
        <f t="shared" si="49"/>
        <v>1913500</v>
      </c>
      <c r="G258" s="114">
        <v>4069059.9499999997</v>
      </c>
      <c r="H258" s="114">
        <v>1643059.9500000002</v>
      </c>
      <c r="I258" s="64">
        <f>(G258-H258)*'16-PlantAdditions'!$E$103</f>
        <v>181949.99999999997</v>
      </c>
      <c r="J258" s="64">
        <f t="shared" si="50"/>
        <v>17337858.129999999</v>
      </c>
      <c r="K258" s="64">
        <f t="shared" si="51"/>
        <v>14081115.049999999</v>
      </c>
    </row>
    <row r="259" spans="1:11" s="796" customFormat="1" x14ac:dyDescent="0.2">
      <c r="A259" s="117">
        <f t="shared" si="48"/>
        <v>195</v>
      </c>
      <c r="B259" s="756" t="s">
        <v>212</v>
      </c>
      <c r="C259" s="757">
        <v>2013</v>
      </c>
      <c r="D259" s="114">
        <v>1666000</v>
      </c>
      <c r="E259" s="64">
        <f>D259*'16-PlantAdditions'!$E$103</f>
        <v>124950</v>
      </c>
      <c r="F259" s="64">
        <f t="shared" si="49"/>
        <v>1790950</v>
      </c>
      <c r="G259" s="114">
        <v>476000</v>
      </c>
      <c r="H259" s="114">
        <v>0</v>
      </c>
      <c r="I259" s="64">
        <f>(G259-H259)*'16-PlantAdditions'!$E$103</f>
        <v>35700</v>
      </c>
      <c r="J259" s="64">
        <f t="shared" si="50"/>
        <v>18617108.129999999</v>
      </c>
      <c r="K259" s="64">
        <f t="shared" si="51"/>
        <v>15360365.049999999</v>
      </c>
    </row>
    <row r="260" spans="1:11" s="796" customFormat="1" x14ac:dyDescent="0.2">
      <c r="A260" s="117">
        <f t="shared" si="48"/>
        <v>196</v>
      </c>
      <c r="B260" s="756" t="s">
        <v>211</v>
      </c>
      <c r="C260" s="757">
        <v>2013</v>
      </c>
      <c r="D260" s="114">
        <v>1000000</v>
      </c>
      <c r="E260" s="64">
        <f>D260*'16-PlantAdditions'!$E$103</f>
        <v>75000</v>
      </c>
      <c r="F260" s="64">
        <f t="shared" si="49"/>
        <v>1075000</v>
      </c>
      <c r="G260" s="114">
        <v>0</v>
      </c>
      <c r="H260" s="114">
        <v>0</v>
      </c>
      <c r="I260" s="64">
        <f>(G260-H260)*'16-PlantAdditions'!$E$103</f>
        <v>0</v>
      </c>
      <c r="J260" s="64">
        <f t="shared" si="50"/>
        <v>19692108.129999999</v>
      </c>
      <c r="K260" s="64">
        <f t="shared" si="51"/>
        <v>16435365.049999999</v>
      </c>
    </row>
    <row r="261" spans="1:11" s="796" customFormat="1" x14ac:dyDescent="0.2">
      <c r="A261" s="117">
        <f t="shared" si="48"/>
        <v>197</v>
      </c>
      <c r="B261" s="756" t="s">
        <v>201</v>
      </c>
      <c r="C261" s="757">
        <v>2013</v>
      </c>
      <c r="D261" s="114">
        <v>2830000</v>
      </c>
      <c r="E261" s="64">
        <f>D261*'16-PlantAdditions'!$E$103</f>
        <v>212250</v>
      </c>
      <c r="F261" s="64">
        <f t="shared" si="49"/>
        <v>3042250</v>
      </c>
      <c r="G261" s="114">
        <v>0</v>
      </c>
      <c r="H261" s="114">
        <v>0</v>
      </c>
      <c r="I261" s="64">
        <f>(G261-H261)*'16-PlantAdditions'!$E$103</f>
        <v>0</v>
      </c>
      <c r="J261" s="64">
        <f t="shared" si="50"/>
        <v>22734358.129999999</v>
      </c>
      <c r="K261" s="64">
        <f t="shared" si="51"/>
        <v>19477615.049999997</v>
      </c>
    </row>
    <row r="262" spans="1:11" s="796" customFormat="1" x14ac:dyDescent="0.2">
      <c r="A262" s="117">
        <f t="shared" si="48"/>
        <v>198</v>
      </c>
      <c r="B262" s="756" t="s">
        <v>202</v>
      </c>
      <c r="C262" s="757">
        <v>2014</v>
      </c>
      <c r="D262" s="114">
        <v>8500000</v>
      </c>
      <c r="E262" s="64">
        <f>D262*'16-PlantAdditions'!$E$103</f>
        <v>637500</v>
      </c>
      <c r="F262" s="64">
        <f t="shared" si="49"/>
        <v>9137500</v>
      </c>
      <c r="G262" s="114">
        <v>0</v>
      </c>
      <c r="H262" s="114">
        <v>0</v>
      </c>
      <c r="I262" s="64">
        <f>(G262-H262)*'16-PlantAdditions'!$E$103</f>
        <v>0</v>
      </c>
      <c r="J262" s="64">
        <f t="shared" si="50"/>
        <v>31871858.129999999</v>
      </c>
      <c r="K262" s="64">
        <f t="shared" si="51"/>
        <v>28615115.049999997</v>
      </c>
    </row>
    <row r="263" spans="1:11" s="796" customFormat="1" x14ac:dyDescent="0.2">
      <c r="A263" s="117">
        <f t="shared" si="48"/>
        <v>199</v>
      </c>
      <c r="B263" s="759" t="s">
        <v>203</v>
      </c>
      <c r="C263" s="757">
        <v>2014</v>
      </c>
      <c r="D263" s="114">
        <v>300000</v>
      </c>
      <c r="E263" s="64">
        <f>D263*'16-PlantAdditions'!$E$103</f>
        <v>22500</v>
      </c>
      <c r="F263" s="64">
        <f t="shared" si="49"/>
        <v>322500</v>
      </c>
      <c r="G263" s="114">
        <v>0</v>
      </c>
      <c r="H263" s="114">
        <v>0</v>
      </c>
      <c r="I263" s="64">
        <f>(G263-H263)*'16-PlantAdditions'!$E$103</f>
        <v>0</v>
      </c>
      <c r="J263" s="64">
        <f t="shared" si="50"/>
        <v>32194358.129999999</v>
      </c>
      <c r="K263" s="64">
        <f t="shared" si="51"/>
        <v>28937615.049999997</v>
      </c>
    </row>
    <row r="264" spans="1:11" s="796" customFormat="1" x14ac:dyDescent="0.2">
      <c r="A264" s="117">
        <f t="shared" si="48"/>
        <v>200</v>
      </c>
      <c r="B264" s="759" t="s">
        <v>216</v>
      </c>
      <c r="C264" s="757">
        <v>2014</v>
      </c>
      <c r="D264" s="114">
        <v>2100000</v>
      </c>
      <c r="E264" s="64">
        <f>D264*'16-PlantAdditions'!$E$103</f>
        <v>157500</v>
      </c>
      <c r="F264" s="64">
        <f t="shared" si="49"/>
        <v>2257500</v>
      </c>
      <c r="G264" s="114">
        <v>0</v>
      </c>
      <c r="H264" s="114">
        <v>0</v>
      </c>
      <c r="I264" s="64">
        <f>(G264-H264)*'16-PlantAdditions'!$E$103</f>
        <v>0</v>
      </c>
      <c r="J264" s="64">
        <f t="shared" si="50"/>
        <v>34451858.129999995</v>
      </c>
      <c r="K264" s="64">
        <f t="shared" si="51"/>
        <v>31195115.049999997</v>
      </c>
    </row>
    <row r="265" spans="1:11" s="796" customFormat="1" x14ac:dyDescent="0.2">
      <c r="A265" s="117">
        <f t="shared" si="48"/>
        <v>201</v>
      </c>
      <c r="B265" s="756" t="s">
        <v>204</v>
      </c>
      <c r="C265" s="757">
        <v>2014</v>
      </c>
      <c r="D265" s="114">
        <v>600000</v>
      </c>
      <c r="E265" s="64">
        <f>D265*'16-PlantAdditions'!$E$103</f>
        <v>45000</v>
      </c>
      <c r="F265" s="64">
        <f t="shared" si="49"/>
        <v>645000</v>
      </c>
      <c r="G265" s="114">
        <v>0</v>
      </c>
      <c r="H265" s="114">
        <v>0</v>
      </c>
      <c r="I265" s="64">
        <f>(G265-H265)*'16-PlantAdditions'!$E$103</f>
        <v>0</v>
      </c>
      <c r="J265" s="64">
        <f t="shared" si="50"/>
        <v>35096858.129999995</v>
      </c>
      <c r="K265" s="64">
        <f t="shared" si="51"/>
        <v>31840115.049999997</v>
      </c>
    </row>
    <row r="266" spans="1:11" s="796" customFormat="1" x14ac:dyDescent="0.2">
      <c r="A266" s="117">
        <f t="shared" si="48"/>
        <v>202</v>
      </c>
      <c r="B266" s="759" t="s">
        <v>205</v>
      </c>
      <c r="C266" s="757">
        <v>2014</v>
      </c>
      <c r="D266" s="114">
        <v>600000</v>
      </c>
      <c r="E266" s="64">
        <f>D266*'16-PlantAdditions'!$E$103</f>
        <v>45000</v>
      </c>
      <c r="F266" s="64">
        <f t="shared" si="49"/>
        <v>645000</v>
      </c>
      <c r="G266" s="114">
        <v>0</v>
      </c>
      <c r="H266" s="114">
        <v>0</v>
      </c>
      <c r="I266" s="64">
        <f>(G266-H266)*'16-PlantAdditions'!$E$103</f>
        <v>0</v>
      </c>
      <c r="J266" s="64">
        <f t="shared" si="50"/>
        <v>35741858.129999995</v>
      </c>
      <c r="K266" s="64">
        <f t="shared" si="51"/>
        <v>32485115.049999997</v>
      </c>
    </row>
    <row r="267" spans="1:11" s="796" customFormat="1" x14ac:dyDescent="0.2">
      <c r="A267" s="117">
        <f t="shared" si="48"/>
        <v>203</v>
      </c>
      <c r="B267" s="759" t="s">
        <v>1690</v>
      </c>
      <c r="C267" s="757">
        <v>2014</v>
      </c>
      <c r="D267" s="114">
        <v>600000</v>
      </c>
      <c r="E267" s="64">
        <f>D267*'16-PlantAdditions'!$E$103</f>
        <v>45000</v>
      </c>
      <c r="F267" s="64">
        <f t="shared" si="49"/>
        <v>645000</v>
      </c>
      <c r="G267" s="114">
        <v>0</v>
      </c>
      <c r="H267" s="114">
        <v>0</v>
      </c>
      <c r="I267" s="64">
        <f>(G267-H267)*'16-PlantAdditions'!$E$103</f>
        <v>0</v>
      </c>
      <c r="J267" s="64">
        <f t="shared" si="50"/>
        <v>36386858.129999995</v>
      </c>
      <c r="K267" s="64">
        <f t="shared" si="51"/>
        <v>33130115.049999997</v>
      </c>
    </row>
    <row r="268" spans="1:11" s="796" customFormat="1" x14ac:dyDescent="0.2">
      <c r="A268" s="117">
        <f t="shared" si="48"/>
        <v>204</v>
      </c>
      <c r="B268" s="756" t="s">
        <v>207</v>
      </c>
      <c r="C268" s="757">
        <v>2014</v>
      </c>
      <c r="D268" s="114">
        <v>900000</v>
      </c>
      <c r="E268" s="64">
        <f>D268*'16-PlantAdditions'!$E$103</f>
        <v>67500</v>
      </c>
      <c r="F268" s="64">
        <f t="shared" si="49"/>
        <v>967500</v>
      </c>
      <c r="G268" s="114">
        <v>0</v>
      </c>
      <c r="H268" s="114">
        <v>0</v>
      </c>
      <c r="I268" s="64">
        <f>(G268-H268)*'16-PlantAdditions'!$E$103</f>
        <v>0</v>
      </c>
      <c r="J268" s="64">
        <f t="shared" si="50"/>
        <v>37354358.129999995</v>
      </c>
      <c r="K268" s="64">
        <f t="shared" si="51"/>
        <v>34097615.049999997</v>
      </c>
    </row>
    <row r="269" spans="1:11" s="796" customFormat="1" x14ac:dyDescent="0.2">
      <c r="A269" s="117">
        <f t="shared" si="48"/>
        <v>205</v>
      </c>
      <c r="B269" s="759" t="s">
        <v>208</v>
      </c>
      <c r="C269" s="757">
        <v>2014</v>
      </c>
      <c r="D269" s="114">
        <v>1500000</v>
      </c>
      <c r="E269" s="64">
        <f>D269*'16-PlantAdditions'!$E$103</f>
        <v>112500</v>
      </c>
      <c r="F269" s="64">
        <f t="shared" si="49"/>
        <v>1612500</v>
      </c>
      <c r="G269" s="114">
        <v>0</v>
      </c>
      <c r="H269" s="114">
        <v>0</v>
      </c>
      <c r="I269" s="64">
        <f>(G269-H269)*'16-PlantAdditions'!$E$103</f>
        <v>0</v>
      </c>
      <c r="J269" s="64">
        <f t="shared" si="50"/>
        <v>38966858.129999995</v>
      </c>
      <c r="K269" s="64">
        <f t="shared" si="51"/>
        <v>35710115.049999997</v>
      </c>
    </row>
    <row r="270" spans="1:11" s="796" customFormat="1" x14ac:dyDescent="0.2">
      <c r="A270" s="117">
        <f t="shared" si="48"/>
        <v>206</v>
      </c>
      <c r="B270" s="759" t="s">
        <v>209</v>
      </c>
      <c r="C270" s="757">
        <v>2014</v>
      </c>
      <c r="D270" s="114">
        <v>1000000</v>
      </c>
      <c r="E270" s="64">
        <f>D270*'16-PlantAdditions'!$E$103</f>
        <v>75000</v>
      </c>
      <c r="F270" s="64">
        <f t="shared" si="49"/>
        <v>1075000</v>
      </c>
      <c r="G270" s="114">
        <v>0</v>
      </c>
      <c r="H270" s="114">
        <v>0</v>
      </c>
      <c r="I270" s="64">
        <f>(G270-H270)*'16-PlantAdditions'!$E$103</f>
        <v>0</v>
      </c>
      <c r="J270" s="64">
        <f t="shared" si="50"/>
        <v>40041858.129999995</v>
      </c>
      <c r="K270" s="64">
        <f t="shared" si="51"/>
        <v>36785115.049999997</v>
      </c>
    </row>
    <row r="271" spans="1:11" s="796" customFormat="1" x14ac:dyDescent="0.2">
      <c r="A271" s="117">
        <f t="shared" si="48"/>
        <v>207</v>
      </c>
      <c r="B271" s="759" t="s">
        <v>212</v>
      </c>
      <c r="C271" s="757">
        <v>2014</v>
      </c>
      <c r="D271" s="114">
        <v>2000000</v>
      </c>
      <c r="E271" s="64">
        <f>D271*'16-PlantAdditions'!$E$103</f>
        <v>150000</v>
      </c>
      <c r="F271" s="64">
        <f t="shared" ref="F271:F273" si="52">E271+D271</f>
        <v>2150000</v>
      </c>
      <c r="G271" s="114">
        <v>0</v>
      </c>
      <c r="H271" s="114">
        <v>0</v>
      </c>
      <c r="I271" s="64">
        <f>(G271-H271)*'16-PlantAdditions'!$E$103</f>
        <v>0</v>
      </c>
      <c r="J271" s="64">
        <f t="shared" ref="J271:J273" si="53">J270+F271-G271-I271</f>
        <v>42191858.129999995</v>
      </c>
      <c r="K271" s="64">
        <f t="shared" si="51"/>
        <v>38935115.049999997</v>
      </c>
    </row>
    <row r="272" spans="1:11" s="796" customFormat="1" x14ac:dyDescent="0.2">
      <c r="A272" s="117">
        <f t="shared" si="48"/>
        <v>208</v>
      </c>
      <c r="B272" s="759" t="s">
        <v>211</v>
      </c>
      <c r="C272" s="757">
        <v>2014</v>
      </c>
      <c r="D272" s="114">
        <v>2400000</v>
      </c>
      <c r="E272" s="64">
        <f>D272*'16-PlantAdditions'!$E$103</f>
        <v>180000</v>
      </c>
      <c r="F272" s="64">
        <f t="shared" si="52"/>
        <v>2580000</v>
      </c>
      <c r="G272" s="114">
        <v>0</v>
      </c>
      <c r="H272" s="114">
        <v>0</v>
      </c>
      <c r="I272" s="64">
        <f>(G272-H272)*'16-PlantAdditions'!$E$103</f>
        <v>0</v>
      </c>
      <c r="J272" s="64">
        <f t="shared" si="53"/>
        <v>44771858.129999995</v>
      </c>
      <c r="K272" s="64">
        <f t="shared" si="51"/>
        <v>41515115.049999997</v>
      </c>
    </row>
    <row r="273" spans="1:13" s="796" customFormat="1" x14ac:dyDescent="0.2">
      <c r="A273" s="117">
        <f t="shared" si="48"/>
        <v>209</v>
      </c>
      <c r="B273" s="759" t="s">
        <v>201</v>
      </c>
      <c r="C273" s="757">
        <v>2014</v>
      </c>
      <c r="D273" s="114">
        <v>2500000</v>
      </c>
      <c r="E273" s="64">
        <f>D273*'16-PlantAdditions'!$E$103</f>
        <v>187500</v>
      </c>
      <c r="F273" s="64">
        <f t="shared" si="52"/>
        <v>2687500</v>
      </c>
      <c r="G273" s="114">
        <v>44236683.129999995</v>
      </c>
      <c r="H273" s="114">
        <v>1613683.1300000001</v>
      </c>
      <c r="I273" s="64">
        <f>(G273-H273)*'16-PlantAdditions'!$E$103</f>
        <v>3196724.9999999995</v>
      </c>
      <c r="J273" s="64">
        <f t="shared" si="53"/>
        <v>25950.000000000466</v>
      </c>
      <c r="K273" s="118">
        <f t="shared" si="51"/>
        <v>-3230793.0799999996</v>
      </c>
    </row>
    <row r="274" spans="1:13" s="796" customFormat="1" x14ac:dyDescent="0.2">
      <c r="A274" s="117">
        <f t="shared" si="48"/>
        <v>210</v>
      </c>
      <c r="B274"/>
      <c r="C274" s="795" t="s">
        <v>1867</v>
      </c>
      <c r="D274"/>
      <c r="E274"/>
      <c r="F274"/>
      <c r="G274"/>
      <c r="H274"/>
      <c r="I274"/>
      <c r="J274"/>
      <c r="K274" s="78">
        <f>AVERAGE(K261:K273)</f>
        <v>29961006.732307699</v>
      </c>
    </row>
    <row r="275" spans="1:13" s="796" customFormat="1" ht="12.75" customHeight="1" x14ac:dyDescent="0.2">
      <c r="A275" s="117"/>
      <c r="B275"/>
      <c r="C275" s="795"/>
      <c r="D275"/>
      <c r="E275"/>
      <c r="F275"/>
      <c r="G275"/>
      <c r="H275"/>
      <c r="I275"/>
      <c r="J275"/>
      <c r="K275" s="78"/>
    </row>
    <row r="276" spans="1:13" s="796" customFormat="1" x14ac:dyDescent="0.2">
      <c r="B276" s="797" t="s">
        <v>2412</v>
      </c>
      <c r="D276" s="1412" t="s">
        <v>2413</v>
      </c>
      <c r="E276" s="1412"/>
    </row>
    <row r="277" spans="1:13" s="796" customFormat="1" x14ac:dyDescent="0.2">
      <c r="D277" s="798"/>
      <c r="E277" s="799"/>
      <c r="F277" s="800"/>
      <c r="G277" s="793" t="str">
        <f>G51</f>
        <v>Unloaded</v>
      </c>
      <c r="H277" s="798"/>
      <c r="I277" s="799"/>
      <c r="J277" s="799"/>
      <c r="K277" s="799"/>
    </row>
    <row r="278" spans="1:13" s="796" customFormat="1" x14ac:dyDescent="0.2">
      <c r="A278" s="793"/>
      <c r="B278" s="793"/>
      <c r="C278" s="793"/>
      <c r="D278" s="793" t="str">
        <f>D$52</f>
        <v>Forecast</v>
      </c>
      <c r="E278" s="793" t="str">
        <f t="shared" ref="E278:J278" si="54">E$52</f>
        <v>Corporate</v>
      </c>
      <c r="F278" s="793" t="str">
        <f t="shared" si="54"/>
        <v xml:space="preserve">Total </v>
      </c>
      <c r="G278" s="793" t="str">
        <f>G52</f>
        <v>Total</v>
      </c>
      <c r="H278" s="793" t="str">
        <f t="shared" si="54"/>
        <v>Prior Period</v>
      </c>
      <c r="I278" s="793" t="str">
        <f t="shared" si="54"/>
        <v>Over Heads</v>
      </c>
      <c r="J278" s="793" t="str">
        <f t="shared" si="54"/>
        <v>Forecast</v>
      </c>
      <c r="K278" s="679" t="str">
        <f>K$52</f>
        <v>Forecast Period</v>
      </c>
    </row>
    <row r="279" spans="1:13" s="796" customFormat="1" x14ac:dyDescent="0.2">
      <c r="A279" s="1114" t="s">
        <v>362</v>
      </c>
      <c r="B279" s="755" t="s">
        <v>213</v>
      </c>
      <c r="C279" s="755" t="s">
        <v>214</v>
      </c>
      <c r="D279" s="791" t="str">
        <f>D$53</f>
        <v>Expenditures</v>
      </c>
      <c r="E279" s="791" t="str">
        <f t="shared" ref="E279:J279" si="55">E$53</f>
        <v>Overheads</v>
      </c>
      <c r="F279" s="791" t="str">
        <f t="shared" si="55"/>
        <v>CWIP Exp</v>
      </c>
      <c r="G279" s="791" t="str">
        <f>G53</f>
        <v>Plant Adds</v>
      </c>
      <c r="H279" s="791" t="str">
        <f t="shared" si="55"/>
        <v>CWIP Closed</v>
      </c>
      <c r="I279" s="791" t="str">
        <f t="shared" si="55"/>
        <v>Closed to PIS</v>
      </c>
      <c r="J279" s="791" t="str">
        <f t="shared" si="55"/>
        <v>Period CWIP</v>
      </c>
      <c r="K279" s="791" t="str">
        <f>K$53</f>
        <v>Incremental CWIP</v>
      </c>
    </row>
    <row r="280" spans="1:13" s="796" customFormat="1" x14ac:dyDescent="0.2">
      <c r="A280" s="117">
        <f>A274+1</f>
        <v>211</v>
      </c>
      <c r="B280" s="756" t="s">
        <v>201</v>
      </c>
      <c r="C280" s="757">
        <v>2012</v>
      </c>
      <c r="D280" s="800" t="s">
        <v>88</v>
      </c>
      <c r="E280" s="800" t="s">
        <v>88</v>
      </c>
      <c r="F280" s="800" t="s">
        <v>88</v>
      </c>
      <c r="G280" s="800" t="s">
        <v>88</v>
      </c>
      <c r="H280" s="800" t="s">
        <v>88</v>
      </c>
      <c r="I280" s="800" t="s">
        <v>88</v>
      </c>
      <c r="J280" s="64">
        <f>E45</f>
        <v>47928159.539999999</v>
      </c>
      <c r="K280" s="800" t="s">
        <v>88</v>
      </c>
    </row>
    <row r="281" spans="1:13" s="796" customFormat="1" x14ac:dyDescent="0.2">
      <c r="A281" s="117">
        <f>A280+1</f>
        <v>212</v>
      </c>
      <c r="B281" s="756" t="s">
        <v>202</v>
      </c>
      <c r="C281" s="757">
        <v>2013</v>
      </c>
      <c r="D281" s="114">
        <v>3162413</v>
      </c>
      <c r="E281" s="64">
        <f>D281*'16-PlantAdditions'!$E$103</f>
        <v>237180.97499999998</v>
      </c>
      <c r="F281" s="64">
        <f>E281+D281</f>
        <v>3399593.9750000001</v>
      </c>
      <c r="G281" s="114">
        <v>0</v>
      </c>
      <c r="H281" s="114">
        <v>0</v>
      </c>
      <c r="I281" s="64">
        <f>(G281-H281)*'16-PlantAdditions'!$E$103</f>
        <v>0</v>
      </c>
      <c r="J281" s="64">
        <f>J280+F281-G281-I281</f>
        <v>51327753.515000001</v>
      </c>
      <c r="K281" s="64">
        <f>J281-$J$280</f>
        <v>3399593.9750000015</v>
      </c>
    </row>
    <row r="282" spans="1:13" s="796" customFormat="1" x14ac:dyDescent="0.2">
      <c r="A282" s="117">
        <f t="shared" ref="A282:A305" si="56">A281+1</f>
        <v>213</v>
      </c>
      <c r="B282" s="759" t="s">
        <v>203</v>
      </c>
      <c r="C282" s="757">
        <v>2013</v>
      </c>
      <c r="D282" s="114">
        <v>3299225</v>
      </c>
      <c r="E282" s="64">
        <f>D282*'16-PlantAdditions'!$E$103</f>
        <v>247441.875</v>
      </c>
      <c r="F282" s="64">
        <f t="shared" ref="F282:F301" si="57">E282+D282</f>
        <v>3546666.875</v>
      </c>
      <c r="G282" s="114">
        <v>0</v>
      </c>
      <c r="H282" s="114">
        <v>0</v>
      </c>
      <c r="I282" s="64">
        <f>(G282-H282)*'16-PlantAdditions'!$E$103</f>
        <v>0</v>
      </c>
      <c r="J282" s="64">
        <f t="shared" ref="J282:J301" si="58">J281+F282-G282-I282</f>
        <v>54874420.390000001</v>
      </c>
      <c r="K282" s="64">
        <f t="shared" ref="K282:K304" si="59">J282-$J$280</f>
        <v>6946260.8500000015</v>
      </c>
    </row>
    <row r="283" spans="1:13" s="796" customFormat="1" x14ac:dyDescent="0.2">
      <c r="A283" s="117">
        <f t="shared" si="56"/>
        <v>214</v>
      </c>
      <c r="B283" s="759" t="s">
        <v>216</v>
      </c>
      <c r="C283" s="757">
        <v>2013</v>
      </c>
      <c r="D283" s="114">
        <v>4621214</v>
      </c>
      <c r="E283" s="64">
        <f>D283*'16-PlantAdditions'!$E$103</f>
        <v>346591.05</v>
      </c>
      <c r="F283" s="64">
        <f t="shared" si="57"/>
        <v>4967805.05</v>
      </c>
      <c r="G283" s="114">
        <v>0</v>
      </c>
      <c r="H283" s="114">
        <v>0</v>
      </c>
      <c r="I283" s="64">
        <f>(G283-H283)*'16-PlantAdditions'!$E$103</f>
        <v>0</v>
      </c>
      <c r="J283" s="64">
        <f t="shared" si="58"/>
        <v>59842225.439999998</v>
      </c>
      <c r="K283" s="64">
        <f t="shared" si="59"/>
        <v>11914065.899999999</v>
      </c>
    </row>
    <row r="284" spans="1:13" s="796" customFormat="1" x14ac:dyDescent="0.2">
      <c r="A284" s="117">
        <f t="shared" si="56"/>
        <v>215</v>
      </c>
      <c r="B284" s="756" t="s">
        <v>204</v>
      </c>
      <c r="C284" s="757">
        <v>2013</v>
      </c>
      <c r="D284" s="114">
        <v>2773882</v>
      </c>
      <c r="E284" s="64">
        <f>D284*'16-PlantAdditions'!$E$103</f>
        <v>208041.15</v>
      </c>
      <c r="F284" s="64">
        <f t="shared" si="57"/>
        <v>2981923.15</v>
      </c>
      <c r="G284" s="114">
        <v>0</v>
      </c>
      <c r="H284" s="114">
        <v>0</v>
      </c>
      <c r="I284" s="64">
        <f>(G284-H284)*'16-PlantAdditions'!$E$103</f>
        <v>0</v>
      </c>
      <c r="J284" s="64">
        <f t="shared" si="58"/>
        <v>62824148.589999996</v>
      </c>
      <c r="K284" s="64">
        <f t="shared" si="59"/>
        <v>14895989.049999997</v>
      </c>
    </row>
    <row r="285" spans="1:13" s="796" customFormat="1" x14ac:dyDescent="0.2">
      <c r="A285" s="117">
        <f t="shared" si="56"/>
        <v>216</v>
      </c>
      <c r="B285" s="759" t="s">
        <v>205</v>
      </c>
      <c r="C285" s="757">
        <v>2013</v>
      </c>
      <c r="D285" s="114">
        <v>3341382</v>
      </c>
      <c r="E285" s="64">
        <f>D285*'16-PlantAdditions'!$E$103</f>
        <v>250603.65</v>
      </c>
      <c r="F285" s="64">
        <f t="shared" si="57"/>
        <v>3591985.65</v>
      </c>
      <c r="G285" s="114">
        <v>0</v>
      </c>
      <c r="H285" s="114">
        <v>0</v>
      </c>
      <c r="I285" s="64">
        <f>(G285-H285)*'16-PlantAdditions'!$E$103</f>
        <v>0</v>
      </c>
      <c r="J285" s="64">
        <f t="shared" si="58"/>
        <v>66416134.239999995</v>
      </c>
      <c r="K285" s="64">
        <f t="shared" si="59"/>
        <v>18487974.699999996</v>
      </c>
      <c r="L285" s="793"/>
      <c r="M285" s="793"/>
    </row>
    <row r="286" spans="1:13" s="796" customFormat="1" x14ac:dyDescent="0.2">
      <c r="A286" s="117">
        <f t="shared" si="56"/>
        <v>217</v>
      </c>
      <c r="B286" s="759" t="s">
        <v>1690</v>
      </c>
      <c r="C286" s="757">
        <v>2013</v>
      </c>
      <c r="D286" s="114">
        <v>3280961</v>
      </c>
      <c r="E286" s="64">
        <f>D286*'16-PlantAdditions'!$E$103</f>
        <v>246072.07499999998</v>
      </c>
      <c r="F286" s="64">
        <f t="shared" si="57"/>
        <v>3527033.0750000002</v>
      </c>
      <c r="G286" s="114">
        <v>0</v>
      </c>
      <c r="H286" s="114">
        <v>0</v>
      </c>
      <c r="I286" s="64">
        <f>(G286-H286)*'16-PlantAdditions'!$E$103</f>
        <v>0</v>
      </c>
      <c r="J286" s="64">
        <f t="shared" si="58"/>
        <v>69943167.314999998</v>
      </c>
      <c r="K286" s="64">
        <f t="shared" si="59"/>
        <v>22015007.774999999</v>
      </c>
      <c r="L286" s="791"/>
      <c r="M286" s="791"/>
    </row>
    <row r="287" spans="1:13" s="796" customFormat="1" x14ac:dyDescent="0.2">
      <c r="A287" s="117">
        <f t="shared" si="56"/>
        <v>218</v>
      </c>
      <c r="B287" s="756" t="s">
        <v>207</v>
      </c>
      <c r="C287" s="757">
        <v>2013</v>
      </c>
      <c r="D287" s="114">
        <v>1526987</v>
      </c>
      <c r="E287" s="64">
        <f>D287*'16-PlantAdditions'!$E$103</f>
        <v>114524.02499999999</v>
      </c>
      <c r="F287" s="64">
        <f t="shared" si="57"/>
        <v>1641511.0249999999</v>
      </c>
      <c r="G287" s="114">
        <v>70020335.539999992</v>
      </c>
      <c r="H287" s="114">
        <v>48014271.539999992</v>
      </c>
      <c r="I287" s="64">
        <f>(G287-H287)*'16-PlantAdditions'!$E$103</f>
        <v>1650454.8</v>
      </c>
      <c r="J287" s="64">
        <f t="shared" si="58"/>
        <v>-86111.999999988126</v>
      </c>
      <c r="K287" s="64">
        <f t="shared" si="59"/>
        <v>-48014271.539999984</v>
      </c>
    </row>
    <row r="288" spans="1:13" s="796" customFormat="1" x14ac:dyDescent="0.2">
      <c r="A288" s="117">
        <f t="shared" si="56"/>
        <v>219</v>
      </c>
      <c r="B288" s="759" t="s">
        <v>208</v>
      </c>
      <c r="C288" s="757">
        <v>2013</v>
      </c>
      <c r="D288" s="114">
        <v>1003387</v>
      </c>
      <c r="E288" s="64">
        <f>D288*'16-PlantAdditions'!$E$103</f>
        <v>75254.024999999994</v>
      </c>
      <c r="F288" s="64">
        <f t="shared" si="57"/>
        <v>1078641.0249999999</v>
      </c>
      <c r="G288" s="114">
        <v>1003387</v>
      </c>
      <c r="H288" s="114">
        <v>0</v>
      </c>
      <c r="I288" s="64">
        <f>(G288-H288)*'16-PlantAdditions'!$E$103</f>
        <v>75254.024999999994</v>
      </c>
      <c r="J288" s="64">
        <f t="shared" si="58"/>
        <v>-86111.999999988213</v>
      </c>
      <c r="K288" s="64">
        <f t="shared" si="59"/>
        <v>-48014271.539999984</v>
      </c>
    </row>
    <row r="289" spans="1:11" s="796" customFormat="1" x14ac:dyDescent="0.2">
      <c r="A289" s="117">
        <f t="shared" si="56"/>
        <v>220</v>
      </c>
      <c r="B289" s="759" t="s">
        <v>209</v>
      </c>
      <c r="C289" s="757">
        <v>2013</v>
      </c>
      <c r="D289" s="114">
        <v>336235</v>
      </c>
      <c r="E289" s="64">
        <f>D289*'16-PlantAdditions'!$E$103</f>
        <v>25217.625</v>
      </c>
      <c r="F289" s="64">
        <f t="shared" si="57"/>
        <v>361452.625</v>
      </c>
      <c r="G289" s="114">
        <v>336235</v>
      </c>
      <c r="H289" s="114">
        <v>0</v>
      </c>
      <c r="I289" s="64">
        <f>(G289-H289)*'16-PlantAdditions'!$E$103</f>
        <v>25217.625</v>
      </c>
      <c r="J289" s="64">
        <f t="shared" si="58"/>
        <v>-86111.999999988242</v>
      </c>
      <c r="K289" s="64">
        <f t="shared" si="59"/>
        <v>-48014271.539999984</v>
      </c>
    </row>
    <row r="290" spans="1:11" s="796" customFormat="1" x14ac:dyDescent="0.2">
      <c r="A290" s="117">
        <f t="shared" si="56"/>
        <v>221</v>
      </c>
      <c r="B290" s="756" t="s">
        <v>212</v>
      </c>
      <c r="C290" s="757">
        <v>2013</v>
      </c>
      <c r="D290" s="114">
        <v>322674</v>
      </c>
      <c r="E290" s="64">
        <f>D290*'16-PlantAdditions'!$E$103</f>
        <v>24200.55</v>
      </c>
      <c r="F290" s="64">
        <f t="shared" si="57"/>
        <v>346874.55</v>
      </c>
      <c r="G290" s="114">
        <v>322674</v>
      </c>
      <c r="H290" s="114">
        <v>0</v>
      </c>
      <c r="I290" s="64">
        <f>(G290-H290)*'16-PlantAdditions'!$E$103</f>
        <v>24200.55</v>
      </c>
      <c r="J290" s="64">
        <f t="shared" si="58"/>
        <v>-86111.999999988257</v>
      </c>
      <c r="K290" s="64">
        <f t="shared" si="59"/>
        <v>-48014271.539999984</v>
      </c>
    </row>
    <row r="291" spans="1:11" s="796" customFormat="1" x14ac:dyDescent="0.2">
      <c r="A291" s="117">
        <f t="shared" si="56"/>
        <v>222</v>
      </c>
      <c r="B291" s="756" t="s">
        <v>211</v>
      </c>
      <c r="C291" s="757">
        <v>2013</v>
      </c>
      <c r="D291" s="114">
        <v>300000</v>
      </c>
      <c r="E291" s="64">
        <f>D291*'16-PlantAdditions'!$E$103</f>
        <v>22500</v>
      </c>
      <c r="F291" s="64">
        <f t="shared" si="57"/>
        <v>322500</v>
      </c>
      <c r="G291" s="114">
        <v>300000</v>
      </c>
      <c r="H291" s="114">
        <v>0</v>
      </c>
      <c r="I291" s="64">
        <f>(G291-H291)*'16-PlantAdditions'!$E$103</f>
        <v>22500</v>
      </c>
      <c r="J291" s="64">
        <f t="shared" si="58"/>
        <v>-86111.999999988242</v>
      </c>
      <c r="K291" s="64">
        <f t="shared" si="59"/>
        <v>-48014271.539999984</v>
      </c>
    </row>
    <row r="292" spans="1:11" s="796" customFormat="1" x14ac:dyDescent="0.2">
      <c r="A292" s="117">
        <f t="shared" si="56"/>
        <v>223</v>
      </c>
      <c r="B292" s="756" t="s">
        <v>201</v>
      </c>
      <c r="C292" s="757">
        <v>2013</v>
      </c>
      <c r="D292" s="114">
        <v>1698420</v>
      </c>
      <c r="E292" s="64">
        <f>D292*'16-PlantAdditions'!$E$103</f>
        <v>127381.5</v>
      </c>
      <c r="F292" s="64">
        <f t="shared" si="57"/>
        <v>1825801.5</v>
      </c>
      <c r="G292" s="114">
        <v>1698420</v>
      </c>
      <c r="H292" s="114">
        <v>0</v>
      </c>
      <c r="I292" s="64">
        <f>(G292-H292)*'16-PlantAdditions'!$E$103</f>
        <v>127381.5</v>
      </c>
      <c r="J292" s="64">
        <f t="shared" si="58"/>
        <v>-86111.999999988358</v>
      </c>
      <c r="K292" s="64">
        <f t="shared" si="59"/>
        <v>-48014271.539999984</v>
      </c>
    </row>
    <row r="293" spans="1:11" s="796" customFormat="1" x14ac:dyDescent="0.2">
      <c r="A293" s="117">
        <f t="shared" si="56"/>
        <v>224</v>
      </c>
      <c r="B293" s="756" t="s">
        <v>202</v>
      </c>
      <c r="C293" s="757">
        <v>2014</v>
      </c>
      <c r="D293" s="114">
        <v>108211</v>
      </c>
      <c r="E293" s="64">
        <f>D293*'16-PlantAdditions'!$E$103</f>
        <v>8115.8249999999998</v>
      </c>
      <c r="F293" s="64">
        <f t="shared" si="57"/>
        <v>116326.825</v>
      </c>
      <c r="G293" s="114">
        <v>108211</v>
      </c>
      <c r="H293" s="114">
        <v>0</v>
      </c>
      <c r="I293" s="64">
        <f>(G293-H293)*'16-PlantAdditions'!$E$103</f>
        <v>8115.8249999999998</v>
      </c>
      <c r="J293" s="64">
        <f t="shared" si="58"/>
        <v>-86111.999999988358</v>
      </c>
      <c r="K293" s="64">
        <f t="shared" si="59"/>
        <v>-48014271.539999984</v>
      </c>
    </row>
    <row r="294" spans="1:11" s="796" customFormat="1" x14ac:dyDescent="0.2">
      <c r="A294" s="117">
        <f t="shared" si="56"/>
        <v>225</v>
      </c>
      <c r="B294" s="759" t="s">
        <v>203</v>
      </c>
      <c r="C294" s="757">
        <v>2014</v>
      </c>
      <c r="D294" s="114">
        <v>108211</v>
      </c>
      <c r="E294" s="64">
        <f>D294*'16-PlantAdditions'!$E$103</f>
        <v>8115.8249999999998</v>
      </c>
      <c r="F294" s="64">
        <f t="shared" si="57"/>
        <v>116326.825</v>
      </c>
      <c r="G294" s="114">
        <v>108211</v>
      </c>
      <c r="H294" s="114">
        <v>0</v>
      </c>
      <c r="I294" s="64">
        <f>(G294-H294)*'16-PlantAdditions'!$E$103</f>
        <v>8115.8249999999998</v>
      </c>
      <c r="J294" s="64">
        <f t="shared" si="58"/>
        <v>-86111.999999988358</v>
      </c>
      <c r="K294" s="64">
        <f t="shared" si="59"/>
        <v>-48014271.539999984</v>
      </c>
    </row>
    <row r="295" spans="1:11" s="796" customFormat="1" x14ac:dyDescent="0.2">
      <c r="A295" s="117">
        <f t="shared" si="56"/>
        <v>226</v>
      </c>
      <c r="B295" s="759" t="s">
        <v>216</v>
      </c>
      <c r="C295" s="757">
        <v>2014</v>
      </c>
      <c r="D295" s="114">
        <v>108211</v>
      </c>
      <c r="E295" s="64">
        <f>D295*'16-PlantAdditions'!$E$103</f>
        <v>8115.8249999999998</v>
      </c>
      <c r="F295" s="64">
        <f t="shared" si="57"/>
        <v>116326.825</v>
      </c>
      <c r="G295" s="114">
        <v>108211</v>
      </c>
      <c r="H295" s="114">
        <v>0</v>
      </c>
      <c r="I295" s="64">
        <f>(G295-H295)*'16-PlantAdditions'!$E$103</f>
        <v>8115.8249999999998</v>
      </c>
      <c r="J295" s="64">
        <f t="shared" si="58"/>
        <v>-86111.999999988358</v>
      </c>
      <c r="K295" s="64">
        <f t="shared" si="59"/>
        <v>-48014271.539999984</v>
      </c>
    </row>
    <row r="296" spans="1:11" s="796" customFormat="1" x14ac:dyDescent="0.2">
      <c r="A296" s="117">
        <f t="shared" si="56"/>
        <v>227</v>
      </c>
      <c r="B296" s="756" t="s">
        <v>204</v>
      </c>
      <c r="C296" s="757">
        <v>2014</v>
      </c>
      <c r="D296" s="114">
        <v>108211</v>
      </c>
      <c r="E296" s="64">
        <f>D296*'16-PlantAdditions'!$E$103</f>
        <v>8115.8249999999998</v>
      </c>
      <c r="F296" s="64">
        <f t="shared" si="57"/>
        <v>116326.825</v>
      </c>
      <c r="G296" s="114">
        <v>108211</v>
      </c>
      <c r="H296" s="114">
        <v>0</v>
      </c>
      <c r="I296" s="64">
        <f>(G296-H296)*'16-PlantAdditions'!$E$103</f>
        <v>8115.8249999999998</v>
      </c>
      <c r="J296" s="64">
        <f t="shared" si="58"/>
        <v>-86111.999999988358</v>
      </c>
      <c r="K296" s="64">
        <f t="shared" si="59"/>
        <v>-48014271.539999984</v>
      </c>
    </row>
    <row r="297" spans="1:11" s="796" customFormat="1" x14ac:dyDescent="0.2">
      <c r="A297" s="117">
        <f t="shared" si="56"/>
        <v>228</v>
      </c>
      <c r="B297" s="759" t="s">
        <v>205</v>
      </c>
      <c r="C297" s="757">
        <v>2014</v>
      </c>
      <c r="D297" s="114">
        <v>108211</v>
      </c>
      <c r="E297" s="64">
        <f>D297*'16-PlantAdditions'!$E$103</f>
        <v>8115.8249999999998</v>
      </c>
      <c r="F297" s="64">
        <f t="shared" si="57"/>
        <v>116326.825</v>
      </c>
      <c r="G297" s="114">
        <v>108211</v>
      </c>
      <c r="H297" s="114">
        <v>0</v>
      </c>
      <c r="I297" s="64">
        <f>(G297-H297)*'16-PlantAdditions'!$E$103</f>
        <v>8115.8249999999998</v>
      </c>
      <c r="J297" s="64">
        <f t="shared" si="58"/>
        <v>-86111.999999988358</v>
      </c>
      <c r="K297" s="64">
        <f t="shared" si="59"/>
        <v>-48014271.539999984</v>
      </c>
    </row>
    <row r="298" spans="1:11" s="796" customFormat="1" x14ac:dyDescent="0.2">
      <c r="A298" s="117">
        <f t="shared" si="56"/>
        <v>229</v>
      </c>
      <c r="B298" s="759" t="s">
        <v>1690</v>
      </c>
      <c r="C298" s="757">
        <v>2014</v>
      </c>
      <c r="D298" s="114">
        <v>108211</v>
      </c>
      <c r="E298" s="64">
        <f>D298*'16-PlantAdditions'!$E$103</f>
        <v>8115.8249999999998</v>
      </c>
      <c r="F298" s="64">
        <f t="shared" si="57"/>
        <v>116326.825</v>
      </c>
      <c r="G298" s="114">
        <v>108211</v>
      </c>
      <c r="H298" s="114">
        <v>0</v>
      </c>
      <c r="I298" s="64">
        <f>(G298-H298)*'16-PlantAdditions'!$E$103</f>
        <v>8115.8249999999998</v>
      </c>
      <c r="J298" s="64">
        <f t="shared" si="58"/>
        <v>-86111.999999988358</v>
      </c>
      <c r="K298" s="64">
        <f t="shared" si="59"/>
        <v>-48014271.539999984</v>
      </c>
    </row>
    <row r="299" spans="1:11" s="796" customFormat="1" x14ac:dyDescent="0.2">
      <c r="A299" s="117">
        <f t="shared" si="56"/>
        <v>230</v>
      </c>
      <c r="B299" s="756" t="s">
        <v>207</v>
      </c>
      <c r="C299" s="757">
        <v>2014</v>
      </c>
      <c r="D299" s="114">
        <v>0</v>
      </c>
      <c r="E299" s="64">
        <f>D299*'16-PlantAdditions'!$E$103</f>
        <v>0</v>
      </c>
      <c r="F299" s="64">
        <f t="shared" si="57"/>
        <v>0</v>
      </c>
      <c r="G299" s="114">
        <v>0</v>
      </c>
      <c r="H299" s="114">
        <v>0</v>
      </c>
      <c r="I299" s="64">
        <f>(G299-H299)*'16-PlantAdditions'!$E$103</f>
        <v>0</v>
      </c>
      <c r="J299" s="64">
        <f t="shared" si="58"/>
        <v>-86111.999999988358</v>
      </c>
      <c r="K299" s="64">
        <f t="shared" si="59"/>
        <v>-48014271.539999984</v>
      </c>
    </row>
    <row r="300" spans="1:11" s="796" customFormat="1" x14ac:dyDescent="0.2">
      <c r="A300" s="117">
        <f t="shared" si="56"/>
        <v>231</v>
      </c>
      <c r="B300" s="759" t="s">
        <v>208</v>
      </c>
      <c r="C300" s="757">
        <v>2014</v>
      </c>
      <c r="D300" s="114">
        <v>0</v>
      </c>
      <c r="E300" s="64">
        <f>D300*'16-PlantAdditions'!$E$103</f>
        <v>0</v>
      </c>
      <c r="F300" s="64">
        <f t="shared" si="57"/>
        <v>0</v>
      </c>
      <c r="G300" s="114">
        <v>0</v>
      </c>
      <c r="H300" s="114">
        <v>0</v>
      </c>
      <c r="I300" s="64">
        <f>(G300-H300)*'16-PlantAdditions'!$E$103</f>
        <v>0</v>
      </c>
      <c r="J300" s="64">
        <f t="shared" si="58"/>
        <v>-86111.999999988358</v>
      </c>
      <c r="K300" s="64">
        <f t="shared" si="59"/>
        <v>-48014271.539999984</v>
      </c>
    </row>
    <row r="301" spans="1:11" s="796" customFormat="1" x14ac:dyDescent="0.2">
      <c r="A301" s="117">
        <f t="shared" si="56"/>
        <v>232</v>
      </c>
      <c r="B301" s="759" t="s">
        <v>209</v>
      </c>
      <c r="C301" s="757">
        <v>2014</v>
      </c>
      <c r="D301" s="114">
        <v>0</v>
      </c>
      <c r="E301" s="64">
        <f>D301*'16-PlantAdditions'!$E$103</f>
        <v>0</v>
      </c>
      <c r="F301" s="64">
        <f t="shared" si="57"/>
        <v>0</v>
      </c>
      <c r="G301" s="114">
        <v>0</v>
      </c>
      <c r="H301" s="114">
        <v>0</v>
      </c>
      <c r="I301" s="64">
        <f>(G301-H301)*'16-PlantAdditions'!$E$103</f>
        <v>0</v>
      </c>
      <c r="J301" s="64">
        <f t="shared" si="58"/>
        <v>-86111.999999988358</v>
      </c>
      <c r="K301" s="64">
        <f t="shared" si="59"/>
        <v>-48014271.539999984</v>
      </c>
    </row>
    <row r="302" spans="1:11" s="796" customFormat="1" x14ac:dyDescent="0.2">
      <c r="A302" s="117">
        <f t="shared" si="56"/>
        <v>233</v>
      </c>
      <c r="B302" s="759" t="s">
        <v>212</v>
      </c>
      <c r="C302" s="757">
        <v>2014</v>
      </c>
      <c r="D302" s="114">
        <v>0</v>
      </c>
      <c r="E302" s="64">
        <f>D302*'16-PlantAdditions'!$E$103</f>
        <v>0</v>
      </c>
      <c r="F302" s="64">
        <f t="shared" ref="F302:F304" si="60">E302+D302</f>
        <v>0</v>
      </c>
      <c r="G302" s="114">
        <v>0</v>
      </c>
      <c r="H302" s="114">
        <v>0</v>
      </c>
      <c r="I302" s="64">
        <f>(G302-H302)*'16-PlantAdditions'!$E$103</f>
        <v>0</v>
      </c>
      <c r="J302" s="64">
        <f t="shared" ref="J302:J304" si="61">J301+F302-G302-I302</f>
        <v>-86111.999999988358</v>
      </c>
      <c r="K302" s="64">
        <f t="shared" si="59"/>
        <v>-48014271.539999984</v>
      </c>
    </row>
    <row r="303" spans="1:11" s="796" customFormat="1" x14ac:dyDescent="0.2">
      <c r="A303" s="117">
        <f t="shared" si="56"/>
        <v>234</v>
      </c>
      <c r="B303" s="759" t="s">
        <v>211</v>
      </c>
      <c r="C303" s="757">
        <v>2014</v>
      </c>
      <c r="D303" s="114">
        <v>0</v>
      </c>
      <c r="E303" s="64">
        <f>D303*'16-PlantAdditions'!$E$103</f>
        <v>0</v>
      </c>
      <c r="F303" s="64">
        <f t="shared" si="60"/>
        <v>0</v>
      </c>
      <c r="G303" s="114">
        <v>0</v>
      </c>
      <c r="H303" s="114">
        <v>0</v>
      </c>
      <c r="I303" s="64">
        <f>(G303-H303)*'16-PlantAdditions'!$E$103</f>
        <v>0</v>
      </c>
      <c r="J303" s="64">
        <f t="shared" si="61"/>
        <v>-86111.999999988358</v>
      </c>
      <c r="K303" s="64">
        <f t="shared" si="59"/>
        <v>-48014271.539999984</v>
      </c>
    </row>
    <row r="304" spans="1:11" s="796" customFormat="1" x14ac:dyDescent="0.2">
      <c r="A304" s="117">
        <f t="shared" si="56"/>
        <v>235</v>
      </c>
      <c r="B304" s="759" t="s">
        <v>201</v>
      </c>
      <c r="C304" s="757">
        <v>2014</v>
      </c>
      <c r="D304" s="114">
        <v>0</v>
      </c>
      <c r="E304" s="64">
        <f>D304*'16-PlantAdditions'!$E$103</f>
        <v>0</v>
      </c>
      <c r="F304" s="64">
        <f t="shared" si="60"/>
        <v>0</v>
      </c>
      <c r="G304" s="114">
        <v>0</v>
      </c>
      <c r="H304" s="114">
        <v>0</v>
      </c>
      <c r="I304" s="64">
        <f>(G304-H304)*'16-PlantAdditions'!$E$103</f>
        <v>0</v>
      </c>
      <c r="J304" s="64">
        <f t="shared" si="61"/>
        <v>-86111.999999988358</v>
      </c>
      <c r="K304" s="118">
        <f t="shared" si="59"/>
        <v>-48014271.539999984</v>
      </c>
    </row>
    <row r="305" spans="1:12" s="796" customFormat="1" x14ac:dyDescent="0.2">
      <c r="A305" s="117">
        <f t="shared" si="56"/>
        <v>236</v>
      </c>
      <c r="B305"/>
      <c r="C305" s="795" t="s">
        <v>1867</v>
      </c>
      <c r="D305"/>
      <c r="E305"/>
      <c r="F305"/>
      <c r="G305"/>
      <c r="H305"/>
      <c r="I305"/>
      <c r="J305"/>
      <c r="K305" s="78">
        <f>AVERAGE(K292:K304)</f>
        <v>-48014271.539999969</v>
      </c>
    </row>
    <row r="306" spans="1:12" s="796" customFormat="1" x14ac:dyDescent="0.2">
      <c r="A306" s="117"/>
      <c r="B306"/>
      <c r="C306" s="795"/>
      <c r="D306"/>
      <c r="E306"/>
      <c r="F306"/>
      <c r="G306"/>
      <c r="H306"/>
      <c r="I306"/>
      <c r="J306"/>
      <c r="K306" s="78"/>
    </row>
    <row r="307" spans="1:12" s="796" customFormat="1" x14ac:dyDescent="0.2">
      <c r="B307" s="797" t="s">
        <v>2414</v>
      </c>
      <c r="D307" s="1412" t="s">
        <v>2415</v>
      </c>
      <c r="E307" s="1412"/>
    </row>
    <row r="308" spans="1:12" s="796" customFormat="1" x14ac:dyDescent="0.2">
      <c r="A308" s="791"/>
      <c r="B308" s="791"/>
      <c r="C308" s="791"/>
      <c r="D308" s="791" t="s">
        <v>396</v>
      </c>
      <c r="E308" s="791" t="s">
        <v>380</v>
      </c>
      <c r="F308" s="791" t="s">
        <v>381</v>
      </c>
      <c r="G308" s="791" t="s">
        <v>382</v>
      </c>
      <c r="H308" s="791" t="s">
        <v>383</v>
      </c>
      <c r="I308" s="791" t="s">
        <v>384</v>
      </c>
      <c r="J308" s="791" t="s">
        <v>385</v>
      </c>
      <c r="K308" s="791" t="s">
        <v>599</v>
      </c>
    </row>
    <row r="309" spans="1:12" s="796" customFormat="1" ht="38.25" x14ac:dyDescent="0.2">
      <c r="D309" s="798"/>
      <c r="E309" s="799" t="s">
        <v>2762</v>
      </c>
      <c r="F309" s="800" t="s">
        <v>2399</v>
      </c>
      <c r="G309" s="557"/>
      <c r="H309" s="798"/>
      <c r="I309" s="799" t="s">
        <v>2763</v>
      </c>
      <c r="J309" s="799" t="s">
        <v>2400</v>
      </c>
      <c r="K309" s="799" t="s">
        <v>2401</v>
      </c>
    </row>
    <row r="310" spans="1:12" s="796" customFormat="1" x14ac:dyDescent="0.2">
      <c r="D310" s="798"/>
      <c r="E310" s="798"/>
      <c r="F310" s="798"/>
      <c r="G310" s="679" t="str">
        <f>G51</f>
        <v>Unloaded</v>
      </c>
      <c r="H310" s="798"/>
      <c r="I310" s="798"/>
    </row>
    <row r="311" spans="1:12" s="796" customFormat="1" x14ac:dyDescent="0.2">
      <c r="A311" s="793"/>
      <c r="B311" s="793"/>
      <c r="C311" s="793"/>
      <c r="D311" s="793" t="str">
        <f>D$52</f>
        <v>Forecast</v>
      </c>
      <c r="E311" s="793" t="str">
        <f t="shared" ref="E311:J311" si="62">E$52</f>
        <v>Corporate</v>
      </c>
      <c r="F311" s="793" t="str">
        <f t="shared" si="62"/>
        <v xml:space="preserve">Total </v>
      </c>
      <c r="G311" s="679" t="str">
        <f>G52</f>
        <v>Total</v>
      </c>
      <c r="H311" s="793" t="str">
        <f t="shared" si="62"/>
        <v>Prior Period</v>
      </c>
      <c r="I311" s="793" t="str">
        <f t="shared" si="62"/>
        <v>Over Heads</v>
      </c>
      <c r="J311" s="793" t="str">
        <f t="shared" si="62"/>
        <v>Forecast</v>
      </c>
      <c r="K311" s="679" t="str">
        <f>K$52</f>
        <v>Forecast Period</v>
      </c>
    </row>
    <row r="312" spans="1:12" s="796" customFormat="1" x14ac:dyDescent="0.2">
      <c r="A312" s="1114" t="s">
        <v>362</v>
      </c>
      <c r="B312" s="755" t="s">
        <v>213</v>
      </c>
      <c r="C312" s="755" t="s">
        <v>214</v>
      </c>
      <c r="D312" s="791" t="str">
        <f>D$53</f>
        <v>Expenditures</v>
      </c>
      <c r="E312" s="791" t="str">
        <f t="shared" ref="E312:J312" si="63">E$53</f>
        <v>Overheads</v>
      </c>
      <c r="F312" s="791" t="str">
        <f t="shared" si="63"/>
        <v>CWIP Exp</v>
      </c>
      <c r="G312" s="3" t="str">
        <f>G53</f>
        <v>Plant Adds</v>
      </c>
      <c r="H312" s="791" t="str">
        <f t="shared" si="63"/>
        <v>CWIP Closed</v>
      </c>
      <c r="I312" s="791" t="str">
        <f t="shared" si="63"/>
        <v>Closed to PIS</v>
      </c>
      <c r="J312" s="791" t="str">
        <f t="shared" si="63"/>
        <v>Period CWIP</v>
      </c>
      <c r="K312" s="791" t="str">
        <f>K$53</f>
        <v>Incremental CWIP</v>
      </c>
    </row>
    <row r="313" spans="1:12" s="796" customFormat="1" x14ac:dyDescent="0.2">
      <c r="A313" s="117">
        <f>A305+1</f>
        <v>237</v>
      </c>
      <c r="B313" s="756" t="s">
        <v>201</v>
      </c>
      <c r="C313" s="757">
        <v>2012</v>
      </c>
      <c r="D313" s="800" t="s">
        <v>88</v>
      </c>
      <c r="E313" s="800" t="s">
        <v>88</v>
      </c>
      <c r="F313" s="800" t="s">
        <v>88</v>
      </c>
      <c r="G313" s="800" t="s">
        <v>88</v>
      </c>
      <c r="H313" s="800" t="s">
        <v>88</v>
      </c>
      <c r="I313" s="800" t="s">
        <v>88</v>
      </c>
      <c r="J313" s="64">
        <f>F45</f>
        <v>10360459.710000001</v>
      </c>
      <c r="K313" s="800" t="s">
        <v>88</v>
      </c>
    </row>
    <row r="314" spans="1:12" s="796" customFormat="1" x14ac:dyDescent="0.2">
      <c r="A314" s="117">
        <f>A313+1</f>
        <v>238</v>
      </c>
      <c r="B314" s="756" t="s">
        <v>202</v>
      </c>
      <c r="C314" s="757">
        <v>2013</v>
      </c>
      <c r="D314" s="114">
        <v>1276239.78</v>
      </c>
      <c r="E314" s="64">
        <f>D314*'16-PlantAdditions'!$E$103</f>
        <v>95717.983500000002</v>
      </c>
      <c r="F314" s="64">
        <f>E314+D314</f>
        <v>1371957.7635000001</v>
      </c>
      <c r="G314" s="114">
        <v>0</v>
      </c>
      <c r="H314" s="114">
        <v>0</v>
      </c>
      <c r="I314" s="64">
        <f>(G314-H314)*'16-PlantAdditions'!$E$103</f>
        <v>0</v>
      </c>
      <c r="J314" s="64">
        <f>J313+F314-G314-I314</f>
        <v>11732417.4735</v>
      </c>
      <c r="K314" s="64">
        <f>J314-$J$313</f>
        <v>1371957.7634999994</v>
      </c>
      <c r="L314" s="793"/>
    </row>
    <row r="315" spans="1:12" s="796" customFormat="1" x14ac:dyDescent="0.2">
      <c r="A315" s="117">
        <f t="shared" ref="A315:A338" si="64">A314+1</f>
        <v>239</v>
      </c>
      <c r="B315" s="759" t="s">
        <v>203</v>
      </c>
      <c r="C315" s="757">
        <v>2013</v>
      </c>
      <c r="D315" s="114">
        <v>745520.67</v>
      </c>
      <c r="E315" s="64">
        <f>D315*'16-PlantAdditions'!$E$103</f>
        <v>55914.05025</v>
      </c>
      <c r="F315" s="64">
        <f t="shared" ref="F315:F334" si="65">E315+D315</f>
        <v>801434.72025000001</v>
      </c>
      <c r="G315" s="114">
        <v>0</v>
      </c>
      <c r="H315" s="114">
        <v>0</v>
      </c>
      <c r="I315" s="64">
        <f>(G315-H315)*'16-PlantAdditions'!$E$103</f>
        <v>0</v>
      </c>
      <c r="J315" s="64">
        <f t="shared" ref="J315:J334" si="66">J314+F315-G315-I315</f>
        <v>12533852.19375</v>
      </c>
      <c r="K315" s="64">
        <f t="shared" ref="K315:K337" si="67">J315-$J$313</f>
        <v>2173392.4837499987</v>
      </c>
      <c r="L315" s="793"/>
    </row>
    <row r="316" spans="1:12" s="796" customFormat="1" x14ac:dyDescent="0.2">
      <c r="A316" s="117">
        <f t="shared" si="64"/>
        <v>240</v>
      </c>
      <c r="B316" s="759" t="s">
        <v>216</v>
      </c>
      <c r="C316" s="757">
        <v>2013</v>
      </c>
      <c r="D316" s="114">
        <v>785803.62999999966</v>
      </c>
      <c r="E316" s="64">
        <f>D316*'16-PlantAdditions'!$E$103</f>
        <v>58935.272249999973</v>
      </c>
      <c r="F316" s="64">
        <f t="shared" si="65"/>
        <v>844738.90224999958</v>
      </c>
      <c r="G316" s="114">
        <v>0</v>
      </c>
      <c r="H316" s="114">
        <v>0</v>
      </c>
      <c r="I316" s="64">
        <f>(G316-H316)*'16-PlantAdditions'!$E$103</f>
        <v>0</v>
      </c>
      <c r="J316" s="64">
        <f t="shared" si="66"/>
        <v>13378591.095999999</v>
      </c>
      <c r="K316" s="64">
        <f t="shared" si="67"/>
        <v>3018131.3859999981</v>
      </c>
      <c r="L316" s="793"/>
    </row>
    <row r="317" spans="1:12" s="796" customFormat="1" x14ac:dyDescent="0.2">
      <c r="A317" s="117">
        <f t="shared" si="64"/>
        <v>241</v>
      </c>
      <c r="B317" s="756" t="s">
        <v>204</v>
      </c>
      <c r="C317" s="757">
        <v>2013</v>
      </c>
      <c r="D317" s="114">
        <v>1284184</v>
      </c>
      <c r="E317" s="64">
        <f>D317*'16-PlantAdditions'!$E$103</f>
        <v>96313.8</v>
      </c>
      <c r="F317" s="64">
        <f t="shared" si="65"/>
        <v>1380497.8</v>
      </c>
      <c r="G317" s="114">
        <v>0</v>
      </c>
      <c r="H317" s="114">
        <v>0</v>
      </c>
      <c r="I317" s="64">
        <f>(G317-H317)*'16-PlantAdditions'!$E$103</f>
        <v>0</v>
      </c>
      <c r="J317" s="64">
        <f t="shared" si="66"/>
        <v>14759088.896</v>
      </c>
      <c r="K317" s="64">
        <f t="shared" si="67"/>
        <v>4398629.1859999988</v>
      </c>
      <c r="L317" s="791"/>
    </row>
    <row r="318" spans="1:12" s="796" customFormat="1" x14ac:dyDescent="0.2">
      <c r="A318" s="117">
        <f t="shared" si="64"/>
        <v>242</v>
      </c>
      <c r="B318" s="759" t="s">
        <v>205</v>
      </c>
      <c r="C318" s="757">
        <v>2013</v>
      </c>
      <c r="D318" s="114">
        <v>1174175</v>
      </c>
      <c r="E318" s="64">
        <f>D318*'16-PlantAdditions'!$E$103</f>
        <v>88063.125</v>
      </c>
      <c r="F318" s="64">
        <f t="shared" si="65"/>
        <v>1262238.125</v>
      </c>
      <c r="G318" s="114">
        <v>0</v>
      </c>
      <c r="H318" s="114">
        <v>0</v>
      </c>
      <c r="I318" s="64">
        <f>(G318-H318)*'16-PlantAdditions'!$E$103</f>
        <v>0</v>
      </c>
      <c r="J318" s="64">
        <f t="shared" si="66"/>
        <v>16021327.021</v>
      </c>
      <c r="K318" s="64">
        <f t="shared" si="67"/>
        <v>5660867.3109999988</v>
      </c>
    </row>
    <row r="319" spans="1:12" s="796" customFormat="1" x14ac:dyDescent="0.2">
      <c r="A319" s="117">
        <f t="shared" si="64"/>
        <v>243</v>
      </c>
      <c r="B319" s="759" t="s">
        <v>1690</v>
      </c>
      <c r="C319" s="757">
        <v>2013</v>
      </c>
      <c r="D319" s="114">
        <v>1182689.2857142857</v>
      </c>
      <c r="E319" s="64">
        <f>D319*'16-PlantAdditions'!$E$103</f>
        <v>88701.69642857142</v>
      </c>
      <c r="F319" s="64">
        <f t="shared" si="65"/>
        <v>1271390.982142857</v>
      </c>
      <c r="G319" s="114">
        <v>0</v>
      </c>
      <c r="H319" s="114">
        <v>0</v>
      </c>
      <c r="I319" s="64">
        <f>(G319-H319)*'16-PlantAdditions'!$E$103</f>
        <v>0</v>
      </c>
      <c r="J319" s="64">
        <f t="shared" si="66"/>
        <v>17292718.003142856</v>
      </c>
      <c r="K319" s="64">
        <f t="shared" si="67"/>
        <v>6932258.2931428552</v>
      </c>
    </row>
    <row r="320" spans="1:12" s="796" customFormat="1" x14ac:dyDescent="0.2">
      <c r="A320" s="117">
        <f t="shared" si="64"/>
        <v>244</v>
      </c>
      <c r="B320" s="756" t="s">
        <v>207</v>
      </c>
      <c r="C320" s="757">
        <v>2013</v>
      </c>
      <c r="D320" s="114">
        <v>1079654</v>
      </c>
      <c r="E320" s="64">
        <f>D320*'16-PlantAdditions'!$E$103</f>
        <v>80974.05</v>
      </c>
      <c r="F320" s="64">
        <f t="shared" si="65"/>
        <v>1160628.05</v>
      </c>
      <c r="G320" s="114">
        <v>0</v>
      </c>
      <c r="H320" s="114">
        <v>0</v>
      </c>
      <c r="I320" s="64">
        <f>(G320-H320)*'16-PlantAdditions'!$E$103</f>
        <v>0</v>
      </c>
      <c r="J320" s="64">
        <f t="shared" si="66"/>
        <v>18453346.053142857</v>
      </c>
      <c r="K320" s="64">
        <f t="shared" si="67"/>
        <v>8092886.3431428559</v>
      </c>
    </row>
    <row r="321" spans="1:11" s="796" customFormat="1" x14ac:dyDescent="0.2">
      <c r="A321" s="117">
        <f t="shared" si="64"/>
        <v>245</v>
      </c>
      <c r="B321" s="759" t="s">
        <v>208</v>
      </c>
      <c r="C321" s="757">
        <v>2013</v>
      </c>
      <c r="D321" s="114">
        <v>973841.18812737463</v>
      </c>
      <c r="E321" s="64">
        <f>D321*'16-PlantAdditions'!$E$103</f>
        <v>73038.089109553097</v>
      </c>
      <c r="F321" s="64">
        <f t="shared" si="65"/>
        <v>1046879.2772369278</v>
      </c>
      <c r="G321" s="114">
        <v>0</v>
      </c>
      <c r="H321" s="114">
        <v>0</v>
      </c>
      <c r="I321" s="64">
        <f>(G321-H321)*'16-PlantAdditions'!$E$103</f>
        <v>0</v>
      </c>
      <c r="J321" s="64">
        <f t="shared" si="66"/>
        <v>19500225.330379784</v>
      </c>
      <c r="K321" s="64">
        <f t="shared" si="67"/>
        <v>9139765.6203797832</v>
      </c>
    </row>
    <row r="322" spans="1:11" s="796" customFormat="1" x14ac:dyDescent="0.2">
      <c r="A322" s="117">
        <f t="shared" si="64"/>
        <v>246</v>
      </c>
      <c r="B322" s="759" t="s">
        <v>209</v>
      </c>
      <c r="C322" s="757">
        <v>2013</v>
      </c>
      <c r="D322" s="114">
        <v>836888</v>
      </c>
      <c r="E322" s="64">
        <f>D322*'16-PlantAdditions'!$E$103</f>
        <v>62766.6</v>
      </c>
      <c r="F322" s="64">
        <f t="shared" si="65"/>
        <v>899654.6</v>
      </c>
      <c r="G322" s="114">
        <v>0</v>
      </c>
      <c r="H322" s="114">
        <v>0</v>
      </c>
      <c r="I322" s="64">
        <f>(G322-H322)*'16-PlantAdditions'!$E$103</f>
        <v>0</v>
      </c>
      <c r="J322" s="64">
        <f t="shared" si="66"/>
        <v>20399879.930379786</v>
      </c>
      <c r="K322" s="64">
        <f t="shared" si="67"/>
        <v>10039420.220379785</v>
      </c>
    </row>
    <row r="323" spans="1:11" s="796" customFormat="1" x14ac:dyDescent="0.2">
      <c r="A323" s="117">
        <f t="shared" si="64"/>
        <v>247</v>
      </c>
      <c r="B323" s="756" t="s">
        <v>212</v>
      </c>
      <c r="C323" s="757">
        <v>2013</v>
      </c>
      <c r="D323" s="114">
        <v>824970.12830138986</v>
      </c>
      <c r="E323" s="64">
        <f>D323*'16-PlantAdditions'!$E$103</f>
        <v>61872.759622604237</v>
      </c>
      <c r="F323" s="64">
        <f t="shared" si="65"/>
        <v>886842.8879239941</v>
      </c>
      <c r="G323" s="114">
        <v>0</v>
      </c>
      <c r="H323" s="114">
        <v>0</v>
      </c>
      <c r="I323" s="64">
        <f>(G323-H323)*'16-PlantAdditions'!$E$103</f>
        <v>0</v>
      </c>
      <c r="J323" s="64">
        <f t="shared" si="66"/>
        <v>21286722.818303779</v>
      </c>
      <c r="K323" s="64">
        <f t="shared" si="67"/>
        <v>10926263.108303778</v>
      </c>
    </row>
    <row r="324" spans="1:11" s="796" customFormat="1" x14ac:dyDescent="0.2">
      <c r="A324" s="117">
        <f t="shared" si="64"/>
        <v>248</v>
      </c>
      <c r="B324" s="756" t="s">
        <v>211</v>
      </c>
      <c r="C324" s="757">
        <v>2013</v>
      </c>
      <c r="D324" s="114">
        <v>879755</v>
      </c>
      <c r="E324" s="64">
        <f>D324*'16-PlantAdditions'!$E$103</f>
        <v>65981.625</v>
      </c>
      <c r="F324" s="64">
        <f t="shared" si="65"/>
        <v>945736.625</v>
      </c>
      <c r="G324" s="114">
        <v>0</v>
      </c>
      <c r="H324" s="114">
        <v>0</v>
      </c>
      <c r="I324" s="64">
        <f>(G324-H324)*'16-PlantAdditions'!$E$103</f>
        <v>0</v>
      </c>
      <c r="J324" s="64">
        <f t="shared" si="66"/>
        <v>22232459.443303779</v>
      </c>
      <c r="K324" s="64">
        <f t="shared" si="67"/>
        <v>11871999.733303778</v>
      </c>
    </row>
    <row r="325" spans="1:11" s="796" customFormat="1" x14ac:dyDescent="0.2">
      <c r="A325" s="117">
        <f t="shared" si="64"/>
        <v>249</v>
      </c>
      <c r="B325" s="756" t="s">
        <v>201</v>
      </c>
      <c r="C325" s="757">
        <v>2013</v>
      </c>
      <c r="D325" s="114">
        <v>1028279.6369289192</v>
      </c>
      <c r="E325" s="64">
        <f>D325*'16-PlantAdditions'!$E$103</f>
        <v>77120.972769668937</v>
      </c>
      <c r="F325" s="64">
        <f t="shared" si="65"/>
        <v>1105400.6096985883</v>
      </c>
      <c r="G325" s="114">
        <v>0</v>
      </c>
      <c r="H325" s="114">
        <v>0</v>
      </c>
      <c r="I325" s="64">
        <f>(G325-H325)*'16-PlantAdditions'!$E$103</f>
        <v>0</v>
      </c>
      <c r="J325" s="64">
        <f t="shared" si="66"/>
        <v>23337860.053002369</v>
      </c>
      <c r="K325" s="64">
        <f t="shared" si="67"/>
        <v>12977400.343002368</v>
      </c>
    </row>
    <row r="326" spans="1:11" s="796" customFormat="1" x14ac:dyDescent="0.2">
      <c r="A326" s="117">
        <f t="shared" si="64"/>
        <v>250</v>
      </c>
      <c r="B326" s="756" t="s">
        <v>202</v>
      </c>
      <c r="C326" s="757">
        <v>2014</v>
      </c>
      <c r="D326" s="114">
        <v>872952.67674797843</v>
      </c>
      <c r="E326" s="64">
        <f>D326*'16-PlantAdditions'!$E$103</f>
        <v>65471.450756098377</v>
      </c>
      <c r="F326" s="64">
        <f t="shared" si="65"/>
        <v>938424.12750407681</v>
      </c>
      <c r="G326" s="114">
        <v>0</v>
      </c>
      <c r="H326" s="114">
        <v>0</v>
      </c>
      <c r="I326" s="64">
        <f>(G326-H326)*'16-PlantAdditions'!$E$103</f>
        <v>0</v>
      </c>
      <c r="J326" s="64">
        <f t="shared" si="66"/>
        <v>24276284.180506445</v>
      </c>
      <c r="K326" s="64">
        <f t="shared" si="67"/>
        <v>13915824.470506445</v>
      </c>
    </row>
    <row r="327" spans="1:11" s="796" customFormat="1" x14ac:dyDescent="0.2">
      <c r="A327" s="117">
        <f t="shared" si="64"/>
        <v>251</v>
      </c>
      <c r="B327" s="759" t="s">
        <v>203</v>
      </c>
      <c r="C327" s="757">
        <v>2014</v>
      </c>
      <c r="D327" s="114">
        <v>902084.57068167999</v>
      </c>
      <c r="E327" s="64">
        <f>D327*'16-PlantAdditions'!$E$103</f>
        <v>67656.342801125997</v>
      </c>
      <c r="F327" s="64">
        <f t="shared" si="65"/>
        <v>969740.91348280595</v>
      </c>
      <c r="G327" s="114">
        <v>0</v>
      </c>
      <c r="H327" s="114">
        <v>0</v>
      </c>
      <c r="I327" s="64">
        <f>(G327-H327)*'16-PlantAdditions'!$E$103</f>
        <v>0</v>
      </c>
      <c r="J327" s="64">
        <f t="shared" si="66"/>
        <v>25246025.093989253</v>
      </c>
      <c r="K327" s="64">
        <f t="shared" si="67"/>
        <v>14885565.383989252</v>
      </c>
    </row>
    <row r="328" spans="1:11" s="796" customFormat="1" x14ac:dyDescent="0.2">
      <c r="A328" s="117">
        <f t="shared" si="64"/>
        <v>252</v>
      </c>
      <c r="B328" s="759" t="s">
        <v>216</v>
      </c>
      <c r="C328" s="757">
        <v>2014</v>
      </c>
      <c r="D328" s="114">
        <v>934430.20597112982</v>
      </c>
      <c r="E328" s="64">
        <f>D328*'16-PlantAdditions'!$E$103</f>
        <v>70082.265447834739</v>
      </c>
      <c r="F328" s="64">
        <f t="shared" si="65"/>
        <v>1004512.4714189646</v>
      </c>
      <c r="G328" s="114">
        <v>0</v>
      </c>
      <c r="H328" s="114">
        <v>0</v>
      </c>
      <c r="I328" s="64">
        <f>(G328-H328)*'16-PlantAdditions'!$E$103</f>
        <v>0</v>
      </c>
      <c r="J328" s="64">
        <f t="shared" si="66"/>
        <v>26250537.565408219</v>
      </c>
      <c r="K328" s="64">
        <f t="shared" si="67"/>
        <v>15890077.855408218</v>
      </c>
    </row>
    <row r="329" spans="1:11" s="796" customFormat="1" x14ac:dyDescent="0.2">
      <c r="A329" s="117">
        <f t="shared" si="64"/>
        <v>253</v>
      </c>
      <c r="B329" s="756" t="s">
        <v>204</v>
      </c>
      <c r="C329" s="757">
        <v>2014</v>
      </c>
      <c r="D329" s="114">
        <v>950785.00322950177</v>
      </c>
      <c r="E329" s="64">
        <f>D329*'16-PlantAdditions'!$E$103</f>
        <v>71308.875242212627</v>
      </c>
      <c r="F329" s="64">
        <f t="shared" si="65"/>
        <v>1022093.8784717144</v>
      </c>
      <c r="G329" s="114">
        <v>0</v>
      </c>
      <c r="H329" s="114">
        <v>0</v>
      </c>
      <c r="I329" s="64">
        <f>(G329-H329)*'16-PlantAdditions'!$E$103</f>
        <v>0</v>
      </c>
      <c r="J329" s="64">
        <f t="shared" si="66"/>
        <v>27272631.443879932</v>
      </c>
      <c r="K329" s="64">
        <f t="shared" si="67"/>
        <v>16912171.733879931</v>
      </c>
    </row>
    <row r="330" spans="1:11" s="796" customFormat="1" x14ac:dyDescent="0.2">
      <c r="A330" s="117">
        <f t="shared" si="64"/>
        <v>254</v>
      </c>
      <c r="B330" s="759" t="s">
        <v>205</v>
      </c>
      <c r="C330" s="757">
        <v>2014</v>
      </c>
      <c r="D330" s="114">
        <v>952732.80292912317</v>
      </c>
      <c r="E330" s="64">
        <f>D330*'16-PlantAdditions'!$E$103</f>
        <v>71454.960219684232</v>
      </c>
      <c r="F330" s="64">
        <f t="shared" si="65"/>
        <v>1024187.7631488075</v>
      </c>
      <c r="G330" s="114">
        <v>0</v>
      </c>
      <c r="H330" s="114">
        <v>0</v>
      </c>
      <c r="I330" s="64">
        <f>(G330-H330)*'16-PlantAdditions'!$E$103</f>
        <v>0</v>
      </c>
      <c r="J330" s="64">
        <f t="shared" si="66"/>
        <v>28296819.207028739</v>
      </c>
      <c r="K330" s="64">
        <f t="shared" si="67"/>
        <v>17936359.497028738</v>
      </c>
    </row>
    <row r="331" spans="1:11" s="796" customFormat="1" x14ac:dyDescent="0.2">
      <c r="A331" s="117">
        <f t="shared" si="64"/>
        <v>255</v>
      </c>
      <c r="B331" s="759" t="s">
        <v>1690</v>
      </c>
      <c r="C331" s="757">
        <v>2014</v>
      </c>
      <c r="D331" s="114">
        <v>967332.34303844138</v>
      </c>
      <c r="E331" s="64">
        <f>D331*'16-PlantAdditions'!$E$103</f>
        <v>72549.925727883106</v>
      </c>
      <c r="F331" s="64">
        <f t="shared" si="65"/>
        <v>1039882.2687663245</v>
      </c>
      <c r="G331" s="114">
        <v>0</v>
      </c>
      <c r="H331" s="114">
        <v>0</v>
      </c>
      <c r="I331" s="64">
        <f>(G331-H331)*'16-PlantAdditions'!$E$103</f>
        <v>0</v>
      </c>
      <c r="J331" s="64">
        <f t="shared" si="66"/>
        <v>29336701.475795064</v>
      </c>
      <c r="K331" s="64">
        <f t="shared" si="67"/>
        <v>18976241.765795063</v>
      </c>
    </row>
    <row r="332" spans="1:11" s="796" customFormat="1" x14ac:dyDescent="0.2">
      <c r="A332" s="117">
        <f t="shared" si="64"/>
        <v>256</v>
      </c>
      <c r="B332" s="756" t="s">
        <v>207</v>
      </c>
      <c r="C332" s="757">
        <v>2014</v>
      </c>
      <c r="D332" s="114">
        <v>981377.92842821812</v>
      </c>
      <c r="E332" s="64">
        <f>D332*'16-PlantAdditions'!$E$103</f>
        <v>73603.34463211635</v>
      </c>
      <c r="F332" s="64">
        <f t="shared" si="65"/>
        <v>1054981.2730603344</v>
      </c>
      <c r="G332" s="114">
        <v>0</v>
      </c>
      <c r="H332" s="114">
        <v>0</v>
      </c>
      <c r="I332" s="64">
        <f>(G332-H332)*'16-PlantAdditions'!$E$103</f>
        <v>0</v>
      </c>
      <c r="J332" s="64">
        <f t="shared" si="66"/>
        <v>30391682.748855397</v>
      </c>
      <c r="K332" s="64">
        <f t="shared" si="67"/>
        <v>20031223.038855396</v>
      </c>
    </row>
    <row r="333" spans="1:11" s="796" customFormat="1" x14ac:dyDescent="0.2">
      <c r="A333" s="117">
        <f t="shared" si="64"/>
        <v>257</v>
      </c>
      <c r="B333" s="759" t="s">
        <v>208</v>
      </c>
      <c r="C333" s="757">
        <v>2014</v>
      </c>
      <c r="D333" s="114">
        <v>1348498.8137382169</v>
      </c>
      <c r="E333" s="64">
        <f>D333*'16-PlantAdditions'!$E$103</f>
        <v>101137.41103036626</v>
      </c>
      <c r="F333" s="64">
        <f t="shared" si="65"/>
        <v>1449636.2247685832</v>
      </c>
      <c r="G333" s="114">
        <v>0</v>
      </c>
      <c r="H333" s="114">
        <v>0</v>
      </c>
      <c r="I333" s="64">
        <f>(G333-H333)*'16-PlantAdditions'!$E$103</f>
        <v>0</v>
      </c>
      <c r="J333" s="64">
        <f t="shared" si="66"/>
        <v>31841318.97362398</v>
      </c>
      <c r="K333" s="64">
        <f t="shared" si="67"/>
        <v>21480859.263623979</v>
      </c>
    </row>
    <row r="334" spans="1:11" s="796" customFormat="1" x14ac:dyDescent="0.2">
      <c r="A334" s="117">
        <f t="shared" si="64"/>
        <v>258</v>
      </c>
      <c r="B334" s="759" t="s">
        <v>209</v>
      </c>
      <c r="C334" s="757">
        <v>2014</v>
      </c>
      <c r="D334" s="114">
        <v>1196586.7642888366</v>
      </c>
      <c r="E334" s="64">
        <f>D334*'16-PlantAdditions'!$E$103</f>
        <v>89744.00732166275</v>
      </c>
      <c r="F334" s="64">
        <f t="shared" si="65"/>
        <v>1286330.7716104994</v>
      </c>
      <c r="G334" s="114">
        <v>0</v>
      </c>
      <c r="H334" s="114">
        <v>0</v>
      </c>
      <c r="I334" s="64">
        <f>(G334-H334)*'16-PlantAdditions'!$E$103</f>
        <v>0</v>
      </c>
      <c r="J334" s="64">
        <f t="shared" si="66"/>
        <v>33127649.745234478</v>
      </c>
      <c r="K334" s="64">
        <f t="shared" si="67"/>
        <v>22767190.035234477</v>
      </c>
    </row>
    <row r="335" spans="1:11" s="796" customFormat="1" x14ac:dyDescent="0.2">
      <c r="A335" s="117">
        <f t="shared" si="64"/>
        <v>259</v>
      </c>
      <c r="B335" s="759" t="s">
        <v>212</v>
      </c>
      <c r="C335" s="757">
        <v>2014</v>
      </c>
      <c r="D335" s="114">
        <v>1874677.2074983111</v>
      </c>
      <c r="E335" s="64">
        <f>D335*'16-PlantAdditions'!$E$103</f>
        <v>140600.79056237332</v>
      </c>
      <c r="F335" s="64">
        <f t="shared" ref="F335:F337" si="68">E335+D335</f>
        <v>2015277.9980606844</v>
      </c>
      <c r="G335" s="114">
        <v>0</v>
      </c>
      <c r="H335" s="114">
        <v>0</v>
      </c>
      <c r="I335" s="64">
        <f>(G335-H335)*'16-PlantAdditions'!$E$103</f>
        <v>0</v>
      </c>
      <c r="J335" s="64">
        <f t="shared" ref="J335:J337" si="69">J334+F335-G335-I335</f>
        <v>35142927.743295163</v>
      </c>
      <c r="K335" s="64">
        <f t="shared" si="67"/>
        <v>24782468.033295162</v>
      </c>
    </row>
    <row r="336" spans="1:11" s="796" customFormat="1" x14ac:dyDescent="0.2">
      <c r="A336" s="117">
        <f t="shared" si="64"/>
        <v>260</v>
      </c>
      <c r="B336" s="759" t="s">
        <v>211</v>
      </c>
      <c r="C336" s="757">
        <v>2014</v>
      </c>
      <c r="D336" s="114">
        <v>1678936.1877911217</v>
      </c>
      <c r="E336" s="64">
        <f>D336*'16-PlantAdditions'!$E$103</f>
        <v>125920.21408433412</v>
      </c>
      <c r="F336" s="64">
        <f t="shared" si="68"/>
        <v>1804856.4018754559</v>
      </c>
      <c r="G336" s="114">
        <v>0</v>
      </c>
      <c r="H336" s="114">
        <v>0</v>
      </c>
      <c r="I336" s="64">
        <f>(G336-H336)*'16-PlantAdditions'!$E$103</f>
        <v>0</v>
      </c>
      <c r="J336" s="64">
        <f t="shared" si="69"/>
        <v>36947784.145170622</v>
      </c>
      <c r="K336" s="64">
        <f t="shared" si="67"/>
        <v>26587324.435170621</v>
      </c>
    </row>
    <row r="337" spans="1:11" s="796" customFormat="1" x14ac:dyDescent="0.2">
      <c r="A337" s="117">
        <f t="shared" si="64"/>
        <v>261</v>
      </c>
      <c r="B337" s="759" t="s">
        <v>201</v>
      </c>
      <c r="C337" s="757">
        <v>2014</v>
      </c>
      <c r="D337" s="114">
        <v>1865326.3147956529</v>
      </c>
      <c r="E337" s="64">
        <f>D337*'16-PlantAdditions'!$E$103</f>
        <v>139899.47360967397</v>
      </c>
      <c r="F337" s="64">
        <f t="shared" si="68"/>
        <v>2005225.7884053269</v>
      </c>
      <c r="G337" s="114">
        <v>0</v>
      </c>
      <c r="H337" s="114">
        <v>0</v>
      </c>
      <c r="I337" s="64">
        <f>(G337-H337)*'16-PlantAdditions'!$E$103</f>
        <v>0</v>
      </c>
      <c r="J337" s="64">
        <f t="shared" si="69"/>
        <v>38953009.933575951</v>
      </c>
      <c r="K337" s="118">
        <f t="shared" si="67"/>
        <v>28592550.22357595</v>
      </c>
    </row>
    <row r="338" spans="1:11" s="796" customFormat="1" x14ac:dyDescent="0.2">
      <c r="A338" s="117">
        <f t="shared" si="64"/>
        <v>262</v>
      </c>
      <c r="B338"/>
      <c r="C338" s="795" t="s">
        <v>1867</v>
      </c>
      <c r="D338"/>
      <c r="E338"/>
      <c r="F338"/>
      <c r="G338"/>
      <c r="H338"/>
      <c r="I338"/>
      <c r="J338"/>
      <c r="K338" s="78">
        <f>AVERAGE(K325:K337)</f>
        <v>19671942.775335815</v>
      </c>
    </row>
    <row r="339" spans="1:11" s="796" customFormat="1" x14ac:dyDescent="0.2">
      <c r="A339" s="117"/>
      <c r="B339"/>
      <c r="C339" s="795"/>
      <c r="D339"/>
      <c r="E339"/>
      <c r="F339"/>
      <c r="G339"/>
      <c r="H339"/>
      <c r="I339"/>
      <c r="J339"/>
      <c r="K339" s="78"/>
    </row>
    <row r="340" spans="1:11" s="796" customFormat="1" x14ac:dyDescent="0.2">
      <c r="B340" s="797" t="s">
        <v>2416</v>
      </c>
      <c r="D340" s="1412" t="s">
        <v>2417</v>
      </c>
      <c r="E340" s="1412"/>
    </row>
    <row r="341" spans="1:11" s="796" customFormat="1" x14ac:dyDescent="0.2">
      <c r="D341" s="798"/>
      <c r="E341" s="798"/>
      <c r="F341" s="798"/>
      <c r="G341" s="679" t="str">
        <f>G51</f>
        <v>Unloaded</v>
      </c>
      <c r="H341" s="798"/>
      <c r="I341" s="798"/>
    </row>
    <row r="342" spans="1:11" s="796" customFormat="1" x14ac:dyDescent="0.2">
      <c r="A342" s="793"/>
      <c r="B342" s="793"/>
      <c r="C342" s="793"/>
      <c r="D342" s="793" t="str">
        <f>D$52</f>
        <v>Forecast</v>
      </c>
      <c r="E342" s="793" t="str">
        <f t="shared" ref="E342:J342" si="70">E$52</f>
        <v>Corporate</v>
      </c>
      <c r="F342" s="793" t="str">
        <f t="shared" si="70"/>
        <v xml:space="preserve">Total </v>
      </c>
      <c r="G342" s="679" t="str">
        <f>G52</f>
        <v>Total</v>
      </c>
      <c r="H342" s="793" t="str">
        <f t="shared" si="70"/>
        <v>Prior Period</v>
      </c>
      <c r="I342" s="793" t="str">
        <f t="shared" si="70"/>
        <v>Over Heads</v>
      </c>
      <c r="J342" s="793" t="str">
        <f t="shared" si="70"/>
        <v>Forecast</v>
      </c>
      <c r="K342" s="679" t="str">
        <f>K$52</f>
        <v>Forecast Period</v>
      </c>
    </row>
    <row r="343" spans="1:11" s="796" customFormat="1" x14ac:dyDescent="0.2">
      <c r="A343" s="1114" t="s">
        <v>362</v>
      </c>
      <c r="B343" s="755" t="s">
        <v>213</v>
      </c>
      <c r="C343" s="755" t="s">
        <v>214</v>
      </c>
      <c r="D343" s="791" t="str">
        <f>D$53</f>
        <v>Expenditures</v>
      </c>
      <c r="E343" s="791" t="str">
        <f t="shared" ref="E343:J343" si="71">E$53</f>
        <v>Overheads</v>
      </c>
      <c r="F343" s="791" t="str">
        <f t="shared" si="71"/>
        <v>CWIP Exp</v>
      </c>
      <c r="G343" s="3" t="str">
        <f>G53</f>
        <v>Plant Adds</v>
      </c>
      <c r="H343" s="791" t="str">
        <f t="shared" si="71"/>
        <v>CWIP Closed</v>
      </c>
      <c r="I343" s="791" t="str">
        <f t="shared" si="71"/>
        <v>Closed to PIS</v>
      </c>
      <c r="J343" s="791" t="str">
        <f t="shared" si="71"/>
        <v>Period CWIP</v>
      </c>
      <c r="K343" s="791" t="str">
        <f>K$53</f>
        <v>Incremental CWIP</v>
      </c>
    </row>
    <row r="344" spans="1:11" s="796" customFormat="1" x14ac:dyDescent="0.2">
      <c r="A344" s="117">
        <f>A338+1</f>
        <v>263</v>
      </c>
      <c r="B344" s="756" t="s">
        <v>201</v>
      </c>
      <c r="C344" s="757">
        <v>2012</v>
      </c>
      <c r="D344" s="800" t="s">
        <v>88</v>
      </c>
      <c r="E344" s="800" t="s">
        <v>88</v>
      </c>
      <c r="F344" s="800" t="s">
        <v>88</v>
      </c>
      <c r="G344" s="800" t="s">
        <v>88</v>
      </c>
      <c r="H344" s="800" t="s">
        <v>88</v>
      </c>
      <c r="I344" s="800" t="s">
        <v>88</v>
      </c>
      <c r="J344" s="64">
        <f>G45</f>
        <v>11494421.74613302</v>
      </c>
      <c r="K344" s="800" t="s">
        <v>88</v>
      </c>
    </row>
    <row r="345" spans="1:11" s="796" customFormat="1" x14ac:dyDescent="0.2">
      <c r="A345" s="117">
        <f>A344+1</f>
        <v>264</v>
      </c>
      <c r="B345" s="756" t="s">
        <v>202</v>
      </c>
      <c r="C345" s="757">
        <v>2013</v>
      </c>
      <c r="D345" s="114">
        <v>523825.00000000006</v>
      </c>
      <c r="E345" s="64">
        <f>D345*'16-PlantAdditions'!$E$103</f>
        <v>39286.875</v>
      </c>
      <c r="F345" s="64">
        <f>E345+D345</f>
        <v>563111.875</v>
      </c>
      <c r="G345" s="114">
        <v>0</v>
      </c>
      <c r="H345" s="114">
        <v>0</v>
      </c>
      <c r="I345" s="64">
        <f>(G345-H345)*'16-PlantAdditions'!$E$103</f>
        <v>0</v>
      </c>
      <c r="J345" s="64">
        <f>J344+F345-G345-I345</f>
        <v>12057533.62113302</v>
      </c>
      <c r="K345" s="64">
        <f>J345-$J$344</f>
        <v>563111.875</v>
      </c>
    </row>
    <row r="346" spans="1:11" s="796" customFormat="1" x14ac:dyDescent="0.2">
      <c r="A346" s="117">
        <f t="shared" ref="A346:A369" si="72">A345+1</f>
        <v>265</v>
      </c>
      <c r="B346" s="759" t="s">
        <v>203</v>
      </c>
      <c r="C346" s="757">
        <v>2013</v>
      </c>
      <c r="D346" s="114">
        <v>643800</v>
      </c>
      <c r="E346" s="64">
        <f>D346*'16-PlantAdditions'!$E$103</f>
        <v>48285</v>
      </c>
      <c r="F346" s="64">
        <f t="shared" ref="F346:F365" si="73">E346+D346</f>
        <v>692085</v>
      </c>
      <c r="G346" s="114">
        <v>0</v>
      </c>
      <c r="H346" s="114">
        <v>0</v>
      </c>
      <c r="I346" s="64">
        <f>(G346-H346)*'16-PlantAdditions'!$E$103</f>
        <v>0</v>
      </c>
      <c r="J346" s="64">
        <f t="shared" ref="J346:J365" si="74">J345+F346-G346-I346</f>
        <v>12749618.62113302</v>
      </c>
      <c r="K346" s="64">
        <f t="shared" ref="K346:K368" si="75">J346-$J$344</f>
        <v>1255196.875</v>
      </c>
    </row>
    <row r="347" spans="1:11" s="796" customFormat="1" x14ac:dyDescent="0.2">
      <c r="A347" s="117">
        <f t="shared" si="72"/>
        <v>266</v>
      </c>
      <c r="B347" s="759" t="s">
        <v>216</v>
      </c>
      <c r="C347" s="757">
        <v>2013</v>
      </c>
      <c r="D347" s="114">
        <v>636954</v>
      </c>
      <c r="E347" s="64">
        <f>D347*'16-PlantAdditions'!$E$103</f>
        <v>47771.549999999996</v>
      </c>
      <c r="F347" s="64">
        <f t="shared" si="73"/>
        <v>684725.55</v>
      </c>
      <c r="G347" s="114">
        <v>0</v>
      </c>
      <c r="H347" s="114">
        <v>0</v>
      </c>
      <c r="I347" s="64">
        <f>(G347-H347)*'16-PlantAdditions'!$E$103</f>
        <v>0</v>
      </c>
      <c r="J347" s="64">
        <f t="shared" si="74"/>
        <v>13434344.171133021</v>
      </c>
      <c r="K347" s="64">
        <f t="shared" si="75"/>
        <v>1939922.4250000007</v>
      </c>
    </row>
    <row r="348" spans="1:11" s="796" customFormat="1" x14ac:dyDescent="0.2">
      <c r="A348" s="117">
        <f t="shared" si="72"/>
        <v>267</v>
      </c>
      <c r="B348" s="756" t="s">
        <v>204</v>
      </c>
      <c r="C348" s="757">
        <v>2013</v>
      </c>
      <c r="D348" s="114">
        <v>707962</v>
      </c>
      <c r="E348" s="64">
        <f>D348*'16-PlantAdditions'!$E$103</f>
        <v>53097.15</v>
      </c>
      <c r="F348" s="64">
        <f t="shared" si="73"/>
        <v>761059.15</v>
      </c>
      <c r="G348" s="114">
        <v>0</v>
      </c>
      <c r="H348" s="114">
        <v>0</v>
      </c>
      <c r="I348" s="64">
        <f>(G348-H348)*'16-PlantAdditions'!$E$103</f>
        <v>0</v>
      </c>
      <c r="J348" s="64">
        <f t="shared" si="74"/>
        <v>14195403.321133021</v>
      </c>
      <c r="K348" s="64">
        <f t="shared" si="75"/>
        <v>2700981.5750000011</v>
      </c>
    </row>
    <row r="349" spans="1:11" s="796" customFormat="1" x14ac:dyDescent="0.2">
      <c r="A349" s="117">
        <f t="shared" si="72"/>
        <v>268</v>
      </c>
      <c r="B349" s="759" t="s">
        <v>205</v>
      </c>
      <c r="C349" s="757">
        <v>2013</v>
      </c>
      <c r="D349" s="114">
        <v>1088012</v>
      </c>
      <c r="E349" s="64">
        <f>D349*'16-PlantAdditions'!$E$103</f>
        <v>81600.899999999994</v>
      </c>
      <c r="F349" s="64">
        <f t="shared" si="73"/>
        <v>1169612.8999999999</v>
      </c>
      <c r="G349" s="114">
        <v>0</v>
      </c>
      <c r="H349" s="114">
        <v>0</v>
      </c>
      <c r="I349" s="64">
        <f>(G349-H349)*'16-PlantAdditions'!$E$103</f>
        <v>0</v>
      </c>
      <c r="J349" s="64">
        <f t="shared" si="74"/>
        <v>15365016.221133022</v>
      </c>
      <c r="K349" s="64">
        <f t="shared" si="75"/>
        <v>3870594.4750000015</v>
      </c>
    </row>
    <row r="350" spans="1:11" s="796" customFormat="1" x14ac:dyDescent="0.2">
      <c r="A350" s="117">
        <f t="shared" si="72"/>
        <v>269</v>
      </c>
      <c r="B350" s="759" t="s">
        <v>1690</v>
      </c>
      <c r="C350" s="757">
        <v>2013</v>
      </c>
      <c r="D350" s="114">
        <v>830062</v>
      </c>
      <c r="E350" s="64">
        <f>D350*'16-PlantAdditions'!$E$103</f>
        <v>62254.649999999994</v>
      </c>
      <c r="F350" s="64">
        <f t="shared" si="73"/>
        <v>892316.65</v>
      </c>
      <c r="G350" s="114">
        <v>0</v>
      </c>
      <c r="H350" s="114">
        <v>0</v>
      </c>
      <c r="I350" s="64">
        <f>(G350-H350)*'16-PlantAdditions'!$E$103</f>
        <v>0</v>
      </c>
      <c r="J350" s="64">
        <f t="shared" si="74"/>
        <v>16257332.871133022</v>
      </c>
      <c r="K350" s="64">
        <f t="shared" si="75"/>
        <v>4762911.1250000019</v>
      </c>
    </row>
    <row r="351" spans="1:11" s="796" customFormat="1" x14ac:dyDescent="0.2">
      <c r="A351" s="117">
        <f t="shared" si="72"/>
        <v>270</v>
      </c>
      <c r="B351" s="756" t="s">
        <v>207</v>
      </c>
      <c r="C351" s="757">
        <v>2013</v>
      </c>
      <c r="D351" s="114">
        <v>812279</v>
      </c>
      <c r="E351" s="64">
        <f>D351*'16-PlantAdditions'!$E$103</f>
        <v>60920.924999999996</v>
      </c>
      <c r="F351" s="64">
        <f t="shared" si="73"/>
        <v>873199.92500000005</v>
      </c>
      <c r="G351" s="114">
        <v>0</v>
      </c>
      <c r="H351" s="114">
        <v>0</v>
      </c>
      <c r="I351" s="64">
        <f>(G351-H351)*'16-PlantAdditions'!$E$103</f>
        <v>0</v>
      </c>
      <c r="J351" s="64">
        <f t="shared" si="74"/>
        <v>17130532.796133023</v>
      </c>
      <c r="K351" s="64">
        <f t="shared" si="75"/>
        <v>5636111.0500000026</v>
      </c>
    </row>
    <row r="352" spans="1:11" s="796" customFormat="1" x14ac:dyDescent="0.2">
      <c r="A352" s="117">
        <f t="shared" si="72"/>
        <v>271</v>
      </c>
      <c r="B352" s="759" t="s">
        <v>208</v>
      </c>
      <c r="C352" s="757">
        <v>2013</v>
      </c>
      <c r="D352" s="114">
        <v>1286379</v>
      </c>
      <c r="E352" s="64">
        <f>D352*'16-PlantAdditions'!$E$103</f>
        <v>96478.425000000003</v>
      </c>
      <c r="F352" s="64">
        <f t="shared" si="73"/>
        <v>1382857.425</v>
      </c>
      <c r="G352" s="114">
        <v>0</v>
      </c>
      <c r="H352" s="114">
        <v>0</v>
      </c>
      <c r="I352" s="64">
        <f>(G352-H352)*'16-PlantAdditions'!$E$103</f>
        <v>0</v>
      </c>
      <c r="J352" s="64">
        <f t="shared" si="74"/>
        <v>18513390.221133024</v>
      </c>
      <c r="K352" s="64">
        <f t="shared" si="75"/>
        <v>7018968.4750000034</v>
      </c>
    </row>
    <row r="353" spans="1:11" s="796" customFormat="1" x14ac:dyDescent="0.2">
      <c r="A353" s="117">
        <f t="shared" si="72"/>
        <v>272</v>
      </c>
      <c r="B353" s="759" t="s">
        <v>209</v>
      </c>
      <c r="C353" s="757">
        <v>2013</v>
      </c>
      <c r="D353" s="114">
        <v>655974</v>
      </c>
      <c r="E353" s="64">
        <f>D353*'16-PlantAdditions'!$E$103</f>
        <v>49198.049999999996</v>
      </c>
      <c r="F353" s="64">
        <f t="shared" si="73"/>
        <v>705172.05</v>
      </c>
      <c r="G353" s="114">
        <v>0</v>
      </c>
      <c r="H353" s="114">
        <v>0</v>
      </c>
      <c r="I353" s="64">
        <f>(G353-H353)*'16-PlantAdditions'!$E$103</f>
        <v>0</v>
      </c>
      <c r="J353" s="64">
        <f t="shared" si="74"/>
        <v>19218562.271133024</v>
      </c>
      <c r="K353" s="64">
        <f t="shared" si="75"/>
        <v>7724140.5250000041</v>
      </c>
    </row>
    <row r="354" spans="1:11" s="796" customFormat="1" x14ac:dyDescent="0.2">
      <c r="A354" s="117">
        <f t="shared" si="72"/>
        <v>273</v>
      </c>
      <c r="B354" s="756" t="s">
        <v>212</v>
      </c>
      <c r="C354" s="757">
        <v>2013</v>
      </c>
      <c r="D354" s="114">
        <v>765971</v>
      </c>
      <c r="E354" s="64">
        <f>D354*'16-PlantAdditions'!$E$103</f>
        <v>57447.824999999997</v>
      </c>
      <c r="F354" s="64">
        <f t="shared" si="73"/>
        <v>823418.82499999995</v>
      </c>
      <c r="G354" s="114">
        <v>0</v>
      </c>
      <c r="H354" s="114">
        <v>0</v>
      </c>
      <c r="I354" s="64">
        <f>(G354-H354)*'16-PlantAdditions'!$E$103</f>
        <v>0</v>
      </c>
      <c r="J354" s="64">
        <f t="shared" si="74"/>
        <v>20041981.096133024</v>
      </c>
      <c r="K354" s="64">
        <f t="shared" si="75"/>
        <v>8547559.3500000034</v>
      </c>
    </row>
    <row r="355" spans="1:11" s="796" customFormat="1" x14ac:dyDescent="0.2">
      <c r="A355" s="117">
        <f t="shared" si="72"/>
        <v>274</v>
      </c>
      <c r="B355" s="756" t="s">
        <v>211</v>
      </c>
      <c r="C355" s="757">
        <v>2013</v>
      </c>
      <c r="D355" s="114">
        <v>724174</v>
      </c>
      <c r="E355" s="64">
        <f>D355*'16-PlantAdditions'!$E$103</f>
        <v>54313.049999999996</v>
      </c>
      <c r="F355" s="64">
        <f t="shared" si="73"/>
        <v>778487.05</v>
      </c>
      <c r="G355" s="114">
        <v>0</v>
      </c>
      <c r="H355" s="114">
        <v>0</v>
      </c>
      <c r="I355" s="64">
        <f>(G355-H355)*'16-PlantAdditions'!$E$103</f>
        <v>0</v>
      </c>
      <c r="J355" s="64">
        <f t="shared" si="74"/>
        <v>20820468.146133024</v>
      </c>
      <c r="K355" s="64">
        <f t="shared" si="75"/>
        <v>9326046.4000000041</v>
      </c>
    </row>
    <row r="356" spans="1:11" s="796" customFormat="1" x14ac:dyDescent="0.2">
      <c r="A356" s="117">
        <f t="shared" si="72"/>
        <v>275</v>
      </c>
      <c r="B356" s="756" t="s">
        <v>201</v>
      </c>
      <c r="C356" s="757">
        <v>2013</v>
      </c>
      <c r="D356" s="114">
        <v>839886</v>
      </c>
      <c r="E356" s="64">
        <f>D356*'16-PlantAdditions'!$E$103</f>
        <v>62991.45</v>
      </c>
      <c r="F356" s="64">
        <f t="shared" si="73"/>
        <v>902877.45</v>
      </c>
      <c r="G356" s="114">
        <v>0</v>
      </c>
      <c r="H356" s="114">
        <v>0</v>
      </c>
      <c r="I356" s="64">
        <f>(G356-H356)*'16-PlantAdditions'!$E$103</f>
        <v>0</v>
      </c>
      <c r="J356" s="64">
        <f t="shared" si="74"/>
        <v>21723345.596133024</v>
      </c>
      <c r="K356" s="64">
        <f t="shared" si="75"/>
        <v>10228923.850000003</v>
      </c>
    </row>
    <row r="357" spans="1:11" s="796" customFormat="1" x14ac:dyDescent="0.2">
      <c r="A357" s="117">
        <f t="shared" si="72"/>
        <v>276</v>
      </c>
      <c r="B357" s="756" t="s">
        <v>202</v>
      </c>
      <c r="C357" s="757">
        <v>2014</v>
      </c>
      <c r="D357" s="114">
        <v>504159</v>
      </c>
      <c r="E357" s="64">
        <f>D357*'16-PlantAdditions'!$E$103</f>
        <v>37811.924999999996</v>
      </c>
      <c r="F357" s="64">
        <f t="shared" si="73"/>
        <v>541970.92500000005</v>
      </c>
      <c r="G357" s="114">
        <v>0</v>
      </c>
      <c r="H357" s="114">
        <v>0</v>
      </c>
      <c r="I357" s="64">
        <f>(G357-H357)*'16-PlantAdditions'!$E$103</f>
        <v>0</v>
      </c>
      <c r="J357" s="64">
        <f t="shared" si="74"/>
        <v>22265316.521133024</v>
      </c>
      <c r="K357" s="64">
        <f t="shared" si="75"/>
        <v>10770894.775000004</v>
      </c>
    </row>
    <row r="358" spans="1:11" s="796" customFormat="1" x14ac:dyDescent="0.2">
      <c r="A358" s="117">
        <f t="shared" si="72"/>
        <v>277</v>
      </c>
      <c r="B358" s="759" t="s">
        <v>203</v>
      </c>
      <c r="C358" s="757">
        <v>2014</v>
      </c>
      <c r="D358" s="114">
        <v>657059</v>
      </c>
      <c r="E358" s="64">
        <f>D358*'16-PlantAdditions'!$E$103</f>
        <v>49279.424999999996</v>
      </c>
      <c r="F358" s="64">
        <f t="shared" si="73"/>
        <v>706338.42500000005</v>
      </c>
      <c r="G358" s="114">
        <v>0</v>
      </c>
      <c r="H358" s="114">
        <v>0</v>
      </c>
      <c r="I358" s="64">
        <f>(G358-H358)*'16-PlantAdditions'!$E$103</f>
        <v>0</v>
      </c>
      <c r="J358" s="64">
        <f t="shared" si="74"/>
        <v>22971654.946133025</v>
      </c>
      <c r="K358" s="64">
        <f t="shared" si="75"/>
        <v>11477233.200000005</v>
      </c>
    </row>
    <row r="359" spans="1:11" s="796" customFormat="1" x14ac:dyDescent="0.2">
      <c r="A359" s="117">
        <f t="shared" si="72"/>
        <v>278</v>
      </c>
      <c r="B359" s="759" t="s">
        <v>216</v>
      </c>
      <c r="C359" s="757">
        <v>2014</v>
      </c>
      <c r="D359" s="114">
        <v>479959</v>
      </c>
      <c r="E359" s="64">
        <f>D359*'16-PlantAdditions'!$E$103</f>
        <v>35996.924999999996</v>
      </c>
      <c r="F359" s="64">
        <f t="shared" si="73"/>
        <v>515955.92499999999</v>
      </c>
      <c r="G359" s="114">
        <v>0</v>
      </c>
      <c r="H359" s="114">
        <v>0</v>
      </c>
      <c r="I359" s="64">
        <f>(G359-H359)*'16-PlantAdditions'!$E$103</f>
        <v>0</v>
      </c>
      <c r="J359" s="64">
        <f t="shared" si="74"/>
        <v>23487610.871133026</v>
      </c>
      <c r="K359" s="64">
        <f t="shared" si="75"/>
        <v>11993189.125000006</v>
      </c>
    </row>
    <row r="360" spans="1:11" s="796" customFormat="1" x14ac:dyDescent="0.2">
      <c r="A360" s="117">
        <f t="shared" si="72"/>
        <v>279</v>
      </c>
      <c r="B360" s="756" t="s">
        <v>204</v>
      </c>
      <c r="C360" s="757">
        <v>2014</v>
      </c>
      <c r="D360" s="114">
        <v>485459</v>
      </c>
      <c r="E360" s="64">
        <f>D360*'16-PlantAdditions'!$E$103</f>
        <v>36409.424999999996</v>
      </c>
      <c r="F360" s="64">
        <f t="shared" si="73"/>
        <v>521868.42499999999</v>
      </c>
      <c r="G360" s="114">
        <v>0</v>
      </c>
      <c r="H360" s="114">
        <v>0</v>
      </c>
      <c r="I360" s="64">
        <f>(G360-H360)*'16-PlantAdditions'!$E$103</f>
        <v>0</v>
      </c>
      <c r="J360" s="64">
        <f t="shared" si="74"/>
        <v>24009479.296133026</v>
      </c>
      <c r="K360" s="64">
        <f t="shared" si="75"/>
        <v>12515057.550000006</v>
      </c>
    </row>
    <row r="361" spans="1:11" s="796" customFormat="1" x14ac:dyDescent="0.2">
      <c r="A361" s="117">
        <f t="shared" si="72"/>
        <v>280</v>
      </c>
      <c r="B361" s="759" t="s">
        <v>205</v>
      </c>
      <c r="C361" s="757">
        <v>2014</v>
      </c>
      <c r="D361" s="114">
        <v>499000</v>
      </c>
      <c r="E361" s="64">
        <f>D361*'16-PlantAdditions'!$E$103</f>
        <v>37425</v>
      </c>
      <c r="F361" s="64">
        <f t="shared" si="73"/>
        <v>536425</v>
      </c>
      <c r="G361" s="114">
        <v>0</v>
      </c>
      <c r="H361" s="114">
        <v>0</v>
      </c>
      <c r="I361" s="64">
        <f>(G361-H361)*'16-PlantAdditions'!$E$103</f>
        <v>0</v>
      </c>
      <c r="J361" s="64">
        <f t="shared" si="74"/>
        <v>24545904.296133026</v>
      </c>
      <c r="K361" s="64">
        <f t="shared" si="75"/>
        <v>13051482.550000006</v>
      </c>
    </row>
    <row r="362" spans="1:11" s="796" customFormat="1" x14ac:dyDescent="0.2">
      <c r="A362" s="117">
        <f t="shared" si="72"/>
        <v>281</v>
      </c>
      <c r="B362" s="759" t="s">
        <v>1690</v>
      </c>
      <c r="C362" s="757">
        <v>2014</v>
      </c>
      <c r="D362" s="114">
        <v>499000</v>
      </c>
      <c r="E362" s="64">
        <f>D362*'16-PlantAdditions'!$E$103</f>
        <v>37425</v>
      </c>
      <c r="F362" s="64">
        <f t="shared" si="73"/>
        <v>536425</v>
      </c>
      <c r="G362" s="114">
        <v>0</v>
      </c>
      <c r="H362" s="114">
        <v>0</v>
      </c>
      <c r="I362" s="64">
        <f>(G362-H362)*'16-PlantAdditions'!$E$103</f>
        <v>0</v>
      </c>
      <c r="J362" s="64">
        <f t="shared" si="74"/>
        <v>25082329.296133026</v>
      </c>
      <c r="K362" s="64">
        <f t="shared" si="75"/>
        <v>13587907.550000006</v>
      </c>
    </row>
    <row r="363" spans="1:11" s="796" customFormat="1" x14ac:dyDescent="0.2">
      <c r="A363" s="117">
        <f t="shared" si="72"/>
        <v>282</v>
      </c>
      <c r="B363" s="756" t="s">
        <v>207</v>
      </c>
      <c r="C363" s="757">
        <v>2014</v>
      </c>
      <c r="D363" s="114">
        <v>480000</v>
      </c>
      <c r="E363" s="64">
        <f>D363*'16-PlantAdditions'!$E$103</f>
        <v>36000</v>
      </c>
      <c r="F363" s="64">
        <f t="shared" si="73"/>
        <v>516000</v>
      </c>
      <c r="G363" s="114">
        <v>0</v>
      </c>
      <c r="H363" s="114">
        <v>0</v>
      </c>
      <c r="I363" s="64">
        <f>(G363-H363)*'16-PlantAdditions'!$E$103</f>
        <v>0</v>
      </c>
      <c r="J363" s="64">
        <f t="shared" si="74"/>
        <v>25598329.296133026</v>
      </c>
      <c r="K363" s="64">
        <f t="shared" si="75"/>
        <v>14103907.550000006</v>
      </c>
    </row>
    <row r="364" spans="1:11" s="796" customFormat="1" x14ac:dyDescent="0.2">
      <c r="A364" s="117">
        <f t="shared" si="72"/>
        <v>283</v>
      </c>
      <c r="B364" s="759" t="s">
        <v>208</v>
      </c>
      <c r="C364" s="757">
        <v>2014</v>
      </c>
      <c r="D364" s="114">
        <v>480000</v>
      </c>
      <c r="E364" s="64">
        <f>D364*'16-PlantAdditions'!$E$103</f>
        <v>36000</v>
      </c>
      <c r="F364" s="64">
        <f t="shared" si="73"/>
        <v>516000</v>
      </c>
      <c r="G364" s="114">
        <v>0</v>
      </c>
      <c r="H364" s="114">
        <v>0</v>
      </c>
      <c r="I364" s="64">
        <f>(G364-H364)*'16-PlantAdditions'!$E$103</f>
        <v>0</v>
      </c>
      <c r="J364" s="64">
        <f t="shared" si="74"/>
        <v>26114329.296133026</v>
      </c>
      <c r="K364" s="64">
        <f t="shared" si="75"/>
        <v>14619907.550000006</v>
      </c>
    </row>
    <row r="365" spans="1:11" s="796" customFormat="1" x14ac:dyDescent="0.2">
      <c r="A365" s="117">
        <f t="shared" si="72"/>
        <v>284</v>
      </c>
      <c r="B365" s="759" t="s">
        <v>209</v>
      </c>
      <c r="C365" s="757">
        <v>2014</v>
      </c>
      <c r="D365" s="114">
        <v>480000</v>
      </c>
      <c r="E365" s="64">
        <f>D365*'16-PlantAdditions'!$E$103</f>
        <v>36000</v>
      </c>
      <c r="F365" s="64">
        <f t="shared" si="73"/>
        <v>516000</v>
      </c>
      <c r="G365" s="114">
        <v>0</v>
      </c>
      <c r="H365" s="114">
        <v>0</v>
      </c>
      <c r="I365" s="64">
        <f>(G365-H365)*'16-PlantAdditions'!$E$103</f>
        <v>0</v>
      </c>
      <c r="J365" s="64">
        <f t="shared" si="74"/>
        <v>26630329.296133026</v>
      </c>
      <c r="K365" s="64">
        <f t="shared" si="75"/>
        <v>15135907.550000006</v>
      </c>
    </row>
    <row r="366" spans="1:11" s="796" customFormat="1" x14ac:dyDescent="0.2">
      <c r="A366" s="117">
        <f t="shared" si="72"/>
        <v>285</v>
      </c>
      <c r="B366" s="759" t="s">
        <v>212</v>
      </c>
      <c r="C366" s="757">
        <v>2014</v>
      </c>
      <c r="D366" s="114">
        <v>480000</v>
      </c>
      <c r="E366" s="64">
        <f>D366*'16-PlantAdditions'!$E$103</f>
        <v>36000</v>
      </c>
      <c r="F366" s="64">
        <f t="shared" ref="F366:F368" si="76">E366+D366</f>
        <v>516000</v>
      </c>
      <c r="G366" s="114">
        <v>0</v>
      </c>
      <c r="H366" s="114">
        <v>0</v>
      </c>
      <c r="I366" s="64">
        <f>(G366-H366)*'16-PlantAdditions'!$E$103</f>
        <v>0</v>
      </c>
      <c r="J366" s="64">
        <f t="shared" ref="J366:J368" si="77">J365+F366-G366-I366</f>
        <v>27146329.296133026</v>
      </c>
      <c r="K366" s="64">
        <f t="shared" si="75"/>
        <v>15651907.550000006</v>
      </c>
    </row>
    <row r="367" spans="1:11" s="796" customFormat="1" x14ac:dyDescent="0.2">
      <c r="A367" s="117">
        <f t="shared" si="72"/>
        <v>286</v>
      </c>
      <c r="B367" s="759" t="s">
        <v>211</v>
      </c>
      <c r="C367" s="757">
        <v>2014</v>
      </c>
      <c r="D367" s="114">
        <v>480000</v>
      </c>
      <c r="E367" s="64">
        <f>D367*'16-PlantAdditions'!$E$103</f>
        <v>36000</v>
      </c>
      <c r="F367" s="64">
        <f t="shared" si="76"/>
        <v>516000</v>
      </c>
      <c r="G367" s="114">
        <v>0</v>
      </c>
      <c r="H367" s="114">
        <v>0</v>
      </c>
      <c r="I367" s="64">
        <f>(G367-H367)*'16-PlantAdditions'!$E$103</f>
        <v>0</v>
      </c>
      <c r="J367" s="64">
        <f t="shared" si="77"/>
        <v>27662329.296133026</v>
      </c>
      <c r="K367" s="64">
        <f t="shared" si="75"/>
        <v>16167907.550000006</v>
      </c>
    </row>
    <row r="368" spans="1:11" s="796" customFormat="1" x14ac:dyDescent="0.2">
      <c r="A368" s="117">
        <f t="shared" si="72"/>
        <v>287</v>
      </c>
      <c r="B368" s="759" t="s">
        <v>201</v>
      </c>
      <c r="C368" s="757">
        <v>2014</v>
      </c>
      <c r="D368" s="114">
        <v>1140000</v>
      </c>
      <c r="E368" s="64">
        <f>D368*'16-PlantAdditions'!$E$103</f>
        <v>85500</v>
      </c>
      <c r="F368" s="64">
        <f t="shared" si="76"/>
        <v>1225500</v>
      </c>
      <c r="G368" s="114">
        <v>0</v>
      </c>
      <c r="H368" s="114">
        <v>0</v>
      </c>
      <c r="I368" s="64">
        <f>(G368-H368)*'16-PlantAdditions'!$E$103</f>
        <v>0</v>
      </c>
      <c r="J368" s="64">
        <f t="shared" si="77"/>
        <v>28887829.296133026</v>
      </c>
      <c r="K368" s="1053">
        <f t="shared" si="75"/>
        <v>17393407.550000004</v>
      </c>
    </row>
    <row r="369" spans="1:11" s="796" customFormat="1" x14ac:dyDescent="0.2">
      <c r="A369" s="117">
        <f t="shared" si="72"/>
        <v>288</v>
      </c>
      <c r="B369"/>
      <c r="C369" s="795" t="s">
        <v>1867</v>
      </c>
      <c r="D369"/>
      <c r="E369"/>
      <c r="F369"/>
      <c r="G369"/>
      <c r="H369"/>
      <c r="I369"/>
      <c r="J369"/>
      <c r="K369" s="78">
        <f>AVERAGE(K356:K368)</f>
        <v>13592125.684615392</v>
      </c>
    </row>
    <row r="370" spans="1:11" s="796" customFormat="1" x14ac:dyDescent="0.2">
      <c r="A370" s="117"/>
      <c r="B370"/>
      <c r="C370" s="795"/>
      <c r="D370"/>
      <c r="E370"/>
      <c r="F370"/>
      <c r="G370"/>
      <c r="H370"/>
      <c r="I370"/>
      <c r="J370"/>
      <c r="K370" s="78"/>
    </row>
    <row r="371" spans="1:11" s="796" customFormat="1" x14ac:dyDescent="0.2">
      <c r="B371" s="797" t="s">
        <v>2418</v>
      </c>
      <c r="D371" s="802" t="s">
        <v>2419</v>
      </c>
      <c r="E371" s="802"/>
      <c r="F371" s="803"/>
    </row>
    <row r="372" spans="1:11" s="796" customFormat="1" x14ac:dyDescent="0.2">
      <c r="A372" s="791"/>
      <c r="B372" s="791"/>
      <c r="C372" s="791"/>
      <c r="D372" s="791" t="s">
        <v>396</v>
      </c>
      <c r="E372" s="791" t="s">
        <v>380</v>
      </c>
      <c r="F372" s="791" t="s">
        <v>381</v>
      </c>
      <c r="G372" s="791" t="s">
        <v>382</v>
      </c>
      <c r="H372" s="791" t="s">
        <v>383</v>
      </c>
      <c r="I372" s="791" t="s">
        <v>384</v>
      </c>
      <c r="J372" s="791" t="s">
        <v>385</v>
      </c>
      <c r="K372" s="791" t="s">
        <v>599</v>
      </c>
    </row>
    <row r="373" spans="1:11" s="796" customFormat="1" ht="38.25" x14ac:dyDescent="0.2">
      <c r="D373" s="798"/>
      <c r="E373" s="799" t="s">
        <v>2762</v>
      </c>
      <c r="F373" s="800" t="s">
        <v>2399</v>
      </c>
      <c r="G373" s="557"/>
      <c r="H373" s="798"/>
      <c r="I373" s="799" t="s">
        <v>2763</v>
      </c>
      <c r="J373" s="799" t="s">
        <v>2400</v>
      </c>
      <c r="K373" s="799" t="s">
        <v>2401</v>
      </c>
    </row>
    <row r="374" spans="1:11" s="796" customFormat="1" x14ac:dyDescent="0.2">
      <c r="D374" s="798"/>
      <c r="E374" s="799"/>
      <c r="F374" s="800"/>
      <c r="G374" s="4" t="str">
        <f>G51</f>
        <v>Unloaded</v>
      </c>
      <c r="H374" s="798"/>
      <c r="I374" s="799"/>
      <c r="J374" s="799"/>
      <c r="K374" s="799"/>
    </row>
    <row r="375" spans="1:11" s="796" customFormat="1" x14ac:dyDescent="0.2">
      <c r="A375" s="793"/>
      <c r="B375" s="793"/>
      <c r="C375" s="793"/>
      <c r="D375" s="793" t="str">
        <f>D$52</f>
        <v>Forecast</v>
      </c>
      <c r="E375" s="793" t="str">
        <f t="shared" ref="E375:J375" si="78">E$52</f>
        <v>Corporate</v>
      </c>
      <c r="F375" s="793" t="str">
        <f t="shared" si="78"/>
        <v xml:space="preserve">Total </v>
      </c>
      <c r="G375" s="4" t="str">
        <f>G52</f>
        <v>Total</v>
      </c>
      <c r="H375" s="793" t="str">
        <f t="shared" si="78"/>
        <v>Prior Period</v>
      </c>
      <c r="I375" s="793" t="str">
        <f t="shared" si="78"/>
        <v>Over Heads</v>
      </c>
      <c r="J375" s="793" t="str">
        <f t="shared" si="78"/>
        <v>Forecast</v>
      </c>
      <c r="K375" s="793" t="str">
        <f>K$52</f>
        <v>Forecast Period</v>
      </c>
    </row>
    <row r="376" spans="1:11" s="796" customFormat="1" x14ac:dyDescent="0.2">
      <c r="A376" s="1114" t="s">
        <v>362</v>
      </c>
      <c r="B376" s="755" t="s">
        <v>213</v>
      </c>
      <c r="C376" s="755" t="s">
        <v>214</v>
      </c>
      <c r="D376" s="791" t="str">
        <f>D$53</f>
        <v>Expenditures</v>
      </c>
      <c r="E376" s="791" t="str">
        <f t="shared" ref="E376:J376" si="79">E$53</f>
        <v>Overheads</v>
      </c>
      <c r="F376" s="791" t="str">
        <f t="shared" si="79"/>
        <v>CWIP Exp</v>
      </c>
      <c r="G376" s="90" t="str">
        <f>G53</f>
        <v>Plant Adds</v>
      </c>
      <c r="H376" s="791" t="str">
        <f t="shared" si="79"/>
        <v>CWIP Closed</v>
      </c>
      <c r="I376" s="791" t="str">
        <f t="shared" si="79"/>
        <v>Closed to PIS</v>
      </c>
      <c r="J376" s="791" t="str">
        <f t="shared" si="79"/>
        <v>Period CWIP</v>
      </c>
      <c r="K376" s="791" t="str">
        <f>K$53</f>
        <v>Incremental CWIP</v>
      </c>
    </row>
    <row r="377" spans="1:11" s="796" customFormat="1" x14ac:dyDescent="0.2">
      <c r="A377" s="117">
        <f>A369+1</f>
        <v>289</v>
      </c>
      <c r="B377" s="756" t="s">
        <v>201</v>
      </c>
      <c r="C377" s="757">
        <v>2012</v>
      </c>
      <c r="D377" s="800" t="s">
        <v>88</v>
      </c>
      <c r="E377" s="800" t="s">
        <v>88</v>
      </c>
      <c r="F377" s="800" t="s">
        <v>88</v>
      </c>
      <c r="G377" s="800" t="s">
        <v>88</v>
      </c>
      <c r="H377" s="800" t="s">
        <v>88</v>
      </c>
      <c r="I377" s="800" t="s">
        <v>88</v>
      </c>
      <c r="J377" s="64">
        <v>0</v>
      </c>
      <c r="K377" s="800" t="s">
        <v>88</v>
      </c>
    </row>
    <row r="378" spans="1:11" s="796" customFormat="1" x14ac:dyDescent="0.2">
      <c r="A378" s="117">
        <f>A377+1</f>
        <v>290</v>
      </c>
      <c r="B378" s="756" t="s">
        <v>202</v>
      </c>
      <c r="C378" s="757">
        <v>2013</v>
      </c>
      <c r="D378" s="114"/>
      <c r="E378" s="64">
        <f>D378*'16-PlantAdditions'!$E$103</f>
        <v>0</v>
      </c>
      <c r="F378" s="64">
        <f>E378+D378</f>
        <v>0</v>
      </c>
      <c r="G378" s="114"/>
      <c r="H378" s="114"/>
      <c r="I378" s="64">
        <f>(G378-H378)*'16-PlantAdditions'!$E$103</f>
        <v>0</v>
      </c>
      <c r="J378" s="64">
        <f>J377+F378-G378-I378</f>
        <v>0</v>
      </c>
      <c r="K378" s="64">
        <f>J378-$J$377</f>
        <v>0</v>
      </c>
    </row>
    <row r="379" spans="1:11" s="796" customFormat="1" x14ac:dyDescent="0.2">
      <c r="A379" s="117">
        <f t="shared" ref="A379:A402" si="80">A378+1</f>
        <v>291</v>
      </c>
      <c r="B379" s="759" t="s">
        <v>203</v>
      </c>
      <c r="C379" s="757">
        <v>2013</v>
      </c>
      <c r="D379" s="114"/>
      <c r="E379" s="64">
        <f>D379*'16-PlantAdditions'!$E$103</f>
        <v>0</v>
      </c>
      <c r="F379" s="64">
        <f t="shared" ref="F379:F398" si="81">E379+D379</f>
        <v>0</v>
      </c>
      <c r="G379" s="114"/>
      <c r="H379" s="114"/>
      <c r="I379" s="64">
        <f>(G379-H379)*'16-PlantAdditions'!$E$103</f>
        <v>0</v>
      </c>
      <c r="J379" s="64">
        <f t="shared" ref="J379:J398" si="82">J378+F379-G379-I379</f>
        <v>0</v>
      </c>
      <c r="K379" s="64">
        <f t="shared" ref="K379:K401" si="83">J379-$J$377</f>
        <v>0</v>
      </c>
    </row>
    <row r="380" spans="1:11" s="796" customFormat="1" x14ac:dyDescent="0.2">
      <c r="A380" s="117">
        <f t="shared" si="80"/>
        <v>292</v>
      </c>
      <c r="B380" s="759" t="s">
        <v>216</v>
      </c>
      <c r="C380" s="757">
        <v>2013</v>
      </c>
      <c r="D380" s="114"/>
      <c r="E380" s="64">
        <f>D380*'16-PlantAdditions'!$E$103</f>
        <v>0</v>
      </c>
      <c r="F380" s="64">
        <f t="shared" si="81"/>
        <v>0</v>
      </c>
      <c r="G380" s="114"/>
      <c r="H380" s="114"/>
      <c r="I380" s="64">
        <f>(G380-H380)*'16-PlantAdditions'!$E$103</f>
        <v>0</v>
      </c>
      <c r="J380" s="64">
        <f t="shared" si="82"/>
        <v>0</v>
      </c>
      <c r="K380" s="64">
        <f t="shared" si="83"/>
        <v>0</v>
      </c>
    </row>
    <row r="381" spans="1:11" s="796" customFormat="1" x14ac:dyDescent="0.2">
      <c r="A381" s="117">
        <f t="shared" si="80"/>
        <v>293</v>
      </c>
      <c r="B381" s="756" t="s">
        <v>204</v>
      </c>
      <c r="C381" s="757">
        <v>2013</v>
      </c>
      <c r="D381" s="114"/>
      <c r="E381" s="64">
        <f>D381*'16-PlantAdditions'!$E$103</f>
        <v>0</v>
      </c>
      <c r="F381" s="64">
        <f t="shared" si="81"/>
        <v>0</v>
      </c>
      <c r="G381" s="114"/>
      <c r="H381" s="114"/>
      <c r="I381" s="64">
        <f>(G381-H381)*'16-PlantAdditions'!$E$103</f>
        <v>0</v>
      </c>
      <c r="J381" s="64">
        <f t="shared" si="82"/>
        <v>0</v>
      </c>
      <c r="K381" s="64">
        <f t="shared" si="83"/>
        <v>0</v>
      </c>
    </row>
    <row r="382" spans="1:11" s="796" customFormat="1" x14ac:dyDescent="0.2">
      <c r="A382" s="117">
        <f t="shared" si="80"/>
        <v>294</v>
      </c>
      <c r="B382" s="759" t="s">
        <v>205</v>
      </c>
      <c r="C382" s="757">
        <v>2013</v>
      </c>
      <c r="D382" s="114"/>
      <c r="E382" s="64">
        <f>D382*'16-PlantAdditions'!$E$103</f>
        <v>0</v>
      </c>
      <c r="F382" s="64">
        <f t="shared" si="81"/>
        <v>0</v>
      </c>
      <c r="G382" s="114"/>
      <c r="H382" s="114"/>
      <c r="I382" s="64">
        <f>(G382-H382)*'16-PlantAdditions'!$E$103</f>
        <v>0</v>
      </c>
      <c r="J382" s="64">
        <f t="shared" si="82"/>
        <v>0</v>
      </c>
      <c r="K382" s="64">
        <f t="shared" si="83"/>
        <v>0</v>
      </c>
    </row>
    <row r="383" spans="1:11" s="796" customFormat="1" x14ac:dyDescent="0.2">
      <c r="A383" s="117">
        <f t="shared" si="80"/>
        <v>295</v>
      </c>
      <c r="B383" s="759" t="s">
        <v>1690</v>
      </c>
      <c r="C383" s="757">
        <v>2013</v>
      </c>
      <c r="D383" s="114"/>
      <c r="E383" s="64">
        <f>D383*'16-PlantAdditions'!$E$103</f>
        <v>0</v>
      </c>
      <c r="F383" s="64">
        <f t="shared" si="81"/>
        <v>0</v>
      </c>
      <c r="G383" s="114"/>
      <c r="H383" s="114"/>
      <c r="I383" s="64">
        <f>(G383-H383)*'16-PlantAdditions'!$E$103</f>
        <v>0</v>
      </c>
      <c r="J383" s="64">
        <f t="shared" si="82"/>
        <v>0</v>
      </c>
      <c r="K383" s="64">
        <f t="shared" si="83"/>
        <v>0</v>
      </c>
    </row>
    <row r="384" spans="1:11" s="796" customFormat="1" x14ac:dyDescent="0.2">
      <c r="A384" s="117">
        <f t="shared" si="80"/>
        <v>296</v>
      </c>
      <c r="B384" s="756" t="s">
        <v>207</v>
      </c>
      <c r="C384" s="757">
        <v>2013</v>
      </c>
      <c r="D384" s="114"/>
      <c r="E384" s="64">
        <f>D384*'16-PlantAdditions'!$E$103</f>
        <v>0</v>
      </c>
      <c r="F384" s="64">
        <f t="shared" si="81"/>
        <v>0</v>
      </c>
      <c r="G384" s="114"/>
      <c r="H384" s="114"/>
      <c r="I384" s="64">
        <f>(G384-H384)*'16-PlantAdditions'!$E$103</f>
        <v>0</v>
      </c>
      <c r="J384" s="64">
        <f t="shared" si="82"/>
        <v>0</v>
      </c>
      <c r="K384" s="64">
        <f t="shared" si="83"/>
        <v>0</v>
      </c>
    </row>
    <row r="385" spans="1:11" s="796" customFormat="1" x14ac:dyDescent="0.2">
      <c r="A385" s="117">
        <f t="shared" si="80"/>
        <v>297</v>
      </c>
      <c r="B385" s="759" t="s">
        <v>208</v>
      </c>
      <c r="C385" s="757">
        <v>2013</v>
      </c>
      <c r="D385" s="114"/>
      <c r="E385" s="64">
        <f>D385*'16-PlantAdditions'!$E$103</f>
        <v>0</v>
      </c>
      <c r="F385" s="64">
        <f t="shared" si="81"/>
        <v>0</v>
      </c>
      <c r="G385" s="114"/>
      <c r="H385" s="114"/>
      <c r="I385" s="64">
        <f>(G385-H385)*'16-PlantAdditions'!$E$103</f>
        <v>0</v>
      </c>
      <c r="J385" s="64">
        <f t="shared" si="82"/>
        <v>0</v>
      </c>
      <c r="K385" s="64">
        <f t="shared" si="83"/>
        <v>0</v>
      </c>
    </row>
    <row r="386" spans="1:11" s="796" customFormat="1" x14ac:dyDescent="0.2">
      <c r="A386" s="117">
        <f t="shared" si="80"/>
        <v>298</v>
      </c>
      <c r="B386" s="759" t="s">
        <v>209</v>
      </c>
      <c r="C386" s="757">
        <v>2013</v>
      </c>
      <c r="D386" s="114"/>
      <c r="E386" s="64">
        <f>D386*'16-PlantAdditions'!$E$103</f>
        <v>0</v>
      </c>
      <c r="F386" s="64">
        <f t="shared" si="81"/>
        <v>0</v>
      </c>
      <c r="G386" s="114"/>
      <c r="H386" s="114"/>
      <c r="I386" s="64">
        <f>(G386-H386)*'16-PlantAdditions'!$E$103</f>
        <v>0</v>
      </c>
      <c r="J386" s="64">
        <f t="shared" si="82"/>
        <v>0</v>
      </c>
      <c r="K386" s="64">
        <f t="shared" si="83"/>
        <v>0</v>
      </c>
    </row>
    <row r="387" spans="1:11" s="796" customFormat="1" x14ac:dyDescent="0.2">
      <c r="A387" s="117">
        <f t="shared" si="80"/>
        <v>299</v>
      </c>
      <c r="B387" s="756" t="s">
        <v>212</v>
      </c>
      <c r="C387" s="757">
        <v>2013</v>
      </c>
      <c r="D387" s="114"/>
      <c r="E387" s="64">
        <f>D387*'16-PlantAdditions'!$E$103</f>
        <v>0</v>
      </c>
      <c r="F387" s="64">
        <f t="shared" si="81"/>
        <v>0</v>
      </c>
      <c r="G387" s="114"/>
      <c r="H387" s="114"/>
      <c r="I387" s="64">
        <f>(G387-H387)*'16-PlantAdditions'!$E$103</f>
        <v>0</v>
      </c>
      <c r="J387" s="64">
        <f t="shared" si="82"/>
        <v>0</v>
      </c>
      <c r="K387" s="64">
        <f t="shared" si="83"/>
        <v>0</v>
      </c>
    </row>
    <row r="388" spans="1:11" s="796" customFormat="1" x14ac:dyDescent="0.2">
      <c r="A388" s="117">
        <f t="shared" si="80"/>
        <v>300</v>
      </c>
      <c r="B388" s="756" t="s">
        <v>211</v>
      </c>
      <c r="C388" s="757">
        <v>2013</v>
      </c>
      <c r="D388" s="114"/>
      <c r="E388" s="64">
        <f>D388*'16-PlantAdditions'!$E$103</f>
        <v>0</v>
      </c>
      <c r="F388" s="64">
        <f t="shared" si="81"/>
        <v>0</v>
      </c>
      <c r="G388" s="114"/>
      <c r="H388" s="114"/>
      <c r="I388" s="64">
        <f>(G388-H388)*'16-PlantAdditions'!$E$103</f>
        <v>0</v>
      </c>
      <c r="J388" s="64">
        <f t="shared" si="82"/>
        <v>0</v>
      </c>
      <c r="K388" s="64">
        <f t="shared" si="83"/>
        <v>0</v>
      </c>
    </row>
    <row r="389" spans="1:11" s="796" customFormat="1" x14ac:dyDescent="0.2">
      <c r="A389" s="117">
        <f t="shared" si="80"/>
        <v>301</v>
      </c>
      <c r="B389" s="756" t="s">
        <v>201</v>
      </c>
      <c r="C389" s="757">
        <v>2013</v>
      </c>
      <c r="D389" s="114"/>
      <c r="E389" s="64">
        <f>D389*'16-PlantAdditions'!$E$103</f>
        <v>0</v>
      </c>
      <c r="F389" s="64">
        <f t="shared" si="81"/>
        <v>0</v>
      </c>
      <c r="G389" s="114"/>
      <c r="H389" s="114"/>
      <c r="I389" s="64">
        <f>(G389-H389)*'16-PlantAdditions'!$E$103</f>
        <v>0</v>
      </c>
      <c r="J389" s="64">
        <f t="shared" si="82"/>
        <v>0</v>
      </c>
      <c r="K389" s="64">
        <f t="shared" si="83"/>
        <v>0</v>
      </c>
    </row>
    <row r="390" spans="1:11" s="796" customFormat="1" x14ac:dyDescent="0.2">
      <c r="A390" s="117">
        <f t="shared" si="80"/>
        <v>302</v>
      </c>
      <c r="B390" s="756" t="s">
        <v>202</v>
      </c>
      <c r="C390" s="757">
        <v>2014</v>
      </c>
      <c r="D390" s="114"/>
      <c r="E390" s="64">
        <f>D390*'16-PlantAdditions'!$E$103</f>
        <v>0</v>
      </c>
      <c r="F390" s="64">
        <f t="shared" si="81"/>
        <v>0</v>
      </c>
      <c r="G390" s="114"/>
      <c r="H390" s="114"/>
      <c r="I390" s="64">
        <f>(G390-H390)*'16-PlantAdditions'!$E$103</f>
        <v>0</v>
      </c>
      <c r="J390" s="64">
        <f t="shared" si="82"/>
        <v>0</v>
      </c>
      <c r="K390" s="64">
        <f t="shared" si="83"/>
        <v>0</v>
      </c>
    </row>
    <row r="391" spans="1:11" s="796" customFormat="1" x14ac:dyDescent="0.2">
      <c r="A391" s="117">
        <f t="shared" si="80"/>
        <v>303</v>
      </c>
      <c r="B391" s="759" t="s">
        <v>203</v>
      </c>
      <c r="C391" s="757">
        <v>2014</v>
      </c>
      <c r="D391" s="114"/>
      <c r="E391" s="64">
        <f>D391*'16-PlantAdditions'!$E$103</f>
        <v>0</v>
      </c>
      <c r="F391" s="64">
        <f t="shared" si="81"/>
        <v>0</v>
      </c>
      <c r="G391" s="114"/>
      <c r="H391" s="114"/>
      <c r="I391" s="64">
        <f>(G391-H391)*'16-PlantAdditions'!$E$103</f>
        <v>0</v>
      </c>
      <c r="J391" s="64">
        <f t="shared" si="82"/>
        <v>0</v>
      </c>
      <c r="K391" s="64">
        <f t="shared" si="83"/>
        <v>0</v>
      </c>
    </row>
    <row r="392" spans="1:11" s="796" customFormat="1" x14ac:dyDescent="0.2">
      <c r="A392" s="117">
        <f t="shared" si="80"/>
        <v>304</v>
      </c>
      <c r="B392" s="759" t="s">
        <v>216</v>
      </c>
      <c r="C392" s="757">
        <v>2014</v>
      </c>
      <c r="D392" s="114"/>
      <c r="E392" s="64">
        <f>D392*'16-PlantAdditions'!$E$103</f>
        <v>0</v>
      </c>
      <c r="F392" s="64">
        <f t="shared" si="81"/>
        <v>0</v>
      </c>
      <c r="G392" s="114"/>
      <c r="H392" s="114"/>
      <c r="I392" s="64">
        <f>(G392-H392)*'16-PlantAdditions'!$E$103</f>
        <v>0</v>
      </c>
      <c r="J392" s="64">
        <f t="shared" si="82"/>
        <v>0</v>
      </c>
      <c r="K392" s="64">
        <f t="shared" si="83"/>
        <v>0</v>
      </c>
    </row>
    <row r="393" spans="1:11" s="796" customFormat="1" x14ac:dyDescent="0.2">
      <c r="A393" s="117">
        <f t="shared" si="80"/>
        <v>305</v>
      </c>
      <c r="B393" s="756" t="s">
        <v>204</v>
      </c>
      <c r="C393" s="757">
        <v>2014</v>
      </c>
      <c r="D393" s="114"/>
      <c r="E393" s="64">
        <f>D393*'16-PlantAdditions'!$E$103</f>
        <v>0</v>
      </c>
      <c r="F393" s="64">
        <f t="shared" si="81"/>
        <v>0</v>
      </c>
      <c r="G393" s="114"/>
      <c r="H393" s="114"/>
      <c r="I393" s="64">
        <f>(G393-H393)*'16-PlantAdditions'!$E$103</f>
        <v>0</v>
      </c>
      <c r="J393" s="64">
        <f t="shared" si="82"/>
        <v>0</v>
      </c>
      <c r="K393" s="64">
        <f t="shared" si="83"/>
        <v>0</v>
      </c>
    </row>
    <row r="394" spans="1:11" s="796" customFormat="1" x14ac:dyDescent="0.2">
      <c r="A394" s="117">
        <f t="shared" si="80"/>
        <v>306</v>
      </c>
      <c r="B394" s="759" t="s">
        <v>205</v>
      </c>
      <c r="C394" s="757">
        <v>2014</v>
      </c>
      <c r="D394" s="114"/>
      <c r="E394" s="64">
        <f>D394*'16-PlantAdditions'!$E$103</f>
        <v>0</v>
      </c>
      <c r="F394" s="64">
        <f t="shared" si="81"/>
        <v>0</v>
      </c>
      <c r="G394" s="114"/>
      <c r="H394" s="114"/>
      <c r="I394" s="64">
        <f>(G394-H394)*'16-PlantAdditions'!$E$103</f>
        <v>0</v>
      </c>
      <c r="J394" s="64">
        <f t="shared" si="82"/>
        <v>0</v>
      </c>
      <c r="K394" s="64">
        <f t="shared" si="83"/>
        <v>0</v>
      </c>
    </row>
    <row r="395" spans="1:11" s="796" customFormat="1" x14ac:dyDescent="0.2">
      <c r="A395" s="117">
        <f t="shared" si="80"/>
        <v>307</v>
      </c>
      <c r="B395" s="759" t="s">
        <v>1690</v>
      </c>
      <c r="C395" s="757">
        <v>2014</v>
      </c>
      <c r="D395" s="114"/>
      <c r="E395" s="64">
        <f>D395*'16-PlantAdditions'!$E$103</f>
        <v>0</v>
      </c>
      <c r="F395" s="64">
        <f t="shared" si="81"/>
        <v>0</v>
      </c>
      <c r="G395" s="114"/>
      <c r="H395" s="114"/>
      <c r="I395" s="64">
        <f>(G395-H395)*'16-PlantAdditions'!$E$103</f>
        <v>0</v>
      </c>
      <c r="J395" s="64">
        <f t="shared" si="82"/>
        <v>0</v>
      </c>
      <c r="K395" s="64">
        <f t="shared" si="83"/>
        <v>0</v>
      </c>
    </row>
    <row r="396" spans="1:11" s="796" customFormat="1" x14ac:dyDescent="0.2">
      <c r="A396" s="117">
        <f t="shared" si="80"/>
        <v>308</v>
      </c>
      <c r="B396" s="756" t="s">
        <v>207</v>
      </c>
      <c r="C396" s="757">
        <v>2014</v>
      </c>
      <c r="D396" s="114"/>
      <c r="E396" s="64">
        <f>D396*'16-PlantAdditions'!$E$103</f>
        <v>0</v>
      </c>
      <c r="F396" s="64">
        <f t="shared" si="81"/>
        <v>0</v>
      </c>
      <c r="G396" s="114"/>
      <c r="H396" s="114"/>
      <c r="I396" s="64">
        <f>(G396-H396)*'16-PlantAdditions'!$E$103</f>
        <v>0</v>
      </c>
      <c r="J396" s="64">
        <f t="shared" si="82"/>
        <v>0</v>
      </c>
      <c r="K396" s="64">
        <f t="shared" si="83"/>
        <v>0</v>
      </c>
    </row>
    <row r="397" spans="1:11" s="796" customFormat="1" x14ac:dyDescent="0.2">
      <c r="A397" s="117">
        <f t="shared" si="80"/>
        <v>309</v>
      </c>
      <c r="B397" s="759" t="s">
        <v>208</v>
      </c>
      <c r="C397" s="757">
        <v>2014</v>
      </c>
      <c r="D397" s="114"/>
      <c r="E397" s="64">
        <f>D397*'16-PlantAdditions'!$E$103</f>
        <v>0</v>
      </c>
      <c r="F397" s="64">
        <f t="shared" si="81"/>
        <v>0</v>
      </c>
      <c r="G397" s="114"/>
      <c r="H397" s="114"/>
      <c r="I397" s="64">
        <f>(G397-H397)*'16-PlantAdditions'!$E$103</f>
        <v>0</v>
      </c>
      <c r="J397" s="64">
        <f t="shared" si="82"/>
        <v>0</v>
      </c>
      <c r="K397" s="64">
        <f t="shared" si="83"/>
        <v>0</v>
      </c>
    </row>
    <row r="398" spans="1:11" s="796" customFormat="1" x14ac:dyDescent="0.2">
      <c r="A398" s="117">
        <f t="shared" si="80"/>
        <v>310</v>
      </c>
      <c r="B398" s="759" t="s">
        <v>209</v>
      </c>
      <c r="C398" s="757">
        <v>2014</v>
      </c>
      <c r="D398" s="114"/>
      <c r="E398" s="64">
        <f>D398*'16-PlantAdditions'!$E$103</f>
        <v>0</v>
      </c>
      <c r="F398" s="64">
        <f t="shared" si="81"/>
        <v>0</v>
      </c>
      <c r="G398" s="114"/>
      <c r="H398" s="114"/>
      <c r="I398" s="64">
        <f>(G398-H398)*'16-PlantAdditions'!$E$103</f>
        <v>0</v>
      </c>
      <c r="J398" s="64">
        <f t="shared" si="82"/>
        <v>0</v>
      </c>
      <c r="K398" s="64">
        <f t="shared" si="83"/>
        <v>0</v>
      </c>
    </row>
    <row r="399" spans="1:11" s="796" customFormat="1" x14ac:dyDescent="0.2">
      <c r="A399" s="117">
        <f t="shared" si="80"/>
        <v>311</v>
      </c>
      <c r="B399" s="759" t="s">
        <v>212</v>
      </c>
      <c r="C399" s="757">
        <v>2014</v>
      </c>
      <c r="D399" s="114"/>
      <c r="E399" s="64">
        <f>D399*'16-PlantAdditions'!$E$103</f>
        <v>0</v>
      </c>
      <c r="F399" s="64">
        <f t="shared" ref="F399:F401" si="84">E399+D399</f>
        <v>0</v>
      </c>
      <c r="G399" s="114"/>
      <c r="H399" s="114"/>
      <c r="I399" s="64">
        <f>(G399-H399)*'16-PlantAdditions'!$E$103</f>
        <v>0</v>
      </c>
      <c r="J399" s="64">
        <f t="shared" ref="J399:J401" si="85">J398+F399-G399-I399</f>
        <v>0</v>
      </c>
      <c r="K399" s="64">
        <f t="shared" si="83"/>
        <v>0</v>
      </c>
    </row>
    <row r="400" spans="1:11" s="796" customFormat="1" x14ac:dyDescent="0.2">
      <c r="A400" s="117">
        <f t="shared" si="80"/>
        <v>312</v>
      </c>
      <c r="B400" s="759" t="s">
        <v>211</v>
      </c>
      <c r="C400" s="757">
        <v>2014</v>
      </c>
      <c r="D400" s="114"/>
      <c r="E400" s="64">
        <f>D400*'16-PlantAdditions'!$E$103</f>
        <v>0</v>
      </c>
      <c r="F400" s="64">
        <f t="shared" si="84"/>
        <v>0</v>
      </c>
      <c r="G400" s="114"/>
      <c r="H400" s="114"/>
      <c r="I400" s="64">
        <f>(G400-H400)*'16-PlantAdditions'!$E$103</f>
        <v>0</v>
      </c>
      <c r="J400" s="64">
        <f t="shared" si="85"/>
        <v>0</v>
      </c>
      <c r="K400" s="64">
        <f t="shared" si="83"/>
        <v>0</v>
      </c>
    </row>
    <row r="401" spans="1:11" s="796" customFormat="1" x14ac:dyDescent="0.2">
      <c r="A401" s="117">
        <f t="shared" si="80"/>
        <v>313</v>
      </c>
      <c r="B401" s="759" t="s">
        <v>201</v>
      </c>
      <c r="C401" s="757">
        <v>2014</v>
      </c>
      <c r="D401" s="114"/>
      <c r="E401" s="64">
        <f>D401*'16-PlantAdditions'!$E$103</f>
        <v>0</v>
      </c>
      <c r="F401" s="64">
        <f t="shared" si="84"/>
        <v>0</v>
      </c>
      <c r="G401" s="114"/>
      <c r="H401" s="114"/>
      <c r="I401" s="64">
        <f>(G401-H401)*'16-PlantAdditions'!$E$103</f>
        <v>0</v>
      </c>
      <c r="J401" s="64">
        <f t="shared" si="85"/>
        <v>0</v>
      </c>
      <c r="K401" s="118">
        <f t="shared" si="83"/>
        <v>0</v>
      </c>
    </row>
    <row r="402" spans="1:11" s="796" customFormat="1" x14ac:dyDescent="0.2">
      <c r="A402" s="117">
        <f t="shared" si="80"/>
        <v>314</v>
      </c>
      <c r="B402"/>
      <c r="C402" s="795" t="s">
        <v>1867</v>
      </c>
      <c r="H402" s="800"/>
      <c r="I402" s="800"/>
      <c r="K402" s="78">
        <f>AVERAGE(K389:K401)</f>
        <v>0</v>
      </c>
    </row>
    <row r="403" spans="1:11" s="796" customFormat="1" x14ac:dyDescent="0.2">
      <c r="A403" s="117"/>
      <c r="B403"/>
      <c r="C403" s="795"/>
      <c r="H403" s="800"/>
      <c r="I403" s="800"/>
      <c r="K403" s="78"/>
    </row>
    <row r="404" spans="1:11" s="796" customFormat="1" x14ac:dyDescent="0.2">
      <c r="A404" s="117"/>
      <c r="B404"/>
      <c r="C404" s="795"/>
      <c r="H404" s="800"/>
      <c r="I404" s="800"/>
      <c r="K404" s="78"/>
    </row>
    <row r="405" spans="1:11" s="796" customFormat="1" x14ac:dyDescent="0.2">
      <c r="A405" s="793"/>
      <c r="B405" s="764" t="s">
        <v>258</v>
      </c>
      <c r="C405"/>
      <c r="D405"/>
      <c r="E405"/>
      <c r="F405"/>
      <c r="G405"/>
      <c r="H405"/>
      <c r="I405"/>
    </row>
    <row r="406" spans="1:11" s="796" customFormat="1" x14ac:dyDescent="0.2">
      <c r="A406" s="793"/>
      <c r="B406" s="759" t="s">
        <v>2759</v>
      </c>
    </row>
    <row r="407" spans="1:11" s="796" customFormat="1" x14ac:dyDescent="0.2">
      <c r="A407" s="793"/>
      <c r="B407" s="759" t="s">
        <v>2760</v>
      </c>
      <c r="C407"/>
      <c r="D407"/>
      <c r="E407"/>
      <c r="F407"/>
      <c r="G407"/>
      <c r="H407"/>
      <c r="I407"/>
    </row>
    <row r="408" spans="1:11" s="796" customFormat="1" x14ac:dyDescent="0.2">
      <c r="A408" s="793"/>
      <c r="C408"/>
      <c r="D408"/>
      <c r="E408"/>
      <c r="F408"/>
      <c r="G408"/>
      <c r="H408"/>
      <c r="I408"/>
    </row>
    <row r="409" spans="1:11" s="796" customFormat="1" x14ac:dyDescent="0.2">
      <c r="A409" s="793"/>
      <c r="B409" s="1" t="s">
        <v>422</v>
      </c>
      <c r="C409"/>
      <c r="D409"/>
      <c r="E409"/>
      <c r="F409"/>
      <c r="G409"/>
      <c r="H409"/>
      <c r="I409"/>
    </row>
    <row r="410" spans="1:11" s="796" customFormat="1" x14ac:dyDescent="0.2">
      <c r="A410" s="793"/>
      <c r="B410" s="548" t="s">
        <v>1092</v>
      </c>
      <c r="C410"/>
      <c r="D410"/>
      <c r="E410"/>
      <c r="F410"/>
      <c r="G410"/>
      <c r="H410"/>
      <c r="I410"/>
    </row>
    <row r="411" spans="1:11" s="796" customFormat="1" x14ac:dyDescent="0.2">
      <c r="A411" s="793"/>
      <c r="B411" s="548" t="s">
        <v>2761</v>
      </c>
      <c r="C411"/>
      <c r="D411"/>
      <c r="E411"/>
      <c r="F411"/>
      <c r="G411"/>
      <c r="H411"/>
      <c r="I411"/>
    </row>
    <row r="412" spans="1:11" s="796" customFormat="1" x14ac:dyDescent="0.2">
      <c r="A412" s="793"/>
      <c r="B412" s="550" t="s">
        <v>2420</v>
      </c>
      <c r="C412" s="14"/>
      <c r="D412" s="14"/>
      <c r="E412" s="14"/>
      <c r="F412" s="14"/>
      <c r="G412" s="14"/>
      <c r="H412" s="14"/>
      <c r="I412" s="14"/>
    </row>
    <row r="413" spans="1:11" s="796" customFormat="1" x14ac:dyDescent="0.2">
      <c r="A413" s="793"/>
      <c r="B413" s="547"/>
      <c r="C413" s="14"/>
      <c r="D413" s="14"/>
      <c r="E413" s="14"/>
      <c r="F413" s="14"/>
      <c r="G413" s="14"/>
      <c r="H413" s="14"/>
      <c r="I413" s="14"/>
    </row>
    <row r="414" spans="1:11" s="796" customFormat="1" x14ac:dyDescent="0.2">
      <c r="A414" s="793"/>
      <c r="B414" s="759"/>
      <c r="C414" s="804"/>
      <c r="H414" s="800"/>
      <c r="I414" s="800"/>
    </row>
    <row r="415" spans="1:11" s="796" customFormat="1" x14ac:dyDescent="0.2">
      <c r="A415" s="793"/>
      <c r="B415" s="759"/>
      <c r="C415" s="804"/>
      <c r="H415" s="800"/>
      <c r="I415" s="800"/>
    </row>
    <row r="416" spans="1:11" s="796" customFormat="1" x14ac:dyDescent="0.2">
      <c r="A416" s="793"/>
      <c r="B416" s="759"/>
      <c r="C416" s="804"/>
      <c r="H416" s="800"/>
      <c r="I416" s="800"/>
    </row>
    <row r="417" spans="1:11" s="796" customFormat="1" x14ac:dyDescent="0.2">
      <c r="A417" s="793"/>
      <c r="B417" s="759"/>
      <c r="C417" s="804"/>
      <c r="H417" s="800"/>
      <c r="I417" s="800"/>
    </row>
    <row r="418" spans="1:11" s="796" customFormat="1" x14ac:dyDescent="0.2">
      <c r="A418" s="793"/>
      <c r="B418" s="759"/>
      <c r="C418" s="804"/>
      <c r="D418" s="805"/>
      <c r="E418" s="805"/>
      <c r="F418" s="805"/>
      <c r="G418" s="805"/>
      <c r="H418" s="800"/>
      <c r="I418" s="800"/>
    </row>
    <row r="419" spans="1:11" s="796" customFormat="1" x14ac:dyDescent="0.2">
      <c r="A419" s="793"/>
      <c r="C419" s="806"/>
      <c r="D419" s="807"/>
      <c r="E419" s="807"/>
      <c r="F419" s="807"/>
      <c r="G419" s="807"/>
      <c r="H419" s="800"/>
      <c r="I419" s="800"/>
    </row>
    <row r="420" spans="1:11" s="796" customFormat="1" x14ac:dyDescent="0.2"/>
    <row r="421" spans="1:11" s="796" customFormat="1" x14ac:dyDescent="0.2">
      <c r="B421" s="764"/>
    </row>
    <row r="422" spans="1:11" s="796" customFormat="1" x14ac:dyDescent="0.2">
      <c r="B422" s="759"/>
    </row>
    <row r="423" spans="1:11" x14ac:dyDescent="0.2">
      <c r="A423" s="796"/>
      <c r="B423" s="796"/>
      <c r="C423" s="796"/>
      <c r="D423" s="796"/>
      <c r="E423" s="796"/>
      <c r="F423" s="796"/>
      <c r="G423" s="796"/>
      <c r="H423" s="796"/>
      <c r="I423" s="796"/>
      <c r="J423" s="796"/>
      <c r="K423" s="796"/>
    </row>
    <row r="424" spans="1:11" x14ac:dyDescent="0.2">
      <c r="A424" s="796"/>
      <c r="B424" s="808"/>
      <c r="C424" s="796"/>
      <c r="D424" s="796"/>
      <c r="E424" s="796"/>
      <c r="F424" s="796"/>
      <c r="G424" s="796"/>
      <c r="H424" s="796"/>
      <c r="I424" s="796"/>
      <c r="J424" s="796"/>
      <c r="K424" s="796"/>
    </row>
    <row r="425" spans="1:11" x14ac:dyDescent="0.2">
      <c r="A425" s="796"/>
      <c r="B425" s="809"/>
      <c r="C425" s="796"/>
      <c r="D425" s="796"/>
      <c r="E425" s="796"/>
      <c r="F425" s="796"/>
      <c r="G425" s="796"/>
      <c r="H425" s="796"/>
      <c r="I425" s="796"/>
      <c r="J425" s="796"/>
      <c r="K425" s="796"/>
    </row>
    <row r="426" spans="1:11" x14ac:dyDescent="0.2">
      <c r="A426" s="796"/>
      <c r="B426" s="809"/>
      <c r="C426" s="796"/>
      <c r="D426" s="796"/>
      <c r="E426" s="796"/>
      <c r="F426" s="796"/>
      <c r="G426" s="796"/>
      <c r="H426" s="796"/>
      <c r="I426" s="796"/>
      <c r="J426" s="796"/>
      <c r="K426" s="796"/>
    </row>
    <row r="427" spans="1:11" x14ac:dyDescent="0.2">
      <c r="A427" s="796"/>
      <c r="B427" s="809"/>
      <c r="C427" s="796"/>
      <c r="D427" s="796"/>
      <c r="E427" s="796"/>
      <c r="F427" s="796"/>
      <c r="G427" s="796"/>
      <c r="H427" s="796"/>
      <c r="I427" s="796"/>
      <c r="J427" s="796"/>
      <c r="K427" s="796"/>
    </row>
    <row r="428" spans="1:11" x14ac:dyDescent="0.2">
      <c r="A428" s="796"/>
      <c r="B428" s="810"/>
      <c r="C428" s="796"/>
      <c r="D428" s="796"/>
      <c r="E428" s="796"/>
      <c r="F428" s="796"/>
      <c r="G428" s="796"/>
      <c r="H428" s="796"/>
      <c r="I428" s="796"/>
      <c r="J428" s="796"/>
      <c r="K428" s="796"/>
    </row>
  </sheetData>
  <mergeCells count="9">
    <mergeCell ref="D276:E276"/>
    <mergeCell ref="D307:E307"/>
    <mergeCell ref="D340:E340"/>
    <mergeCell ref="D82:E82"/>
    <mergeCell ref="D115:E115"/>
    <mergeCell ref="D148:E148"/>
    <mergeCell ref="D179:E179"/>
    <mergeCell ref="D212:E212"/>
    <mergeCell ref="D243:E243"/>
  </mergeCells>
  <pageMargins left="0.7" right="0.7" top="0.75" bottom="0.75" header="0.3" footer="0.3"/>
  <pageSetup scale="60" orientation="landscape" cellComments="asDisplayed" r:id="rId1"/>
  <headerFooter>
    <oddHeader>&amp;CSchedule 10
CWIP
&amp;RTO8 Annual Update (Revised)
Attachment  1</oddHeader>
    <oddFooter>&amp;R&amp;A</oddFooter>
  </headerFooter>
  <rowBreaks count="6" manualBreakCount="6">
    <brk id="47" max="16383" man="1"/>
    <brk id="113" max="10" man="1"/>
    <brk id="177" max="10" man="1"/>
    <brk id="241" max="10" man="1"/>
    <brk id="305" max="10" man="1"/>
    <brk id="369"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Layout" zoomScaleNormal="90" workbookViewId="0">
      <selection activeCell="D28" sqref="D28:E28"/>
    </sheetView>
  </sheetViews>
  <sheetFormatPr defaultRowHeight="12.75" x14ac:dyDescent="0.2"/>
  <cols>
    <col min="1" max="1" width="4.7109375" customWidth="1"/>
    <col min="2" max="2" width="22.7109375" customWidth="1"/>
    <col min="3" max="3" width="8.7109375" customWidth="1"/>
    <col min="4" max="5" width="25.7109375" customWidth="1"/>
    <col min="6" max="6" width="22.7109375" customWidth="1"/>
  </cols>
  <sheetData>
    <row r="1" spans="1:6" x14ac:dyDescent="0.2">
      <c r="A1" s="37" t="s">
        <v>1348</v>
      </c>
      <c r="B1" s="127"/>
      <c r="C1" s="38"/>
      <c r="D1" s="38"/>
      <c r="E1" s="38"/>
      <c r="F1" s="38"/>
    </row>
    <row r="2" spans="1:6" x14ac:dyDescent="0.2">
      <c r="A2" s="129"/>
      <c r="B2" s="14"/>
      <c r="C2" s="130"/>
      <c r="D2" s="130"/>
      <c r="F2" s="43" t="s">
        <v>18</v>
      </c>
    </row>
    <row r="3" spans="1:6" x14ac:dyDescent="0.2">
      <c r="A3" s="129"/>
      <c r="B3" s="15" t="s">
        <v>552</v>
      </c>
      <c r="C3" s="130"/>
      <c r="D3" s="130"/>
      <c r="E3" s="130"/>
    </row>
    <row r="4" spans="1:6" x14ac:dyDescent="0.2">
      <c r="A4" s="129"/>
      <c r="B4" s="15" t="s">
        <v>431</v>
      </c>
      <c r="C4" s="130"/>
      <c r="D4" s="130"/>
      <c r="E4" s="130"/>
    </row>
    <row r="5" spans="1:6" x14ac:dyDescent="0.2">
      <c r="A5" s="129"/>
      <c r="B5" s="15" t="s">
        <v>436</v>
      </c>
      <c r="C5" s="130"/>
      <c r="D5" s="130"/>
      <c r="E5" s="130"/>
    </row>
    <row r="6" spans="1:6" x14ac:dyDescent="0.2">
      <c r="A6" s="129"/>
    </row>
    <row r="7" spans="1:6" x14ac:dyDescent="0.2">
      <c r="A7" s="52" t="s">
        <v>362</v>
      </c>
      <c r="B7" s="14"/>
      <c r="C7" s="130"/>
      <c r="D7" s="3" t="s">
        <v>434</v>
      </c>
      <c r="E7" s="128" t="s">
        <v>433</v>
      </c>
      <c r="F7" s="131" t="s">
        <v>200</v>
      </c>
    </row>
    <row r="8" spans="1:6" x14ac:dyDescent="0.2">
      <c r="A8" s="2">
        <v>1</v>
      </c>
      <c r="B8" s="15" t="s">
        <v>445</v>
      </c>
      <c r="D8" s="6">
        <v>16261747</v>
      </c>
      <c r="E8" s="6">
        <v>16261747</v>
      </c>
      <c r="F8" s="13" t="s">
        <v>1375</v>
      </c>
    </row>
    <row r="9" spans="1:6" x14ac:dyDescent="0.2">
      <c r="A9" s="2"/>
      <c r="B9" s="15"/>
      <c r="D9" s="14"/>
      <c r="E9" s="12"/>
    </row>
    <row r="10" spans="1:6" x14ac:dyDescent="0.2">
      <c r="A10" s="2"/>
      <c r="B10" s="15" t="s">
        <v>439</v>
      </c>
      <c r="D10" s="14"/>
      <c r="E10" s="12"/>
    </row>
    <row r="11" spans="1:6" x14ac:dyDescent="0.2">
      <c r="A11" s="2"/>
      <c r="B11" s="15"/>
      <c r="D11" s="14"/>
      <c r="E11" s="12"/>
    </row>
    <row r="12" spans="1:6" x14ac:dyDescent="0.2">
      <c r="A12" s="2"/>
      <c r="B12" s="90" t="s">
        <v>396</v>
      </c>
      <c r="C12" s="90" t="s">
        <v>380</v>
      </c>
      <c r="D12" s="90" t="s">
        <v>381</v>
      </c>
      <c r="E12" s="90" t="s">
        <v>382</v>
      </c>
      <c r="F12" s="90" t="s">
        <v>383</v>
      </c>
    </row>
    <row r="13" spans="1:6" x14ac:dyDescent="0.2">
      <c r="A13" s="2"/>
      <c r="B13" s="15"/>
      <c r="C13" s="2" t="s">
        <v>442</v>
      </c>
      <c r="D13" s="14"/>
      <c r="E13" s="12"/>
    </row>
    <row r="14" spans="1:6" x14ac:dyDescent="0.2">
      <c r="A14" s="2"/>
      <c r="B14" s="52" t="s">
        <v>113</v>
      </c>
      <c r="C14" s="3" t="s">
        <v>441</v>
      </c>
      <c r="D14" s="3" t="s">
        <v>434</v>
      </c>
      <c r="E14" s="128" t="s">
        <v>433</v>
      </c>
      <c r="F14" s="128" t="s">
        <v>200</v>
      </c>
    </row>
    <row r="15" spans="1:6" x14ac:dyDescent="0.2">
      <c r="A15" s="2" t="s">
        <v>571</v>
      </c>
      <c r="B15" s="558" t="s">
        <v>2671</v>
      </c>
      <c r="C15" s="102" t="s">
        <v>2672</v>
      </c>
      <c r="D15" s="6">
        <v>9942155</v>
      </c>
      <c r="E15" s="6">
        <v>9942155</v>
      </c>
      <c r="F15" s="102" t="s">
        <v>2670</v>
      </c>
    </row>
    <row r="16" spans="1:6" x14ac:dyDescent="0.2">
      <c r="A16" s="2" t="s">
        <v>572</v>
      </c>
      <c r="B16" s="122"/>
      <c r="C16" s="102"/>
      <c r="D16" s="6"/>
      <c r="E16" s="6"/>
      <c r="F16" s="102"/>
    </row>
    <row r="17" spans="1:6" x14ac:dyDescent="0.2">
      <c r="A17" s="2" t="s">
        <v>573</v>
      </c>
      <c r="B17" s="122"/>
      <c r="C17" s="102"/>
      <c r="D17" s="6"/>
      <c r="E17" s="6"/>
      <c r="F17" s="102"/>
    </row>
    <row r="18" spans="1:6" x14ac:dyDescent="0.2">
      <c r="A18" s="2" t="s">
        <v>574</v>
      </c>
      <c r="B18" s="122"/>
      <c r="C18" s="102"/>
      <c r="D18" s="6"/>
      <c r="E18" s="6"/>
      <c r="F18" s="102"/>
    </row>
    <row r="19" spans="1:6" x14ac:dyDescent="0.2">
      <c r="A19" s="2" t="s">
        <v>575</v>
      </c>
      <c r="B19" s="122"/>
      <c r="C19" s="102"/>
      <c r="D19" s="6"/>
      <c r="E19" s="6"/>
      <c r="F19" s="102"/>
    </row>
    <row r="20" spans="1:6" x14ac:dyDescent="0.2">
      <c r="A20" s="2" t="s">
        <v>576</v>
      </c>
      <c r="B20" s="122"/>
      <c r="C20" s="102"/>
      <c r="D20" s="6"/>
      <c r="E20" s="6"/>
      <c r="F20" s="102"/>
    </row>
    <row r="21" spans="1:6" x14ac:dyDescent="0.2">
      <c r="A21" s="2" t="s">
        <v>577</v>
      </c>
      <c r="B21" s="122"/>
      <c r="C21" s="102"/>
      <c r="D21" s="6"/>
      <c r="E21" s="6"/>
      <c r="F21" s="102"/>
    </row>
    <row r="22" spans="1:6" x14ac:dyDescent="0.2">
      <c r="A22" s="2" t="s">
        <v>578</v>
      </c>
      <c r="B22" s="122"/>
      <c r="C22" s="102"/>
      <c r="D22" s="6"/>
      <c r="E22" s="6"/>
      <c r="F22" s="102"/>
    </row>
    <row r="23" spans="1:6" x14ac:dyDescent="0.2">
      <c r="A23" s="203"/>
      <c r="B23" s="453" t="s">
        <v>567</v>
      </c>
      <c r="C23" s="102"/>
      <c r="D23" s="454"/>
      <c r="E23" s="454"/>
      <c r="F23" s="102"/>
    </row>
    <row r="24" spans="1:6" x14ac:dyDescent="0.2">
      <c r="A24" s="2">
        <v>3</v>
      </c>
      <c r="C24" s="12" t="s">
        <v>5</v>
      </c>
      <c r="D24" s="7">
        <f>SUM(D15:D22)</f>
        <v>9942155</v>
      </c>
      <c r="E24" s="7">
        <f>SUM(E15:E22)</f>
        <v>9942155</v>
      </c>
      <c r="F24" s="13" t="s">
        <v>580</v>
      </c>
    </row>
    <row r="25" spans="1:6" x14ac:dyDescent="0.2">
      <c r="C25" s="12"/>
    </row>
    <row r="26" spans="1:6" x14ac:dyDescent="0.2">
      <c r="C26" s="12"/>
      <c r="D26" s="3" t="s">
        <v>434</v>
      </c>
      <c r="E26" s="128" t="s">
        <v>433</v>
      </c>
      <c r="F26" s="131" t="s">
        <v>200</v>
      </c>
    </row>
    <row r="27" spans="1:6" x14ac:dyDescent="0.2">
      <c r="A27" s="2">
        <v>4</v>
      </c>
      <c r="B27" s="12" t="s">
        <v>435</v>
      </c>
      <c r="C27" s="12"/>
      <c r="D27" s="6">
        <v>0</v>
      </c>
      <c r="E27" s="6">
        <v>0</v>
      </c>
      <c r="F27" s="46" t="s">
        <v>432</v>
      </c>
    </row>
    <row r="28" spans="1:6" x14ac:dyDescent="0.2">
      <c r="A28" s="2">
        <v>5</v>
      </c>
      <c r="B28" s="12" t="s">
        <v>335</v>
      </c>
      <c r="D28" s="132">
        <f>'27-Allocators'!G15</f>
        <v>3.7193704666678068E-2</v>
      </c>
      <c r="E28" s="132">
        <f>'27-Allocators'!G15</f>
        <v>3.7193704666678068E-2</v>
      </c>
      <c r="F28" s="46" t="str">
        <f>"27-Allocators, L "&amp;'27-Allocators'!A15&amp;""</f>
        <v>27-Allocators, L 9</v>
      </c>
    </row>
    <row r="29" spans="1:6" x14ac:dyDescent="0.2">
      <c r="A29" s="2">
        <v>6</v>
      </c>
      <c r="B29" s="12" t="s">
        <v>443</v>
      </c>
      <c r="C29" s="12"/>
      <c r="D29" s="64">
        <f>D27*D28</f>
        <v>0</v>
      </c>
      <c r="E29" s="64">
        <f>E27*E28</f>
        <v>0</v>
      </c>
      <c r="F29" s="13" t="str">
        <f>"L "&amp;A27&amp;" * L "&amp;A28&amp;""</f>
        <v>L 4 * L 5</v>
      </c>
    </row>
    <row r="30" spans="1:6" x14ac:dyDescent="0.2">
      <c r="C30" s="12"/>
    </row>
    <row r="31" spans="1:6" x14ac:dyDescent="0.2">
      <c r="B31" s="12" t="s">
        <v>440</v>
      </c>
    </row>
    <row r="32" spans="1:6" x14ac:dyDescent="0.2">
      <c r="C32" s="32"/>
      <c r="D32" s="33"/>
      <c r="E32" s="35"/>
    </row>
    <row r="33" spans="1:6" x14ac:dyDescent="0.2">
      <c r="D33" s="3" t="s">
        <v>434</v>
      </c>
      <c r="E33" s="128" t="s">
        <v>433</v>
      </c>
      <c r="F33" s="131" t="s">
        <v>200</v>
      </c>
    </row>
    <row r="34" spans="1:6" x14ac:dyDescent="0.2">
      <c r="A34" s="2">
        <v>7</v>
      </c>
      <c r="C34" s="12"/>
      <c r="D34" s="6">
        <v>6319592</v>
      </c>
      <c r="E34" s="6">
        <v>6319592</v>
      </c>
      <c r="F34" s="13" t="s">
        <v>397</v>
      </c>
    </row>
    <row r="37" spans="1:6" x14ac:dyDescent="0.2">
      <c r="B37" s="12" t="s">
        <v>444</v>
      </c>
      <c r="D37" s="3" t="s">
        <v>434</v>
      </c>
      <c r="E37" s="128" t="s">
        <v>433</v>
      </c>
      <c r="F37" s="131" t="s">
        <v>200</v>
      </c>
    </row>
    <row r="38" spans="1:6" x14ac:dyDescent="0.2">
      <c r="A38" s="2">
        <v>8</v>
      </c>
      <c r="D38" s="108">
        <f>D24+D29</f>
        <v>9942155</v>
      </c>
      <c r="E38" s="108">
        <f>E24+E29</f>
        <v>9942155</v>
      </c>
      <c r="F38" s="13" t="str">
        <f>"L "&amp;A24&amp;" + L "&amp;A29&amp;""</f>
        <v>L 3 + L 6</v>
      </c>
    </row>
    <row r="39" spans="1:6" x14ac:dyDescent="0.2">
      <c r="A39" s="2"/>
      <c r="D39" s="108"/>
      <c r="E39" s="108"/>
      <c r="F39" s="13"/>
    </row>
    <row r="40" spans="1:6" x14ac:dyDescent="0.2">
      <c r="B40" t="s">
        <v>446</v>
      </c>
    </row>
    <row r="41" spans="1:6" x14ac:dyDescent="0.2">
      <c r="A41" s="2">
        <v>9</v>
      </c>
      <c r="B41" s="12" t="s">
        <v>444</v>
      </c>
      <c r="D41" s="47">
        <f>(D38+E38)/2</f>
        <v>9942155</v>
      </c>
      <c r="E41" s="108"/>
      <c r="F41" s="13" t="str">
        <f>"Sum of Line "&amp;A38&amp;" / 2"</f>
        <v>Sum of Line 8 / 2</v>
      </c>
    </row>
    <row r="42" spans="1:6" x14ac:dyDescent="0.2">
      <c r="B42" s="12"/>
    </row>
    <row r="43" spans="1:6" x14ac:dyDescent="0.2">
      <c r="B43" s="1" t="s">
        <v>554</v>
      </c>
      <c r="C43" s="12"/>
    </row>
    <row r="44" spans="1:6" x14ac:dyDescent="0.2">
      <c r="C44" s="12"/>
    </row>
    <row r="45" spans="1:6" x14ac:dyDescent="0.2">
      <c r="A45" s="2"/>
      <c r="F45" s="131" t="s">
        <v>200</v>
      </c>
    </row>
    <row r="46" spans="1:6" x14ac:dyDescent="0.2">
      <c r="A46" s="2">
        <v>10</v>
      </c>
      <c r="B46" s="12" t="s">
        <v>553</v>
      </c>
      <c r="E46" s="869">
        <v>0</v>
      </c>
      <c r="F46" s="13" t="s">
        <v>35</v>
      </c>
    </row>
    <row r="49" spans="2:2" x14ac:dyDescent="0.2">
      <c r="B49" s="1" t="s">
        <v>422</v>
      </c>
    </row>
    <row r="50" spans="2:2" x14ac:dyDescent="0.2">
      <c r="B50" s="12" t="s">
        <v>437</v>
      </c>
    </row>
    <row r="51" spans="2:2" x14ac:dyDescent="0.2">
      <c r="B51" s="12" t="s">
        <v>1354</v>
      </c>
    </row>
    <row r="52" spans="2:2" x14ac:dyDescent="0.2">
      <c r="B52" s="12" t="s">
        <v>1355</v>
      </c>
    </row>
    <row r="53" spans="2:2" x14ac:dyDescent="0.2">
      <c r="B53" s="12" t="s">
        <v>579</v>
      </c>
    </row>
    <row r="54" spans="2:2" x14ac:dyDescent="0.2">
      <c r="B54" s="12" t="str">
        <f>"2) For any Electric Plant Held for Future Use classified as General note amount on Line "&amp;A27&amp;"."</f>
        <v>2) For any Electric Plant Held for Future Use classified as General note amount on Line 4.</v>
      </c>
    </row>
    <row r="55" spans="2:2" x14ac:dyDescent="0.2">
      <c r="B55" s="12" t="s">
        <v>1356</v>
      </c>
    </row>
    <row r="56" spans="2:2" x14ac:dyDescent="0.2">
      <c r="B56" s="12" t="s">
        <v>438</v>
      </c>
    </row>
    <row r="57" spans="2:2" x14ac:dyDescent="0.2">
      <c r="B57" s="548" t="s">
        <v>1923</v>
      </c>
    </row>
    <row r="58" spans="2:2" x14ac:dyDescent="0.2">
      <c r="B58" s="12" t="s">
        <v>1353</v>
      </c>
    </row>
    <row r="59" spans="2:2" x14ac:dyDescent="0.2">
      <c r="B59" s="12"/>
    </row>
    <row r="60" spans="2:2" x14ac:dyDescent="0.2">
      <c r="B60" s="1" t="s">
        <v>258</v>
      </c>
    </row>
    <row r="61" spans="2:2" x14ac:dyDescent="0.2">
      <c r="B61" s="12" t="s">
        <v>1376</v>
      </c>
    </row>
  </sheetData>
  <pageMargins left="0.7" right="0.7" top="0.75" bottom="0.75" header="0.3" footer="0.3"/>
  <pageSetup scale="80" orientation="portrait" cellComments="asDisplayed" r:id="rId1"/>
  <headerFooter>
    <oddHeader>&amp;CSchedule 11
Plant Held for Future Use
&amp;RTO8 Annual Update (Revised)
Attachment  1</oddHeader>
    <oddFooter>&amp;R11-PHFU</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Layout" zoomScaleNormal="85" workbookViewId="0"/>
  </sheetViews>
  <sheetFormatPr defaultRowHeight="12.75" x14ac:dyDescent="0.2"/>
  <cols>
    <col min="1" max="1" width="4.7109375" customWidth="1"/>
    <col min="2" max="2" width="5.7109375" customWidth="1"/>
    <col min="3" max="10" width="12.7109375" customWidth="1"/>
    <col min="12" max="12" width="9.140625" style="14"/>
  </cols>
  <sheetData>
    <row r="1" spans="1:10" x14ac:dyDescent="0.2">
      <c r="A1" s="1" t="s">
        <v>323</v>
      </c>
    </row>
    <row r="2" spans="1:10" x14ac:dyDescent="0.2">
      <c r="I2" s="617" t="s">
        <v>274</v>
      </c>
      <c r="J2" s="617"/>
    </row>
    <row r="3" spans="1:10" x14ac:dyDescent="0.2">
      <c r="B3" t="s">
        <v>348</v>
      </c>
    </row>
    <row r="5" spans="1:10" x14ac:dyDescent="0.2">
      <c r="B5" t="s">
        <v>343</v>
      </c>
    </row>
    <row r="6" spans="1:10" x14ac:dyDescent="0.2">
      <c r="B6" t="s">
        <v>349</v>
      </c>
    </row>
    <row r="7" spans="1:10" x14ac:dyDescent="0.2">
      <c r="F7" s="80" t="s">
        <v>252</v>
      </c>
      <c r="H7" s="80" t="s">
        <v>2232</v>
      </c>
    </row>
    <row r="8" spans="1:10" x14ac:dyDescent="0.2">
      <c r="B8" s="14" t="s">
        <v>2231</v>
      </c>
      <c r="C8" s="14"/>
      <c r="D8" s="14"/>
      <c r="E8" s="14"/>
      <c r="F8" s="102" t="s">
        <v>2673</v>
      </c>
      <c r="G8" s="102"/>
      <c r="H8" s="102" t="s">
        <v>2674</v>
      </c>
      <c r="I8" s="102"/>
    </row>
    <row r="9" spans="1:10" x14ac:dyDescent="0.2">
      <c r="B9" s="14"/>
      <c r="C9" s="14"/>
      <c r="D9" s="14"/>
      <c r="E9" s="14"/>
      <c r="F9" s="102"/>
      <c r="G9" s="102"/>
      <c r="H9" s="102"/>
      <c r="I9" s="102"/>
    </row>
    <row r="10" spans="1:10" x14ac:dyDescent="0.2">
      <c r="B10" s="14"/>
      <c r="C10" s="14"/>
      <c r="D10" s="14"/>
      <c r="E10" s="14"/>
      <c r="F10" s="1160" t="s">
        <v>567</v>
      </c>
      <c r="G10" s="14"/>
      <c r="H10" s="1160" t="s">
        <v>567</v>
      </c>
      <c r="I10" s="14"/>
    </row>
    <row r="12" spans="1:10" x14ac:dyDescent="0.2">
      <c r="B12" s="548" t="s">
        <v>420</v>
      </c>
    </row>
    <row r="13" spans="1:10" x14ac:dyDescent="0.2">
      <c r="B13" s="548"/>
    </row>
    <row r="14" spans="1:10" x14ac:dyDescent="0.2">
      <c r="B14" s="548" t="s">
        <v>418</v>
      </c>
    </row>
    <row r="15" spans="1:10" x14ac:dyDescent="0.2">
      <c r="B15" s="548" t="s">
        <v>419</v>
      </c>
    </row>
    <row r="16" spans="1:10" x14ac:dyDescent="0.2">
      <c r="B16" s="548"/>
      <c r="G16" s="679" t="s">
        <v>421</v>
      </c>
    </row>
    <row r="17" spans="1:10" x14ac:dyDescent="0.2">
      <c r="A17" s="52" t="s">
        <v>362</v>
      </c>
      <c r="G17" s="3" t="s">
        <v>75</v>
      </c>
      <c r="I17" s="52" t="s">
        <v>264</v>
      </c>
    </row>
    <row r="18" spans="1:10" x14ac:dyDescent="0.2">
      <c r="A18" s="679">
        <v>1</v>
      </c>
      <c r="F18" s="36" t="s">
        <v>344</v>
      </c>
      <c r="G18" s="64">
        <f>E31</f>
        <v>11028000</v>
      </c>
      <c r="I18" s="548" t="s">
        <v>430</v>
      </c>
    </row>
    <row r="19" spans="1:10" x14ac:dyDescent="0.2">
      <c r="A19" s="679">
        <v>2</v>
      </c>
      <c r="F19" s="546" t="s">
        <v>424</v>
      </c>
      <c r="G19" s="64">
        <v>11028000</v>
      </c>
      <c r="I19" s="548" t="s">
        <v>430</v>
      </c>
    </row>
    <row r="20" spans="1:10" x14ac:dyDescent="0.2">
      <c r="A20" s="679">
        <v>3</v>
      </c>
      <c r="F20" s="36" t="s">
        <v>346</v>
      </c>
      <c r="G20" s="64">
        <v>0</v>
      </c>
      <c r="I20" s="548" t="s">
        <v>430</v>
      </c>
    </row>
    <row r="21" spans="1:10" x14ac:dyDescent="0.2">
      <c r="A21" s="679">
        <v>4</v>
      </c>
      <c r="F21" s="36" t="s">
        <v>347</v>
      </c>
      <c r="G21" s="64">
        <f>(G19+G20)/2</f>
        <v>5514000</v>
      </c>
      <c r="I21" s="548" t="str">
        <f>"Average of Lines "&amp;A19&amp;" and "&amp;A20&amp;"."</f>
        <v>Average of Lines 2 and 3.</v>
      </c>
    </row>
    <row r="22" spans="1:10" x14ac:dyDescent="0.2">
      <c r="I22" s="548"/>
    </row>
    <row r="24" spans="1:10" x14ac:dyDescent="0.2">
      <c r="A24" s="679">
        <v>5</v>
      </c>
      <c r="C24" s="1" t="s">
        <v>565</v>
      </c>
      <c r="D24" s="558" t="s">
        <v>2673</v>
      </c>
      <c r="G24" s="163" t="s">
        <v>568</v>
      </c>
      <c r="H24" s="558" t="s">
        <v>566</v>
      </c>
      <c r="I24" s="681"/>
      <c r="J24" s="550"/>
    </row>
    <row r="25" spans="1:10" x14ac:dyDescent="0.2">
      <c r="A25" s="679"/>
      <c r="C25" s="1"/>
      <c r="D25" s="550"/>
      <c r="E25" s="14"/>
      <c r="G25" s="681"/>
      <c r="H25" s="550"/>
      <c r="I25" s="681"/>
      <c r="J25" s="550"/>
    </row>
    <row r="26" spans="1:10" x14ac:dyDescent="0.2">
      <c r="D26" s="117" t="s">
        <v>1979</v>
      </c>
      <c r="E26" s="117" t="s">
        <v>415</v>
      </c>
      <c r="F26" s="14"/>
      <c r="G26" s="14"/>
      <c r="H26" s="117" t="s">
        <v>1979</v>
      </c>
      <c r="I26" s="679" t="s">
        <v>415</v>
      </c>
      <c r="J26" s="117"/>
    </row>
    <row r="27" spans="1:10" x14ac:dyDescent="0.2">
      <c r="C27" s="679" t="s">
        <v>332</v>
      </c>
      <c r="D27" s="117" t="s">
        <v>415</v>
      </c>
      <c r="E27" s="117" t="s">
        <v>416</v>
      </c>
      <c r="F27" s="14"/>
      <c r="G27" s="117" t="s">
        <v>332</v>
      </c>
      <c r="H27" s="117" t="s">
        <v>415</v>
      </c>
      <c r="I27" s="679" t="s">
        <v>416</v>
      </c>
      <c r="J27" s="117"/>
    </row>
    <row r="28" spans="1:10" x14ac:dyDescent="0.2">
      <c r="C28" s="679" t="s">
        <v>415</v>
      </c>
      <c r="D28" s="117" t="s">
        <v>416</v>
      </c>
      <c r="E28" s="117" t="s">
        <v>417</v>
      </c>
      <c r="F28" s="14"/>
      <c r="G28" s="117" t="s">
        <v>415</v>
      </c>
      <c r="H28" s="117" t="s">
        <v>416</v>
      </c>
      <c r="I28" s="679" t="s">
        <v>417</v>
      </c>
      <c r="J28" s="117"/>
    </row>
    <row r="29" spans="1:10" x14ac:dyDescent="0.2">
      <c r="A29" s="679"/>
      <c r="B29" s="3" t="s">
        <v>214</v>
      </c>
      <c r="C29" s="3" t="s">
        <v>416</v>
      </c>
      <c r="D29" s="131" t="s">
        <v>1980</v>
      </c>
      <c r="E29" s="131" t="s">
        <v>356</v>
      </c>
      <c r="F29" s="14"/>
      <c r="G29" s="131" t="s">
        <v>416</v>
      </c>
      <c r="H29" s="131" t="s">
        <v>1980</v>
      </c>
      <c r="I29" s="3" t="s">
        <v>356</v>
      </c>
      <c r="J29" s="131"/>
    </row>
    <row r="30" spans="1:10" x14ac:dyDescent="0.2">
      <c r="A30" s="679">
        <v>6</v>
      </c>
      <c r="B30">
        <v>2011</v>
      </c>
      <c r="C30" s="870">
        <v>11028000</v>
      </c>
      <c r="D30" s="870">
        <v>11028000</v>
      </c>
      <c r="E30" s="102">
        <v>0</v>
      </c>
      <c r="G30" s="102"/>
      <c r="H30" s="102"/>
      <c r="I30" s="102"/>
      <c r="J30" s="14"/>
    </row>
    <row r="31" spans="1:10" x14ac:dyDescent="0.2">
      <c r="A31" s="679">
        <v>7</v>
      </c>
      <c r="B31">
        <v>2012</v>
      </c>
      <c r="C31" s="102">
        <v>0</v>
      </c>
      <c r="D31" s="102">
        <v>0</v>
      </c>
      <c r="E31" s="870">
        <v>11028000</v>
      </c>
      <c r="G31" s="102"/>
      <c r="H31" s="102"/>
      <c r="I31" s="102"/>
      <c r="J31" s="14"/>
    </row>
    <row r="32" spans="1:10" x14ac:dyDescent="0.2">
      <c r="A32" s="679">
        <v>8</v>
      </c>
      <c r="B32">
        <v>2013</v>
      </c>
      <c r="C32" s="102"/>
      <c r="D32" s="102"/>
      <c r="E32" s="102"/>
      <c r="G32" s="102"/>
      <c r="H32" s="102"/>
      <c r="I32" s="102"/>
      <c r="J32" s="14"/>
    </row>
    <row r="33" spans="1:10" x14ac:dyDescent="0.2">
      <c r="A33" s="679">
        <v>9</v>
      </c>
      <c r="B33">
        <v>2014</v>
      </c>
      <c r="C33" s="102"/>
      <c r="D33" s="102"/>
      <c r="E33" s="102"/>
      <c r="G33" s="102"/>
      <c r="H33" s="102"/>
      <c r="I33" s="102"/>
      <c r="J33" s="14"/>
    </row>
    <row r="34" spans="1:10" x14ac:dyDescent="0.2">
      <c r="A34" s="679">
        <v>10</v>
      </c>
      <c r="B34">
        <v>2015</v>
      </c>
      <c r="C34" s="102"/>
      <c r="D34" s="102"/>
      <c r="E34" s="102"/>
      <c r="G34" s="102"/>
      <c r="H34" s="102"/>
      <c r="I34" s="102"/>
      <c r="J34" s="14"/>
    </row>
    <row r="35" spans="1:10" x14ac:dyDescent="0.2">
      <c r="A35" s="679">
        <v>11</v>
      </c>
      <c r="B35">
        <v>2016</v>
      </c>
      <c r="C35" s="102"/>
      <c r="D35" s="102"/>
      <c r="E35" s="102"/>
      <c r="G35" s="102"/>
      <c r="H35" s="102"/>
      <c r="I35" s="102"/>
      <c r="J35" s="14"/>
    </row>
    <row r="36" spans="1:10" x14ac:dyDescent="0.2">
      <c r="A36" s="679">
        <v>12</v>
      </c>
      <c r="B36">
        <v>2017</v>
      </c>
      <c r="C36" s="102"/>
      <c r="D36" s="102"/>
      <c r="E36" s="102"/>
      <c r="G36" s="102"/>
      <c r="H36" s="102"/>
      <c r="I36" s="102"/>
      <c r="J36" s="14"/>
    </row>
    <row r="37" spans="1:10" x14ac:dyDescent="0.2">
      <c r="A37" s="679">
        <v>13</v>
      </c>
      <c r="B37">
        <v>2018</v>
      </c>
      <c r="C37" s="102"/>
      <c r="D37" s="102"/>
      <c r="E37" s="102"/>
      <c r="G37" s="102"/>
      <c r="H37" s="102"/>
      <c r="I37" s="102"/>
      <c r="J37" s="14"/>
    </row>
    <row r="38" spans="1:10" x14ac:dyDescent="0.2">
      <c r="A38" s="679">
        <v>14</v>
      </c>
      <c r="B38">
        <v>2019</v>
      </c>
      <c r="C38" s="102"/>
      <c r="D38" s="102"/>
      <c r="E38" s="102"/>
      <c r="G38" s="102"/>
      <c r="H38" s="102"/>
      <c r="I38" s="102"/>
      <c r="J38" s="14"/>
    </row>
    <row r="39" spans="1:10" x14ac:dyDescent="0.2">
      <c r="A39" s="679">
        <v>15</v>
      </c>
      <c r="B39">
        <v>2020</v>
      </c>
      <c r="C39" s="102"/>
      <c r="D39" s="102"/>
      <c r="E39" s="102"/>
      <c r="G39" s="102"/>
      <c r="H39" s="102"/>
      <c r="I39" s="102"/>
      <c r="J39" s="14"/>
    </row>
    <row r="40" spans="1:10" x14ac:dyDescent="0.2">
      <c r="A40" s="679">
        <v>16</v>
      </c>
      <c r="B40">
        <v>2021</v>
      </c>
      <c r="C40" s="102"/>
      <c r="D40" s="102"/>
      <c r="E40" s="102"/>
      <c r="G40" s="102"/>
      <c r="H40" s="102"/>
      <c r="I40" s="102"/>
      <c r="J40" s="14"/>
    </row>
    <row r="41" spans="1:10" x14ac:dyDescent="0.2">
      <c r="A41" s="679">
        <v>17</v>
      </c>
      <c r="B41">
        <v>2022</v>
      </c>
      <c r="C41" s="102"/>
      <c r="D41" s="102"/>
      <c r="E41" s="102"/>
      <c r="G41" s="102"/>
      <c r="H41" s="102"/>
      <c r="I41" s="102"/>
      <c r="J41" s="14"/>
    </row>
    <row r="42" spans="1:10" x14ac:dyDescent="0.2">
      <c r="A42" s="679">
        <v>18</v>
      </c>
      <c r="B42">
        <v>2023</v>
      </c>
      <c r="C42" s="102"/>
      <c r="D42" s="102"/>
      <c r="E42" s="102"/>
      <c r="G42" s="102"/>
      <c r="H42" s="102"/>
      <c r="I42" s="102"/>
      <c r="J42" s="14"/>
    </row>
    <row r="43" spans="1:10" x14ac:dyDescent="0.2">
      <c r="A43" s="679">
        <v>19</v>
      </c>
      <c r="B43">
        <v>2024</v>
      </c>
      <c r="C43" s="102"/>
      <c r="D43" s="102"/>
      <c r="E43" s="102"/>
      <c r="G43" s="102"/>
      <c r="H43" s="102"/>
      <c r="I43" s="102"/>
      <c r="J43" s="14"/>
    </row>
    <row r="44" spans="1:10" x14ac:dyDescent="0.2">
      <c r="A44" s="679">
        <v>20</v>
      </c>
      <c r="B44">
        <v>2025</v>
      </c>
      <c r="C44" s="102"/>
      <c r="D44" s="102"/>
      <c r="E44" s="102"/>
      <c r="G44" s="102"/>
      <c r="H44" s="102"/>
      <c r="I44" s="102"/>
      <c r="J44" s="14"/>
    </row>
    <row r="45" spans="1:10" x14ac:dyDescent="0.2">
      <c r="A45" s="679">
        <v>21</v>
      </c>
      <c r="B45">
        <v>2026</v>
      </c>
      <c r="C45" s="102"/>
      <c r="D45" s="102"/>
      <c r="E45" s="102"/>
      <c r="G45" s="102"/>
      <c r="H45" s="102"/>
      <c r="I45" s="102"/>
      <c r="J45" s="14"/>
    </row>
    <row r="46" spans="1:10" x14ac:dyDescent="0.2">
      <c r="A46" s="679">
        <v>22</v>
      </c>
      <c r="B46">
        <v>2027</v>
      </c>
      <c r="C46" s="102"/>
      <c r="D46" s="102"/>
      <c r="E46" s="102"/>
      <c r="G46" s="102"/>
      <c r="H46" s="102"/>
      <c r="I46" s="102"/>
      <c r="J46" s="14"/>
    </row>
    <row r="47" spans="1:10" x14ac:dyDescent="0.2">
      <c r="A47" s="679">
        <v>23</v>
      </c>
      <c r="B47">
        <v>2028</v>
      </c>
      <c r="C47" s="102"/>
      <c r="D47" s="102"/>
      <c r="E47" s="102"/>
      <c r="G47" s="102"/>
      <c r="H47" s="102"/>
      <c r="I47" s="102"/>
      <c r="J47" s="14"/>
    </row>
    <row r="48" spans="1:10" x14ac:dyDescent="0.2">
      <c r="A48" s="679">
        <v>24</v>
      </c>
      <c r="B48">
        <v>2029</v>
      </c>
      <c r="C48" s="102"/>
      <c r="D48" s="102"/>
      <c r="E48" s="102"/>
      <c r="G48" s="102"/>
      <c r="H48" s="102"/>
      <c r="I48" s="102"/>
      <c r="J48" s="14"/>
    </row>
    <row r="49" spans="1:10" x14ac:dyDescent="0.2">
      <c r="A49" s="679">
        <v>25</v>
      </c>
      <c r="B49">
        <v>2030</v>
      </c>
      <c r="C49" s="102"/>
      <c r="D49" s="102"/>
      <c r="E49" s="102"/>
      <c r="G49" s="102"/>
      <c r="H49" s="102"/>
      <c r="I49" s="102"/>
      <c r="J49" s="14"/>
    </row>
    <row r="50" spans="1:10" x14ac:dyDescent="0.2">
      <c r="A50" s="679">
        <v>26</v>
      </c>
      <c r="B50">
        <v>2031</v>
      </c>
      <c r="C50" s="102"/>
      <c r="D50" s="102"/>
      <c r="E50" s="102"/>
      <c r="G50" s="102"/>
      <c r="H50" s="102"/>
      <c r="I50" s="102"/>
      <c r="J50" s="14"/>
    </row>
    <row r="51" spans="1:10" x14ac:dyDescent="0.2">
      <c r="A51" s="679">
        <v>27</v>
      </c>
      <c r="B51">
        <v>2032</v>
      </c>
      <c r="C51" s="102"/>
      <c r="D51" s="102"/>
      <c r="E51" s="102"/>
      <c r="G51" s="102"/>
      <c r="H51" s="102"/>
      <c r="I51" s="102"/>
      <c r="J51" s="14"/>
    </row>
    <row r="52" spans="1:10" x14ac:dyDescent="0.2">
      <c r="A52" s="679">
        <v>28</v>
      </c>
      <c r="B52">
        <v>2033</v>
      </c>
      <c r="C52" s="102"/>
      <c r="D52" s="102"/>
      <c r="E52" s="102"/>
      <c r="G52" s="102"/>
      <c r="H52" s="102"/>
      <c r="I52" s="102"/>
      <c r="J52" s="14"/>
    </row>
    <row r="53" spans="1:10" x14ac:dyDescent="0.2">
      <c r="A53" s="679">
        <v>29</v>
      </c>
      <c r="B53">
        <v>2034</v>
      </c>
      <c r="C53" s="102"/>
      <c r="D53" s="102"/>
      <c r="E53" s="102"/>
      <c r="G53" s="102"/>
      <c r="H53" s="102"/>
      <c r="I53" s="102"/>
      <c r="J53" s="14"/>
    </row>
    <row r="54" spans="1:10" x14ac:dyDescent="0.2">
      <c r="A54" s="679">
        <v>30</v>
      </c>
      <c r="B54">
        <v>2035</v>
      </c>
      <c r="C54" s="102"/>
      <c r="D54" s="102"/>
      <c r="E54" s="102"/>
      <c r="G54" s="102"/>
      <c r="H54" s="102"/>
      <c r="I54" s="102"/>
      <c r="J54" s="14"/>
    </row>
    <row r="55" spans="1:10" x14ac:dyDescent="0.2">
      <c r="A55" s="679">
        <v>31</v>
      </c>
      <c r="B55" s="682" t="s">
        <v>567</v>
      </c>
    </row>
    <row r="56" spans="1:10" x14ac:dyDescent="0.2">
      <c r="A56" s="679"/>
      <c r="B56" s="682"/>
    </row>
    <row r="57" spans="1:10" x14ac:dyDescent="0.2">
      <c r="A57" s="679"/>
      <c r="B57" s="44" t="s">
        <v>258</v>
      </c>
      <c r="C57" s="14"/>
      <c r="D57" s="14"/>
      <c r="E57" s="14"/>
      <c r="F57" s="14"/>
      <c r="G57" s="14"/>
      <c r="H57" s="14"/>
      <c r="I57" s="14"/>
      <c r="J57" s="14"/>
    </row>
    <row r="58" spans="1:10" x14ac:dyDescent="0.2">
      <c r="A58" s="679"/>
      <c r="B58" s="550" t="s">
        <v>1981</v>
      </c>
      <c r="C58" s="14"/>
      <c r="D58" s="14"/>
      <c r="E58" s="14"/>
      <c r="F58" s="14"/>
      <c r="G58" s="14"/>
      <c r="H58" s="14"/>
      <c r="I58" s="14"/>
      <c r="J58" s="14"/>
    </row>
    <row r="59" spans="1:10" x14ac:dyDescent="0.2">
      <c r="A59" s="679"/>
      <c r="B59" s="14"/>
      <c r="C59" s="14"/>
      <c r="D59" s="14"/>
      <c r="E59" s="14"/>
      <c r="F59" s="14"/>
      <c r="G59" s="14"/>
      <c r="H59" s="14"/>
      <c r="I59" s="14"/>
      <c r="J59" s="14"/>
    </row>
    <row r="60" spans="1:10" x14ac:dyDescent="0.2">
      <c r="A60" s="679"/>
      <c r="B60" s="44" t="s">
        <v>422</v>
      </c>
      <c r="C60" s="14"/>
      <c r="D60" s="14"/>
      <c r="E60" s="14"/>
      <c r="F60" s="14"/>
      <c r="G60" s="14"/>
      <c r="H60" s="14"/>
      <c r="I60" s="14"/>
      <c r="J60" s="14"/>
    </row>
    <row r="61" spans="1:10" x14ac:dyDescent="0.2">
      <c r="A61" s="679"/>
      <c r="B61" s="550" t="s">
        <v>423</v>
      </c>
      <c r="C61" s="14"/>
      <c r="D61" s="14"/>
      <c r="E61" s="14"/>
      <c r="F61" s="14"/>
      <c r="G61" s="14"/>
      <c r="H61" s="14"/>
      <c r="I61" s="14"/>
      <c r="J61" s="14"/>
    </row>
    <row r="62" spans="1:10" x14ac:dyDescent="0.2">
      <c r="A62" s="679"/>
      <c r="B62" s="547" t="s">
        <v>1982</v>
      </c>
      <c r="C62" s="14"/>
      <c r="D62" s="14"/>
      <c r="E62" s="14"/>
      <c r="F62" s="14"/>
      <c r="G62" s="14"/>
      <c r="H62" s="14"/>
      <c r="I62" s="14"/>
      <c r="J62" s="14"/>
    </row>
    <row r="63" spans="1:10" x14ac:dyDescent="0.2">
      <c r="A63" s="679"/>
      <c r="B63" s="547" t="s">
        <v>1983</v>
      </c>
      <c r="C63" s="14"/>
      <c r="D63" s="14"/>
      <c r="E63" s="14"/>
      <c r="F63" s="14"/>
      <c r="G63" s="14"/>
      <c r="H63" s="14"/>
      <c r="I63" s="14"/>
      <c r="J63" s="14"/>
    </row>
    <row r="64" spans="1:10" x14ac:dyDescent="0.2">
      <c r="A64" s="679"/>
      <c r="B64" s="547" t="s">
        <v>428</v>
      </c>
      <c r="C64" s="14"/>
      <c r="D64" s="14"/>
      <c r="E64" s="14"/>
      <c r="F64" s="14"/>
      <c r="G64" s="14"/>
      <c r="H64" s="14"/>
      <c r="I64" s="14"/>
      <c r="J64" s="14"/>
    </row>
    <row r="65" spans="1:10" x14ac:dyDescent="0.2">
      <c r="A65" s="679"/>
      <c r="B65" s="547" t="s">
        <v>429</v>
      </c>
      <c r="C65" s="14"/>
      <c r="D65" s="14"/>
      <c r="E65" s="14"/>
      <c r="F65" s="14"/>
      <c r="G65" s="14"/>
      <c r="H65" s="14"/>
      <c r="I65" s="14"/>
      <c r="J65" s="14"/>
    </row>
    <row r="66" spans="1:10" x14ac:dyDescent="0.2">
      <c r="B66" s="547" t="s">
        <v>426</v>
      </c>
      <c r="C66" s="14"/>
      <c r="D66" s="14"/>
      <c r="E66" s="14"/>
      <c r="F66" s="14"/>
      <c r="G66" s="14"/>
      <c r="H66" s="14"/>
      <c r="I66" s="14"/>
      <c r="J66" s="14"/>
    </row>
    <row r="67" spans="1:10" x14ac:dyDescent="0.2">
      <c r="B67" s="1135" t="s">
        <v>569</v>
      </c>
      <c r="C67" s="14"/>
      <c r="D67" s="14"/>
      <c r="E67" s="14"/>
      <c r="F67" s="14"/>
      <c r="G67" s="14"/>
      <c r="H67" s="14"/>
      <c r="I67" s="14"/>
      <c r="J67" s="14"/>
    </row>
    <row r="68" spans="1:10" x14ac:dyDescent="0.2">
      <c r="B68" s="550" t="s">
        <v>427</v>
      </c>
      <c r="C68" s="14"/>
      <c r="D68" s="14"/>
      <c r="E68" s="14"/>
      <c r="F68" s="14"/>
      <c r="G68" s="14"/>
      <c r="H68" s="14"/>
      <c r="I68" s="14"/>
      <c r="J68" s="14"/>
    </row>
    <row r="69" spans="1:10" x14ac:dyDescent="0.2">
      <c r="B69" s="550" t="s">
        <v>570</v>
      </c>
      <c r="C69" s="14"/>
      <c r="D69" s="14"/>
      <c r="E69" s="14"/>
      <c r="F69" s="14"/>
      <c r="G69" s="14"/>
      <c r="H69" s="14"/>
      <c r="I69" s="14"/>
      <c r="J69" s="14"/>
    </row>
  </sheetData>
  <pageMargins left="0.7" right="0.7" top="0.75" bottom="0.75" header="0.3" footer="0.3"/>
  <pageSetup scale="80" orientation="portrait" cellComments="asDisplayed" r:id="rId1"/>
  <headerFooter>
    <oddHeader>&amp;CSchedule 12
Abandoned Plant
&amp;RTO8 Annual Update (Revised)
Attachment  1</oddHead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view="pageLayout" zoomScaleNormal="90" workbookViewId="0">
      <selection activeCell="K39" sqref="K39"/>
    </sheetView>
  </sheetViews>
  <sheetFormatPr defaultRowHeight="12.75" x14ac:dyDescent="0.2"/>
  <cols>
    <col min="1" max="1" width="4.7109375" customWidth="1"/>
    <col min="2" max="2" width="3.7109375" customWidth="1"/>
    <col min="3" max="3" width="14.7109375" customWidth="1"/>
    <col min="4" max="4" width="8.7109375" customWidth="1"/>
    <col min="5" max="5" width="15.28515625" customWidth="1"/>
    <col min="6" max="6" width="24.7109375" customWidth="1"/>
    <col min="7" max="7" width="35.7109375" customWidth="1"/>
    <col min="11" max="11" width="11.140625" bestFit="1" customWidth="1"/>
  </cols>
  <sheetData>
    <row r="1" spans="1:7" x14ac:dyDescent="0.2">
      <c r="A1" s="1" t="s">
        <v>7</v>
      </c>
    </row>
    <row r="2" spans="1:7" x14ac:dyDescent="0.2">
      <c r="F2" s="43" t="s">
        <v>18</v>
      </c>
    </row>
    <row r="3" spans="1:7" x14ac:dyDescent="0.2">
      <c r="B3" s="1" t="s">
        <v>179</v>
      </c>
    </row>
    <row r="4" spans="1:7" x14ac:dyDescent="0.2">
      <c r="C4" s="12" t="s">
        <v>615</v>
      </c>
      <c r="E4" s="18"/>
      <c r="F4" s="28"/>
      <c r="G4" s="27"/>
    </row>
    <row r="5" spans="1:7" x14ac:dyDescent="0.2">
      <c r="C5" s="12" t="s">
        <v>616</v>
      </c>
      <c r="E5" s="18"/>
      <c r="F5" s="28"/>
      <c r="G5" s="27"/>
    </row>
    <row r="6" spans="1:7" x14ac:dyDescent="0.2">
      <c r="E6" s="18"/>
      <c r="F6" s="79"/>
      <c r="G6" s="27"/>
    </row>
    <row r="7" spans="1:7" x14ac:dyDescent="0.2">
      <c r="C7" s="21"/>
      <c r="D7" s="17"/>
      <c r="E7" s="26" t="s">
        <v>215</v>
      </c>
      <c r="F7" s="26" t="s">
        <v>1963</v>
      </c>
      <c r="G7" s="26"/>
    </row>
    <row r="8" spans="1:7" x14ac:dyDescent="0.2">
      <c r="A8" s="54" t="s">
        <v>352</v>
      </c>
      <c r="C8" s="25" t="s">
        <v>213</v>
      </c>
      <c r="D8" s="25" t="s">
        <v>214</v>
      </c>
      <c r="E8" s="25" t="s">
        <v>200</v>
      </c>
      <c r="F8" s="31" t="s">
        <v>1962</v>
      </c>
      <c r="G8" s="29" t="s">
        <v>189</v>
      </c>
    </row>
    <row r="9" spans="1:7" x14ac:dyDescent="0.2">
      <c r="A9" s="2">
        <v>1</v>
      </c>
      <c r="C9" s="19" t="s">
        <v>201</v>
      </c>
      <c r="D9" s="156">
        <v>2011</v>
      </c>
      <c r="E9" s="30" t="s">
        <v>614</v>
      </c>
      <c r="F9" s="67">
        <v>326272688.58999997</v>
      </c>
      <c r="G9" s="30" t="s">
        <v>97</v>
      </c>
    </row>
    <row r="10" spans="1:7" x14ac:dyDescent="0.2">
      <c r="A10" s="117">
        <f>A9+1</f>
        <v>2</v>
      </c>
      <c r="B10" s="14"/>
      <c r="C10" s="1077" t="s">
        <v>202</v>
      </c>
      <c r="D10" s="156">
        <v>2012</v>
      </c>
      <c r="E10" s="598" t="s">
        <v>35</v>
      </c>
      <c r="F10" s="114">
        <v>323300504.74000001</v>
      </c>
      <c r="G10" s="30"/>
    </row>
    <row r="11" spans="1:7" x14ac:dyDescent="0.2">
      <c r="A11" s="117">
        <f t="shared" ref="A11:A21" si="0">A10+1</f>
        <v>3</v>
      </c>
      <c r="B11" s="14"/>
      <c r="C11" s="1077" t="s">
        <v>203</v>
      </c>
      <c r="D11" s="156">
        <v>2012</v>
      </c>
      <c r="E11" s="598" t="s">
        <v>35</v>
      </c>
      <c r="F11" s="114">
        <v>320114784.26999998</v>
      </c>
      <c r="G11" s="30"/>
    </row>
    <row r="12" spans="1:7" x14ac:dyDescent="0.2">
      <c r="A12" s="117">
        <f t="shared" si="0"/>
        <v>4</v>
      </c>
      <c r="B12" s="14"/>
      <c r="C12" s="1077" t="s">
        <v>216</v>
      </c>
      <c r="D12" s="156">
        <v>2012</v>
      </c>
      <c r="E12" s="598" t="s">
        <v>35</v>
      </c>
      <c r="F12" s="114">
        <v>320919071.97000003</v>
      </c>
      <c r="G12" s="30"/>
    </row>
    <row r="13" spans="1:7" x14ac:dyDescent="0.2">
      <c r="A13" s="117">
        <f t="shared" si="0"/>
        <v>5</v>
      </c>
      <c r="B13" s="14"/>
      <c r="C13" s="1077" t="s">
        <v>204</v>
      </c>
      <c r="D13" s="156">
        <v>2012</v>
      </c>
      <c r="E13" s="598" t="s">
        <v>35</v>
      </c>
      <c r="F13" s="114">
        <v>320201615.95999998</v>
      </c>
      <c r="G13" s="30"/>
    </row>
    <row r="14" spans="1:7" x14ac:dyDescent="0.2">
      <c r="A14" s="117">
        <f t="shared" si="0"/>
        <v>6</v>
      </c>
      <c r="B14" s="14"/>
      <c r="C14" s="1077" t="s">
        <v>205</v>
      </c>
      <c r="D14" s="156">
        <v>2012</v>
      </c>
      <c r="E14" s="598" t="s">
        <v>35</v>
      </c>
      <c r="F14" s="114">
        <v>318170412.85000002</v>
      </c>
      <c r="G14" s="30"/>
    </row>
    <row r="15" spans="1:7" x14ac:dyDescent="0.2">
      <c r="A15" s="117">
        <f t="shared" si="0"/>
        <v>7</v>
      </c>
      <c r="B15" s="14"/>
      <c r="C15" s="1077" t="s">
        <v>1690</v>
      </c>
      <c r="D15" s="156">
        <v>2012</v>
      </c>
      <c r="E15" s="598" t="s">
        <v>35</v>
      </c>
      <c r="F15" s="114">
        <v>316327857.17000002</v>
      </c>
      <c r="G15" s="30"/>
    </row>
    <row r="16" spans="1:7" x14ac:dyDescent="0.2">
      <c r="A16" s="117">
        <f t="shared" si="0"/>
        <v>8</v>
      </c>
      <c r="B16" s="14"/>
      <c r="C16" s="1077" t="s">
        <v>207</v>
      </c>
      <c r="D16" s="156">
        <v>2012</v>
      </c>
      <c r="E16" s="598" t="s">
        <v>35</v>
      </c>
      <c r="F16" s="114">
        <v>318609546.07999998</v>
      </c>
      <c r="G16" s="30"/>
    </row>
    <row r="17" spans="1:7" x14ac:dyDescent="0.2">
      <c r="A17" s="117">
        <f t="shared" si="0"/>
        <v>9</v>
      </c>
      <c r="B17" s="14"/>
      <c r="C17" s="1077" t="s">
        <v>208</v>
      </c>
      <c r="D17" s="156">
        <v>2012</v>
      </c>
      <c r="E17" s="598" t="s">
        <v>35</v>
      </c>
      <c r="F17" s="114">
        <v>319992300.50999999</v>
      </c>
      <c r="G17" s="30"/>
    </row>
    <row r="18" spans="1:7" x14ac:dyDescent="0.2">
      <c r="A18" s="117">
        <f t="shared" si="0"/>
        <v>10</v>
      </c>
      <c r="B18" s="14"/>
      <c r="C18" s="1077" t="s">
        <v>209</v>
      </c>
      <c r="D18" s="156">
        <v>2012</v>
      </c>
      <c r="E18" s="598" t="s">
        <v>35</v>
      </c>
      <c r="F18" s="114">
        <v>318943036.63999999</v>
      </c>
      <c r="G18" s="30"/>
    </row>
    <row r="19" spans="1:7" x14ac:dyDescent="0.2">
      <c r="A19" s="117">
        <f t="shared" si="0"/>
        <v>11</v>
      </c>
      <c r="B19" s="14"/>
      <c r="C19" s="1077" t="s">
        <v>212</v>
      </c>
      <c r="D19" s="156">
        <v>2012</v>
      </c>
      <c r="E19" s="598" t="s">
        <v>35</v>
      </c>
      <c r="F19" s="114">
        <v>314507540.73000002</v>
      </c>
      <c r="G19" s="30"/>
    </row>
    <row r="20" spans="1:7" x14ac:dyDescent="0.2">
      <c r="A20" s="117">
        <f t="shared" si="0"/>
        <v>12</v>
      </c>
      <c r="B20" s="14"/>
      <c r="C20" s="1077" t="s">
        <v>211</v>
      </c>
      <c r="D20" s="156">
        <v>2012</v>
      </c>
      <c r="E20" s="598" t="s">
        <v>35</v>
      </c>
      <c r="F20" s="587">
        <v>312187349.18000001</v>
      </c>
      <c r="G20" s="30"/>
    </row>
    <row r="21" spans="1:7" x14ac:dyDescent="0.2">
      <c r="A21" s="117">
        <f t="shared" si="0"/>
        <v>13</v>
      </c>
      <c r="B21" s="14"/>
      <c r="C21" s="21" t="s">
        <v>201</v>
      </c>
      <c r="D21" s="156">
        <v>2012</v>
      </c>
      <c r="E21" s="30" t="s">
        <v>613</v>
      </c>
      <c r="F21" s="67">
        <v>319397011.26999998</v>
      </c>
      <c r="G21" s="16" t="s">
        <v>102</v>
      </c>
    </row>
    <row r="22" spans="1:7" x14ac:dyDescent="0.2">
      <c r="A22" s="14"/>
      <c r="B22" s="14"/>
      <c r="C22" s="22"/>
      <c r="D22" s="22"/>
      <c r="E22" s="18"/>
      <c r="G22" s="30"/>
    </row>
    <row r="23" spans="1:7" x14ac:dyDescent="0.2">
      <c r="A23" s="117">
        <f>A21+1</f>
        <v>14</v>
      </c>
      <c r="B23" s="14"/>
      <c r="C23" s="22"/>
      <c r="D23" s="22"/>
      <c r="E23" s="590" t="s">
        <v>2246</v>
      </c>
      <c r="F23" s="1161">
        <f>SUM(F9:F21)/13</f>
        <v>319149516.92000002</v>
      </c>
      <c r="G23" s="120" t="str">
        <f>"(Sum Line "&amp;A9&amp;" to Line "&amp;A21&amp;") / 13"</f>
        <v>(Sum Line 1 to Line 13) / 13</v>
      </c>
    </row>
    <row r="24" spans="1:7" x14ac:dyDescent="0.2">
      <c r="A24" s="117">
        <f>A23+1</f>
        <v>15</v>
      </c>
      <c r="B24" s="14"/>
      <c r="C24" s="22"/>
      <c r="D24" s="22"/>
      <c r="E24" s="34" t="s">
        <v>342</v>
      </c>
      <c r="F24" s="1377">
        <f>'27-Allocators'!G15</f>
        <v>3.7193704666678068E-2</v>
      </c>
      <c r="G24" s="120" t="str">
        <f>"27-Allocators, Line "&amp;'27-Allocators'!A15&amp;""</f>
        <v>27-Allocators, Line 9</v>
      </c>
    </row>
    <row r="25" spans="1:7" x14ac:dyDescent="0.2">
      <c r="A25" s="14"/>
      <c r="B25" s="14"/>
      <c r="C25" s="14"/>
      <c r="D25" s="22"/>
      <c r="E25" s="34"/>
      <c r="F25" s="33"/>
      <c r="G25" s="16"/>
    </row>
    <row r="26" spans="1:7" x14ac:dyDescent="0.2">
      <c r="A26" s="117">
        <f>A24+1</f>
        <v>16</v>
      </c>
      <c r="B26" s="14"/>
      <c r="C26" s="22" t="s">
        <v>104</v>
      </c>
      <c r="D26" s="22"/>
      <c r="E26" s="389" t="s">
        <v>175</v>
      </c>
      <c r="F26" s="33">
        <f>F21*F24</f>
        <v>11879558.108596025</v>
      </c>
      <c r="G26" s="13" t="str">
        <f>"Line "&amp;A21&amp;" * Line "&amp;A24&amp;""</f>
        <v>Line 13 * Line 15</v>
      </c>
    </row>
    <row r="27" spans="1:7" x14ac:dyDescent="0.2">
      <c r="A27" s="117">
        <f>A26+1</f>
        <v>17</v>
      </c>
      <c r="B27" s="14"/>
      <c r="C27" s="22"/>
      <c r="D27" s="22"/>
      <c r="E27" s="590" t="s">
        <v>2247</v>
      </c>
      <c r="F27" s="1378">
        <f>F23*F24</f>
        <v>11870352.876835456</v>
      </c>
      <c r="G27" s="13" t="str">
        <f>"Line "&amp;A23&amp;" * Line "&amp;A24&amp;""</f>
        <v>Line 14 * Line 15</v>
      </c>
    </row>
    <row r="28" spans="1:7" x14ac:dyDescent="0.2">
      <c r="A28" s="14"/>
      <c r="B28" s="14"/>
      <c r="C28" s="14"/>
      <c r="D28" s="14"/>
      <c r="E28" s="14"/>
      <c r="F28" s="14"/>
    </row>
    <row r="29" spans="1:7" x14ac:dyDescent="0.2">
      <c r="A29" s="14"/>
      <c r="B29" s="44" t="s">
        <v>177</v>
      </c>
      <c r="C29" s="14"/>
      <c r="D29" s="14"/>
      <c r="E29" s="14"/>
      <c r="F29" s="14"/>
    </row>
    <row r="30" spans="1:7" x14ac:dyDescent="0.2">
      <c r="A30" s="14"/>
      <c r="B30" s="14"/>
      <c r="C30" s="14" t="s">
        <v>8</v>
      </c>
      <c r="D30" s="14"/>
      <c r="E30" s="608"/>
      <c r="F30" s="28"/>
      <c r="G30" s="27"/>
    </row>
    <row r="31" spans="1:7" x14ac:dyDescent="0.2">
      <c r="A31" s="14"/>
      <c r="B31" s="14"/>
      <c r="C31" s="14" t="s">
        <v>2088</v>
      </c>
      <c r="D31" s="14"/>
      <c r="E31" s="608"/>
      <c r="F31" s="28"/>
      <c r="G31" s="27"/>
    </row>
    <row r="32" spans="1:7" x14ac:dyDescent="0.2">
      <c r="C32" s="21"/>
      <c r="D32" s="17"/>
      <c r="E32" s="26" t="s">
        <v>215</v>
      </c>
      <c r="F32" s="79" t="s">
        <v>270</v>
      </c>
      <c r="G32" s="26"/>
    </row>
    <row r="33" spans="1:11" x14ac:dyDescent="0.2">
      <c r="C33" s="25" t="s">
        <v>213</v>
      </c>
      <c r="D33" s="25" t="s">
        <v>214</v>
      </c>
      <c r="E33" s="25" t="s">
        <v>200</v>
      </c>
      <c r="F33" s="31" t="s">
        <v>3</v>
      </c>
      <c r="G33" s="29" t="s">
        <v>189</v>
      </c>
    </row>
    <row r="34" spans="1:11" x14ac:dyDescent="0.2">
      <c r="A34" s="117">
        <f>A27+1</f>
        <v>18</v>
      </c>
      <c r="B34" s="14"/>
      <c r="C34" s="311" t="s">
        <v>201</v>
      </c>
      <c r="D34" s="156">
        <v>2011</v>
      </c>
      <c r="E34" s="598" t="s">
        <v>2113</v>
      </c>
      <c r="F34" s="591">
        <f>F63</f>
        <v>53865315.840000004</v>
      </c>
      <c r="G34" s="598" t="str">
        <f>"See Note 1, "&amp;B63&amp;""</f>
        <v>See Note 1, c</v>
      </c>
    </row>
    <row r="35" spans="1:11" x14ac:dyDescent="0.2">
      <c r="A35" s="117">
        <f>A34+1</f>
        <v>19</v>
      </c>
      <c r="B35" s="14"/>
      <c r="C35" s="1077" t="s">
        <v>202</v>
      </c>
      <c r="D35" s="156">
        <v>2012</v>
      </c>
      <c r="E35" s="598" t="s">
        <v>35</v>
      </c>
      <c r="F35" s="114">
        <v>48247309.629999995</v>
      </c>
      <c r="G35" s="598"/>
      <c r="J35" s="7"/>
      <c r="K35" s="7"/>
    </row>
    <row r="36" spans="1:11" x14ac:dyDescent="0.2">
      <c r="A36" s="117">
        <f t="shared" ref="A36:A46" si="1">A35+1</f>
        <v>20</v>
      </c>
      <c r="B36" s="14"/>
      <c r="C36" s="1077" t="s">
        <v>203</v>
      </c>
      <c r="D36" s="156">
        <v>2012</v>
      </c>
      <c r="E36" s="598" t="s">
        <v>35</v>
      </c>
      <c r="F36" s="114">
        <v>44455610.25</v>
      </c>
      <c r="G36" s="598"/>
      <c r="J36" s="7"/>
      <c r="K36" s="7"/>
    </row>
    <row r="37" spans="1:11" x14ac:dyDescent="0.2">
      <c r="A37" s="117">
        <f t="shared" si="1"/>
        <v>21</v>
      </c>
      <c r="B37" s="14"/>
      <c r="C37" s="1077" t="s">
        <v>216</v>
      </c>
      <c r="D37" s="156">
        <v>2012</v>
      </c>
      <c r="E37" s="598" t="s">
        <v>35</v>
      </c>
      <c r="F37" s="114">
        <v>41539656.010000005</v>
      </c>
      <c r="G37" s="598"/>
      <c r="J37" s="7"/>
      <c r="K37" s="7"/>
    </row>
    <row r="38" spans="1:11" x14ac:dyDescent="0.2">
      <c r="A38" s="117">
        <f t="shared" si="1"/>
        <v>22</v>
      </c>
      <c r="B38" s="14"/>
      <c r="C38" s="1077" t="s">
        <v>204</v>
      </c>
      <c r="D38" s="156">
        <v>2012</v>
      </c>
      <c r="E38" s="598" t="s">
        <v>35</v>
      </c>
      <c r="F38" s="114">
        <v>64176550.569999993</v>
      </c>
      <c r="G38" s="598"/>
      <c r="J38" s="7"/>
      <c r="K38" s="7"/>
    </row>
    <row r="39" spans="1:11" x14ac:dyDescent="0.2">
      <c r="A39" s="117">
        <f t="shared" si="1"/>
        <v>23</v>
      </c>
      <c r="B39" s="14"/>
      <c r="C39" s="1077" t="s">
        <v>205</v>
      </c>
      <c r="D39" s="156">
        <v>2012</v>
      </c>
      <c r="E39" s="598" t="s">
        <v>35</v>
      </c>
      <c r="F39" s="114">
        <v>45496640.379999995</v>
      </c>
      <c r="G39" s="598"/>
      <c r="J39" s="7"/>
      <c r="K39" s="7"/>
    </row>
    <row r="40" spans="1:11" x14ac:dyDescent="0.2">
      <c r="A40" s="117">
        <f t="shared" si="1"/>
        <v>24</v>
      </c>
      <c r="B40" s="14"/>
      <c r="C40" s="1077" t="s">
        <v>1690</v>
      </c>
      <c r="D40" s="156">
        <v>2012</v>
      </c>
      <c r="E40" s="598" t="s">
        <v>35</v>
      </c>
      <c r="F40" s="114">
        <v>35096004.519999996</v>
      </c>
      <c r="G40" s="598"/>
      <c r="J40" s="7"/>
      <c r="K40" s="7"/>
    </row>
    <row r="41" spans="1:11" x14ac:dyDescent="0.2">
      <c r="A41" s="117">
        <f t="shared" si="1"/>
        <v>25</v>
      </c>
      <c r="B41" s="14"/>
      <c r="C41" s="1077" t="s">
        <v>207</v>
      </c>
      <c r="D41" s="156">
        <v>2012</v>
      </c>
      <c r="E41" s="598" t="s">
        <v>35</v>
      </c>
      <c r="F41" s="114">
        <v>28403044.730000004</v>
      </c>
      <c r="G41" s="598"/>
      <c r="J41" s="7"/>
      <c r="K41" s="7"/>
    </row>
    <row r="42" spans="1:11" x14ac:dyDescent="0.2">
      <c r="A42" s="117">
        <f t="shared" si="1"/>
        <v>26</v>
      </c>
      <c r="B42" s="14"/>
      <c r="C42" s="1077" t="s">
        <v>208</v>
      </c>
      <c r="D42" s="156">
        <v>2012</v>
      </c>
      <c r="E42" s="598" t="s">
        <v>35</v>
      </c>
      <c r="F42" s="114">
        <v>22564287.069999993</v>
      </c>
      <c r="G42" s="598"/>
      <c r="J42" s="7"/>
      <c r="K42" s="7"/>
    </row>
    <row r="43" spans="1:11" x14ac:dyDescent="0.2">
      <c r="A43" s="117">
        <f t="shared" si="1"/>
        <v>27</v>
      </c>
      <c r="B43" s="14"/>
      <c r="C43" s="1077" t="s">
        <v>209</v>
      </c>
      <c r="D43" s="156">
        <v>2012</v>
      </c>
      <c r="E43" s="598" t="s">
        <v>35</v>
      </c>
      <c r="F43" s="114">
        <v>69023004.790000007</v>
      </c>
      <c r="G43" s="598"/>
      <c r="J43" s="7"/>
      <c r="K43" s="7"/>
    </row>
    <row r="44" spans="1:11" x14ac:dyDescent="0.2">
      <c r="A44" s="117">
        <f t="shared" si="1"/>
        <v>28</v>
      </c>
      <c r="B44" s="14"/>
      <c r="C44" s="1077" t="s">
        <v>212</v>
      </c>
      <c r="D44" s="156">
        <v>2012</v>
      </c>
      <c r="E44" s="598" t="s">
        <v>35</v>
      </c>
      <c r="F44" s="114">
        <v>64876344.359999999</v>
      </c>
      <c r="G44" s="598"/>
      <c r="J44" s="7"/>
      <c r="K44" s="7"/>
    </row>
    <row r="45" spans="1:11" x14ac:dyDescent="0.2">
      <c r="A45" s="117">
        <f t="shared" si="1"/>
        <v>29</v>
      </c>
      <c r="B45" s="14"/>
      <c r="C45" s="1077" t="s">
        <v>211</v>
      </c>
      <c r="D45" s="156">
        <v>2012</v>
      </c>
      <c r="E45" s="598" t="s">
        <v>35</v>
      </c>
      <c r="F45" s="123">
        <v>76871689.319999993</v>
      </c>
      <c r="G45" s="598"/>
      <c r="J45" s="7"/>
      <c r="K45" s="7"/>
    </row>
    <row r="46" spans="1:11" x14ac:dyDescent="0.2">
      <c r="A46" s="117">
        <f t="shared" si="1"/>
        <v>30</v>
      </c>
      <c r="B46" s="14"/>
      <c r="C46" s="21" t="s">
        <v>201</v>
      </c>
      <c r="D46" s="156">
        <v>2012</v>
      </c>
      <c r="E46" s="598" t="s">
        <v>2090</v>
      </c>
      <c r="F46" s="33">
        <f>F69</f>
        <v>53055459.799999997</v>
      </c>
      <c r="G46" s="598" t="str">
        <f>"See Note 1, "&amp;B69&amp;""</f>
        <v>See Note 1, f</v>
      </c>
    </row>
    <row r="47" spans="1:11" x14ac:dyDescent="0.2">
      <c r="A47" s="14"/>
      <c r="B47" s="14"/>
      <c r="C47" s="21"/>
      <c r="D47" s="24"/>
      <c r="E47" s="23"/>
      <c r="F47" s="33"/>
      <c r="G47" s="16"/>
    </row>
    <row r="48" spans="1:11" x14ac:dyDescent="0.2">
      <c r="A48" s="14"/>
      <c r="B48" s="14"/>
      <c r="C48" s="764" t="s">
        <v>2086</v>
      </c>
      <c r="D48" s="764"/>
      <c r="E48" s="1162"/>
      <c r="F48" s="14"/>
      <c r="G48" s="30"/>
    </row>
    <row r="49" spans="1:8" x14ac:dyDescent="0.2">
      <c r="A49" s="117">
        <f>A46+1</f>
        <v>31</v>
      </c>
      <c r="B49" s="14"/>
      <c r="C49" s="22"/>
      <c r="D49" s="22"/>
      <c r="E49" s="806" t="s">
        <v>2087</v>
      </c>
      <c r="F49" s="1161">
        <f>SUM(F34:F46)/13</f>
        <v>49820839.789999999</v>
      </c>
      <c r="G49" s="120" t="str">
        <f>"(Sum Line "&amp;A34&amp;" to Line "&amp;A46&amp;") / 13"</f>
        <v>(Sum Line 18 to Line 30) / 13</v>
      </c>
    </row>
    <row r="50" spans="1:8" x14ac:dyDescent="0.2">
      <c r="A50" s="117">
        <f>A49+1</f>
        <v>32</v>
      </c>
      <c r="B50" s="14"/>
      <c r="C50" s="22"/>
      <c r="D50" s="22"/>
      <c r="E50" s="34" t="s">
        <v>342</v>
      </c>
      <c r="F50" s="1294">
        <f>'27-Allocators'!G15</f>
        <v>3.7193704666678068E-2</v>
      </c>
      <c r="G50" s="120" t="str">
        <f>"27-Allocators, Line "&amp;'27-Allocators'!A15&amp;""</f>
        <v>27-Allocators, Line 9</v>
      </c>
    </row>
    <row r="51" spans="1:8" x14ac:dyDescent="0.2">
      <c r="A51" s="117">
        <f>A50+1</f>
        <v>33</v>
      </c>
      <c r="B51" s="14"/>
      <c r="C51" s="22"/>
      <c r="D51" s="22"/>
      <c r="E51" s="1163" t="s">
        <v>182</v>
      </c>
      <c r="F51" s="1378">
        <f>F49*F50</f>
        <v>1853021.6013951434</v>
      </c>
      <c r="G51" s="46" t="str">
        <f>"Line "&amp;A49&amp;" * Line "&amp;A50&amp;""</f>
        <v>Line 31 * Line 32</v>
      </c>
    </row>
    <row r="52" spans="1:8" x14ac:dyDescent="0.2">
      <c r="A52" s="14"/>
      <c r="B52" s="14"/>
      <c r="C52" s="22" t="s">
        <v>269</v>
      </c>
      <c r="D52" s="22"/>
      <c r="E52" s="608"/>
      <c r="F52" s="14"/>
      <c r="G52" s="35"/>
    </row>
    <row r="53" spans="1:8" x14ac:dyDescent="0.2">
      <c r="A53" s="117">
        <f>A51+1</f>
        <v>34</v>
      </c>
      <c r="B53" s="14"/>
      <c r="C53" s="22"/>
      <c r="D53" s="22"/>
      <c r="E53" s="34" t="s">
        <v>175</v>
      </c>
      <c r="F53" s="33">
        <f>F46</f>
        <v>53055459.799999997</v>
      </c>
      <c r="G53" s="35" t="str">
        <f>"Line "&amp;A46&amp;""</f>
        <v>Line 30</v>
      </c>
    </row>
    <row r="54" spans="1:8" x14ac:dyDescent="0.2">
      <c r="A54" s="117">
        <f>A53+1</f>
        <v>35</v>
      </c>
      <c r="B54" s="14"/>
      <c r="C54" s="22"/>
      <c r="D54" s="22"/>
      <c r="E54" s="34" t="s">
        <v>342</v>
      </c>
      <c r="F54" s="1379">
        <f>'27-Allocators'!G15</f>
        <v>3.7193704666678068E-2</v>
      </c>
      <c r="G54" s="120" t="str">
        <f>"27-Allocators, Line "&amp;'27-Allocators'!A15&amp;""</f>
        <v>27-Allocators, Line 9</v>
      </c>
    </row>
    <row r="55" spans="1:8" x14ac:dyDescent="0.2">
      <c r="A55" s="117">
        <f>A54+1</f>
        <v>36</v>
      </c>
      <c r="B55" s="14"/>
      <c r="C55" s="22"/>
      <c r="D55" s="22"/>
      <c r="E55" s="32" t="s">
        <v>182</v>
      </c>
      <c r="F55" s="33">
        <f>F53*F54</f>
        <v>1973329.1027560106</v>
      </c>
      <c r="G55" s="13" t="str">
        <f>"Line "&amp;A53&amp;" * Line "&amp;A54&amp;""</f>
        <v>Line 34 * Line 35</v>
      </c>
    </row>
    <row r="56" spans="1:8" x14ac:dyDescent="0.2">
      <c r="B56" s="52" t="s">
        <v>258</v>
      </c>
      <c r="C56" s="12"/>
    </row>
    <row r="57" spans="1:8" x14ac:dyDescent="0.2">
      <c r="B57" t="s">
        <v>1959</v>
      </c>
      <c r="C57" s="548" t="str">
        <f>"Remove any amounts related to years prior to the effective date of the formula on "&amp;B62&amp;" and "&amp;B68&amp;" below."</f>
        <v>Remove any amounts related to years prior to the effective date of the formula on b and e below.</v>
      </c>
    </row>
    <row r="58" spans="1:8" x14ac:dyDescent="0.2">
      <c r="A58" s="2"/>
      <c r="E58" s="99"/>
      <c r="F58" s="7"/>
      <c r="G58" s="438"/>
      <c r="H58" s="1"/>
    </row>
    <row r="59" spans="1:8" x14ac:dyDescent="0.2">
      <c r="A59" s="2"/>
      <c r="C59" s="548" t="s">
        <v>2920</v>
      </c>
      <c r="E59" s="99"/>
      <c r="F59" s="79" t="s">
        <v>105</v>
      </c>
      <c r="G59" s="120"/>
    </row>
    <row r="60" spans="1:8" x14ac:dyDescent="0.2">
      <c r="A60" s="2"/>
      <c r="E60" s="99"/>
      <c r="F60" s="31" t="s">
        <v>3</v>
      </c>
      <c r="G60" s="439" t="s">
        <v>200</v>
      </c>
    </row>
    <row r="61" spans="1:8" x14ac:dyDescent="0.2">
      <c r="A61" s="675"/>
      <c r="B61" s="678" t="s">
        <v>1970</v>
      </c>
      <c r="C61" s="19"/>
      <c r="E61" s="546" t="s">
        <v>1960</v>
      </c>
      <c r="F61" s="871">
        <v>111759391.84</v>
      </c>
      <c r="G61" s="30" t="s">
        <v>180</v>
      </c>
    </row>
    <row r="62" spans="1:8" x14ac:dyDescent="0.2">
      <c r="A62" s="675"/>
      <c r="B62" s="678" t="s">
        <v>1971</v>
      </c>
      <c r="E62" s="546" t="s">
        <v>1969</v>
      </c>
      <c r="F62" s="123">
        <v>57894076</v>
      </c>
      <c r="G62" s="552" t="s">
        <v>397</v>
      </c>
    </row>
    <row r="63" spans="1:8" x14ac:dyDescent="0.2">
      <c r="A63" s="675"/>
      <c r="B63" s="678" t="s">
        <v>1972</v>
      </c>
      <c r="E63" s="36" t="s">
        <v>1961</v>
      </c>
      <c r="F63" s="7">
        <f>F61-F62</f>
        <v>53865315.840000004</v>
      </c>
      <c r="G63" s="13" t="str">
        <f>""&amp;B61&amp;" - "&amp;B62&amp;""</f>
        <v>a - b</v>
      </c>
    </row>
    <row r="64" spans="1:8" x14ac:dyDescent="0.2">
      <c r="A64" s="675"/>
    </row>
    <row r="65" spans="1:7" x14ac:dyDescent="0.2">
      <c r="A65" s="675"/>
      <c r="C65" s="548" t="s">
        <v>2921</v>
      </c>
      <c r="E65" s="99"/>
      <c r="F65" s="79" t="s">
        <v>105</v>
      </c>
      <c r="G65" s="120"/>
    </row>
    <row r="66" spans="1:7" x14ac:dyDescent="0.2">
      <c r="A66" s="675"/>
      <c r="E66" s="99"/>
      <c r="F66" s="31" t="s">
        <v>3</v>
      </c>
      <c r="G66" s="439" t="s">
        <v>200</v>
      </c>
    </row>
    <row r="67" spans="1:7" x14ac:dyDescent="0.2">
      <c r="A67" s="675"/>
      <c r="B67" s="678" t="s">
        <v>1973</v>
      </c>
      <c r="C67" s="19"/>
      <c r="E67" s="546" t="s">
        <v>1960</v>
      </c>
      <c r="F67" s="67">
        <v>53055459.799999997</v>
      </c>
      <c r="G67" s="30" t="s">
        <v>181</v>
      </c>
    </row>
    <row r="68" spans="1:7" x14ac:dyDescent="0.2">
      <c r="A68" s="675"/>
      <c r="B68" s="678" t="s">
        <v>1974</v>
      </c>
      <c r="E68" s="546" t="s">
        <v>1969</v>
      </c>
      <c r="F68" s="123">
        <v>0</v>
      </c>
      <c r="G68" s="552" t="s">
        <v>397</v>
      </c>
    </row>
    <row r="69" spans="1:7" x14ac:dyDescent="0.2">
      <c r="A69" s="675"/>
      <c r="B69" s="678" t="s">
        <v>1975</v>
      </c>
      <c r="D69" s="14"/>
      <c r="E69" s="546" t="s">
        <v>2016</v>
      </c>
      <c r="F69" s="7">
        <f>F67-F68</f>
        <v>53055459.799999997</v>
      </c>
      <c r="G69" s="13" t="str">
        <f>""&amp;B67&amp;" - "&amp;B68&amp;""</f>
        <v>d - e</v>
      </c>
    </row>
    <row r="73" spans="1:7" x14ac:dyDescent="0.2">
      <c r="F73" s="676"/>
    </row>
  </sheetData>
  <phoneticPr fontId="12" type="noConversion"/>
  <pageMargins left="0.75" right="0.75" top="1" bottom="1" header="0.5" footer="0.5"/>
  <pageSetup scale="75" orientation="portrait" cellComments="asDisplayed" r:id="rId1"/>
  <headerFooter alignWithMargins="0">
    <oddHeader>&amp;CSchedule 13
Working Capital
&amp;RTO8 Annual Update (Revised)
Attachment  1</oddHead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2"/>
  <sheetViews>
    <sheetView view="pageLayout" zoomScaleNormal="90" workbookViewId="0">
      <selection activeCell="L139" sqref="L139"/>
    </sheetView>
  </sheetViews>
  <sheetFormatPr defaultRowHeight="12.75" x14ac:dyDescent="0.2"/>
  <cols>
    <col min="1" max="1" width="4.7109375" customWidth="1"/>
    <col min="2" max="2" width="3.7109375" customWidth="1"/>
    <col min="3" max="3" width="16.7109375" customWidth="1"/>
    <col min="4" max="4" width="9.7109375" customWidth="1"/>
    <col min="5" max="8" width="15.7109375" customWidth="1"/>
    <col min="9" max="11" width="14.7109375" customWidth="1"/>
  </cols>
  <sheetData>
    <row r="1" spans="1:10" x14ac:dyDescent="0.2">
      <c r="A1" s="1" t="s">
        <v>272</v>
      </c>
    </row>
    <row r="2" spans="1:10" x14ac:dyDescent="0.2">
      <c r="A2" s="1" t="s">
        <v>273</v>
      </c>
    </row>
    <row r="3" spans="1:10" x14ac:dyDescent="0.2">
      <c r="B3" s="1"/>
      <c r="H3" s="201" t="s">
        <v>274</v>
      </c>
      <c r="I3" s="102"/>
      <c r="J3" s="57"/>
    </row>
    <row r="4" spans="1:10" x14ac:dyDescent="0.2">
      <c r="B4" s="1" t="s">
        <v>275</v>
      </c>
    </row>
    <row r="5" spans="1:10" x14ac:dyDescent="0.2">
      <c r="B5" s="56" t="s">
        <v>276</v>
      </c>
    </row>
    <row r="6" spans="1:10" x14ac:dyDescent="0.2">
      <c r="B6" s="56" t="s">
        <v>330</v>
      </c>
    </row>
    <row r="7" spans="1:10" x14ac:dyDescent="0.2">
      <c r="B7" s="110" t="s">
        <v>1094</v>
      </c>
    </row>
    <row r="8" spans="1:10" x14ac:dyDescent="0.2">
      <c r="B8" s="110" t="s">
        <v>1719</v>
      </c>
    </row>
    <row r="9" spans="1:10" x14ac:dyDescent="0.2">
      <c r="B9" s="110" t="s">
        <v>1720</v>
      </c>
      <c r="D9" s="1"/>
      <c r="E9" s="1"/>
    </row>
    <row r="10" spans="1:10" x14ac:dyDescent="0.2">
      <c r="B10" s="56"/>
    </row>
    <row r="11" spans="1:10" x14ac:dyDescent="0.2">
      <c r="B11" s="56"/>
      <c r="C11" s="12" t="s">
        <v>393</v>
      </c>
    </row>
    <row r="12" spans="1:10" x14ac:dyDescent="0.2">
      <c r="B12" s="56"/>
      <c r="C12" s="552" t="s">
        <v>1722</v>
      </c>
    </row>
    <row r="13" spans="1:10" x14ac:dyDescent="0.2">
      <c r="B13" s="56"/>
      <c r="C13" s="547" t="s">
        <v>2114</v>
      </c>
      <c r="D13" s="14"/>
      <c r="E13" s="14"/>
      <c r="F13" s="14"/>
      <c r="G13" s="14"/>
      <c r="H13" s="14"/>
      <c r="I13" s="14"/>
    </row>
    <row r="14" spans="1:10" x14ac:dyDescent="0.2">
      <c r="B14" s="56"/>
      <c r="C14" s="547" t="s">
        <v>1723</v>
      </c>
      <c r="D14" s="14"/>
      <c r="E14" s="14"/>
      <c r="F14" s="14"/>
      <c r="G14" s="14"/>
      <c r="H14" s="14"/>
      <c r="I14" s="14"/>
    </row>
    <row r="15" spans="1:10" x14ac:dyDescent="0.2">
      <c r="B15" s="56"/>
      <c r="C15" s="1129" t="s">
        <v>1724</v>
      </c>
      <c r="D15" s="14"/>
      <c r="E15" s="14"/>
      <c r="F15" s="14"/>
      <c r="G15" s="14"/>
      <c r="H15" s="14"/>
      <c r="I15" s="14"/>
    </row>
    <row r="16" spans="1:10" x14ac:dyDescent="0.2">
      <c r="B16" s="56"/>
      <c r="C16" s="547" t="s">
        <v>1726</v>
      </c>
      <c r="D16" s="14"/>
      <c r="E16" s="14"/>
      <c r="F16" s="14"/>
      <c r="G16" s="14"/>
      <c r="H16" s="14"/>
      <c r="I16" s="14"/>
    </row>
    <row r="17" spans="1:10" x14ac:dyDescent="0.2">
      <c r="B17" s="56"/>
      <c r="C17" s="547" t="s">
        <v>1725</v>
      </c>
      <c r="D17" s="14"/>
      <c r="E17" s="14"/>
      <c r="F17" s="14"/>
      <c r="G17" s="14"/>
      <c r="H17" s="14"/>
      <c r="I17" s="14"/>
    </row>
    <row r="18" spans="1:10" x14ac:dyDescent="0.2">
      <c r="B18" s="56"/>
      <c r="C18" s="46"/>
      <c r="D18" s="14"/>
      <c r="E18" s="14"/>
      <c r="F18" s="14"/>
      <c r="G18" s="14"/>
      <c r="H18" s="14"/>
      <c r="I18" s="14"/>
    </row>
    <row r="19" spans="1:10" x14ac:dyDescent="0.2">
      <c r="C19" s="44" t="s">
        <v>1093</v>
      </c>
      <c r="D19" s="14"/>
      <c r="E19" s="14"/>
      <c r="F19" s="14"/>
      <c r="G19" s="14"/>
      <c r="H19" s="14"/>
      <c r="I19" s="14"/>
    </row>
    <row r="20" spans="1:10" x14ac:dyDescent="0.2">
      <c r="C20" s="44"/>
      <c r="D20" s="14"/>
      <c r="E20" s="131" t="s">
        <v>396</v>
      </c>
      <c r="F20" s="131" t="s">
        <v>380</v>
      </c>
      <c r="G20" s="131" t="s">
        <v>381</v>
      </c>
      <c r="H20" s="14"/>
      <c r="I20" s="14"/>
    </row>
    <row r="21" spans="1:10" x14ac:dyDescent="0.2">
      <c r="B21" s="1"/>
      <c r="C21" s="14"/>
      <c r="D21" s="14"/>
      <c r="E21" s="14"/>
      <c r="F21" s="117" t="s">
        <v>75</v>
      </c>
      <c r="G21" s="117" t="s">
        <v>19</v>
      </c>
      <c r="H21" s="14"/>
      <c r="I21" s="14"/>
    </row>
    <row r="22" spans="1:10" x14ac:dyDescent="0.2">
      <c r="B22" s="1"/>
      <c r="C22" s="14"/>
      <c r="D22" s="14"/>
      <c r="E22" s="117" t="s">
        <v>75</v>
      </c>
      <c r="F22" s="1140" t="s">
        <v>256</v>
      </c>
      <c r="G22" s="117" t="s">
        <v>329</v>
      </c>
      <c r="H22" s="14"/>
      <c r="I22" s="14"/>
    </row>
    <row r="23" spans="1:10" x14ac:dyDescent="0.2">
      <c r="B23" s="1"/>
      <c r="C23" s="15"/>
      <c r="D23" s="14"/>
      <c r="E23" s="117" t="s">
        <v>255</v>
      </c>
      <c r="F23" s="117" t="s">
        <v>257</v>
      </c>
      <c r="G23" s="117" t="s">
        <v>2</v>
      </c>
      <c r="H23" s="14"/>
      <c r="I23" s="14"/>
    </row>
    <row r="24" spans="1:10" x14ac:dyDescent="0.2">
      <c r="B24" s="1"/>
      <c r="C24" s="117" t="s">
        <v>9</v>
      </c>
      <c r="D24" s="14"/>
      <c r="E24" s="117" t="s">
        <v>268</v>
      </c>
      <c r="F24" s="117" t="s">
        <v>268</v>
      </c>
      <c r="G24" s="1140" t="s">
        <v>11</v>
      </c>
      <c r="H24" s="14"/>
      <c r="I24" s="14"/>
    </row>
    <row r="25" spans="1:10" x14ac:dyDescent="0.2">
      <c r="A25" s="52" t="s">
        <v>362</v>
      </c>
      <c r="B25" s="1"/>
      <c r="C25" s="131" t="s">
        <v>252</v>
      </c>
      <c r="D25" s="14"/>
      <c r="E25" s="131" t="s">
        <v>196</v>
      </c>
      <c r="F25" s="131" t="s">
        <v>196</v>
      </c>
      <c r="G25" s="131" t="s">
        <v>196</v>
      </c>
      <c r="H25" s="131" t="s">
        <v>258</v>
      </c>
      <c r="I25" s="116"/>
      <c r="J25" s="51"/>
    </row>
    <row r="26" spans="1:10" x14ac:dyDescent="0.2">
      <c r="A26" s="2">
        <v>1</v>
      </c>
      <c r="B26" s="1"/>
      <c r="C26" s="15" t="s">
        <v>371</v>
      </c>
      <c r="D26" s="14"/>
      <c r="E26" s="64">
        <f>'10-CWIP'!E25</f>
        <v>786298777.73778844</v>
      </c>
      <c r="F26" s="1350">
        <f>'10-CWIP'!E26</f>
        <v>924767364.61809039</v>
      </c>
      <c r="G26" s="64">
        <f>'10-CWIP'!K113</f>
        <v>-123028140.70129158</v>
      </c>
      <c r="H26" s="46" t="str">
        <f>"10-CWIP Lines "&amp;'10-CWIP'!A25&amp;", "&amp;'10-CWIP'!A26&amp;", and "&amp;'10-CWIP'!A113&amp;""</f>
        <v>10-CWIP Lines 13, 14, and 80</v>
      </c>
      <c r="I26" s="14"/>
    </row>
    <row r="27" spans="1:10" x14ac:dyDescent="0.2">
      <c r="A27" s="2">
        <f t="shared" ref="A27:A37" si="0">A26+1</f>
        <v>2</v>
      </c>
      <c r="B27" s="1"/>
      <c r="C27" s="15" t="s">
        <v>372</v>
      </c>
      <c r="D27" s="14"/>
      <c r="E27" s="64">
        <f>'10-CWIP'!F25</f>
        <v>536335938.83999997</v>
      </c>
      <c r="F27" s="1350">
        <f>'10-CWIP'!F26</f>
        <v>305353304.31020802</v>
      </c>
      <c r="G27" s="64">
        <f>'10-CWIP'!K146</f>
        <v>-536600893.84000081</v>
      </c>
      <c r="H27" s="46" t="str">
        <f>"10-CWIP Lines "&amp;'10-CWIP'!A25&amp;", "&amp;'10-CWIP'!A26&amp;", and "&amp;'10-CWIP'!A146&amp;""</f>
        <v>10-CWIP Lines 13, 14, and 106</v>
      </c>
      <c r="I27" s="14"/>
    </row>
    <row r="28" spans="1:10" x14ac:dyDescent="0.2">
      <c r="A28" s="2">
        <f t="shared" si="0"/>
        <v>3</v>
      </c>
      <c r="B28" s="1"/>
      <c r="C28" s="15" t="s">
        <v>373</v>
      </c>
      <c r="D28" s="14"/>
      <c r="E28" s="64">
        <f>'10-CWIP'!G25</f>
        <v>149796433.14000002</v>
      </c>
      <c r="F28" s="1350">
        <f>'10-CWIP'!G26</f>
        <v>67820899.70964402</v>
      </c>
      <c r="G28" s="64">
        <f>'10-CWIP'!K177</f>
        <v>-149797190.29999998</v>
      </c>
      <c r="H28" s="46" t="str">
        <f>"10-CWIP Lines "&amp;'10-CWIP'!A25&amp;", "&amp;'10-CWIP'!A26&amp;", and "&amp;'10-CWIP'!A177&amp;""</f>
        <v>10-CWIP Lines 13, 14, and 132</v>
      </c>
      <c r="I28" s="14"/>
    </row>
    <row r="29" spans="1:10" x14ac:dyDescent="0.2">
      <c r="A29" s="2">
        <f t="shared" si="0"/>
        <v>4</v>
      </c>
      <c r="B29" s="1"/>
      <c r="C29" s="15" t="s">
        <v>1099</v>
      </c>
      <c r="D29" s="14"/>
      <c r="E29" s="64">
        <f>'10-CWIP'!H25</f>
        <v>-69617.340000000084</v>
      </c>
      <c r="F29" s="64">
        <f>'10-CWIP'!H26</f>
        <v>-70159.231515233419</v>
      </c>
      <c r="G29" s="64">
        <f>'10-CWIP'!K210</f>
        <v>0</v>
      </c>
      <c r="H29" s="46" t="str">
        <f>"10-CWIP Lines "&amp;'10-CWIP'!A25&amp;", "&amp;'10-CWIP'!A26&amp;", and "&amp;'10-CWIP'!A210&amp;""</f>
        <v>10-CWIP Lines 13, 14, and 158</v>
      </c>
      <c r="I29" s="14"/>
    </row>
    <row r="30" spans="1:10" x14ac:dyDescent="0.2">
      <c r="A30" s="2">
        <f t="shared" si="0"/>
        <v>5</v>
      </c>
      <c r="B30" s="1"/>
      <c r="C30" s="15" t="s">
        <v>1100</v>
      </c>
      <c r="D30" s="14"/>
      <c r="E30" s="64">
        <f>'10-CWIP'!I25</f>
        <v>150902784.00999999</v>
      </c>
      <c r="F30" s="1350">
        <f>'10-CWIP'!I26</f>
        <v>69555610.855488271</v>
      </c>
      <c r="G30" s="64">
        <f>'10-CWIP'!K241</f>
        <v>-151394381.55000001</v>
      </c>
      <c r="H30" s="46" t="str">
        <f>"10-CWIP Lines "&amp;'10-CWIP'!A25&amp;", "&amp;'10-CWIP'!A26&amp;", and "&amp;'10-CWIP'!A241&amp;""</f>
        <v>10-CWIP Lines 13, 14, and 184</v>
      </c>
      <c r="I30" s="14"/>
    </row>
    <row r="31" spans="1:10" x14ac:dyDescent="0.2">
      <c r="A31" s="2">
        <f t="shared" si="0"/>
        <v>6</v>
      </c>
      <c r="B31" s="1"/>
      <c r="C31" s="15" t="s">
        <v>1101</v>
      </c>
      <c r="D31" s="14"/>
      <c r="E31" s="64">
        <f>'10-CWIP'!D45</f>
        <v>3256743.08</v>
      </c>
      <c r="F31" s="64">
        <f>'10-CWIP'!D46</f>
        <v>4861315.323947289</v>
      </c>
      <c r="G31" s="64">
        <f>'10-CWIP'!K274</f>
        <v>29961006.732307699</v>
      </c>
      <c r="H31" s="46" t="str">
        <f>"10-CWIP Lines "&amp;'10-CWIP'!A45&amp;", "&amp;'10-CWIP'!A46&amp;", and "&amp;'10-CWIP'!A274&amp;""</f>
        <v>10-CWIP Lines 27, 28, and 210</v>
      </c>
      <c r="I31" s="14"/>
    </row>
    <row r="32" spans="1:10" x14ac:dyDescent="0.2">
      <c r="A32" s="2">
        <f t="shared" si="0"/>
        <v>7</v>
      </c>
      <c r="B32" s="1"/>
      <c r="C32" s="15" t="s">
        <v>1102</v>
      </c>
      <c r="D32" s="14"/>
      <c r="E32" s="64">
        <f>'10-CWIP'!E45</f>
        <v>47928159.539999999</v>
      </c>
      <c r="F32" s="1350">
        <f>'10-CWIP'!E46</f>
        <v>29242552.185500406</v>
      </c>
      <c r="G32" s="64">
        <f>'10-CWIP'!K305</f>
        <v>-48014271.539999969</v>
      </c>
      <c r="H32" s="46" t="str">
        <f>"10-CWIP Lines "&amp;'10-CWIP'!A45&amp;", "&amp;'10-CWIP'!A46&amp;", and "&amp;'10-CWIP'!A305&amp;""</f>
        <v>10-CWIP Lines 27, 28, and 236</v>
      </c>
      <c r="I32" s="14"/>
    </row>
    <row r="33" spans="1:10" x14ac:dyDescent="0.2">
      <c r="A33" s="2">
        <f t="shared" si="0"/>
        <v>8</v>
      </c>
      <c r="B33" s="1"/>
      <c r="C33" s="15" t="s">
        <v>1103</v>
      </c>
      <c r="D33" s="14"/>
      <c r="E33" s="64">
        <f>'10-CWIP'!F45</f>
        <v>10360459.710000001</v>
      </c>
      <c r="F33" s="1350">
        <f>'10-CWIP'!F46</f>
        <v>5587350.1441755388</v>
      </c>
      <c r="G33" s="64">
        <f>'10-CWIP'!K338</f>
        <v>19671942.775335815</v>
      </c>
      <c r="H33" s="46" t="str">
        <f>"10-CWIP Lines "&amp;'10-CWIP'!A45&amp;", "&amp;'10-CWIP'!A46&amp;", and "&amp;'10-CWIP'!A338&amp;""</f>
        <v>10-CWIP Lines 27, 28, and 262</v>
      </c>
      <c r="I33" s="14"/>
    </row>
    <row r="34" spans="1:10" x14ac:dyDescent="0.2">
      <c r="A34" s="2">
        <f t="shared" si="0"/>
        <v>9</v>
      </c>
      <c r="B34" s="1"/>
      <c r="C34" s="15" t="s">
        <v>1104</v>
      </c>
      <c r="D34" s="14"/>
      <c r="E34" s="64">
        <f>'10-CWIP'!G45</f>
        <v>11494421.74613302</v>
      </c>
      <c r="F34" s="1350">
        <f>'10-CWIP'!G46</f>
        <v>7391709.0243180729</v>
      </c>
      <c r="G34" s="64">
        <f>'10-CWIP'!K369</f>
        <v>13592125.684615392</v>
      </c>
      <c r="H34" s="46" t="str">
        <f>"10-CWIP Lines "&amp;'10-CWIP'!A45&amp;", "&amp;'10-CWIP'!A46&amp;", and "&amp;'10-CWIP'!A369&amp;""</f>
        <v>10-CWIP Lines 27, 28, and 288</v>
      </c>
      <c r="I34" s="14"/>
    </row>
    <row r="35" spans="1:10" x14ac:dyDescent="0.2">
      <c r="A35" s="2">
        <f t="shared" si="0"/>
        <v>10</v>
      </c>
      <c r="B35" s="1"/>
      <c r="C35" s="631" t="s">
        <v>567</v>
      </c>
      <c r="E35" s="207" t="s">
        <v>88</v>
      </c>
      <c r="F35" s="207" t="s">
        <v>88</v>
      </c>
      <c r="G35" s="207" t="s">
        <v>88</v>
      </c>
      <c r="H35" s="631" t="s">
        <v>567</v>
      </c>
      <c r="I35" s="14"/>
      <c r="J35" s="14"/>
    </row>
    <row r="36" spans="1:10" x14ac:dyDescent="0.2">
      <c r="A36" s="2">
        <f t="shared" si="0"/>
        <v>11</v>
      </c>
      <c r="B36" s="1"/>
      <c r="C36" s="202"/>
      <c r="E36" s="207"/>
      <c r="F36" s="207"/>
      <c r="G36" s="207"/>
      <c r="H36" s="13"/>
    </row>
    <row r="37" spans="1:10" x14ac:dyDescent="0.2">
      <c r="A37" s="2">
        <f t="shared" si="0"/>
        <v>12</v>
      </c>
      <c r="B37" s="1"/>
      <c r="D37" s="36" t="s">
        <v>218</v>
      </c>
      <c r="E37" s="7">
        <f>SUM(E26:E34)</f>
        <v>1696304100.4639215</v>
      </c>
      <c r="F37" s="1350">
        <f>SUM(F26:F34)</f>
        <v>1414509946.9398568</v>
      </c>
      <c r="G37" s="7">
        <f>SUM(G26:G34)</f>
        <v>-945609802.73903346</v>
      </c>
      <c r="H37" s="53"/>
    </row>
    <row r="38" spans="1:10" x14ac:dyDescent="0.2">
      <c r="B38" s="1"/>
    </row>
    <row r="39" spans="1:10" x14ac:dyDescent="0.2">
      <c r="B39" s="1"/>
      <c r="C39" s="1" t="s">
        <v>1412</v>
      </c>
    </row>
    <row r="40" spans="1:10" x14ac:dyDescent="0.2">
      <c r="B40" s="1"/>
      <c r="C40" s="1"/>
    </row>
    <row r="41" spans="1:10" x14ac:dyDescent="0.2">
      <c r="B41" s="1"/>
      <c r="E41" s="3" t="s">
        <v>396</v>
      </c>
      <c r="F41" s="3" t="s">
        <v>380</v>
      </c>
      <c r="G41" s="3" t="s">
        <v>381</v>
      </c>
    </row>
    <row r="42" spans="1:10" x14ac:dyDescent="0.2">
      <c r="B42" s="1"/>
      <c r="E42" s="557" t="s">
        <v>1694</v>
      </c>
      <c r="F42" s="3"/>
      <c r="G42" s="3"/>
    </row>
    <row r="43" spans="1:10" x14ac:dyDescent="0.2">
      <c r="B43" s="1"/>
      <c r="E43" s="2" t="s">
        <v>75</v>
      </c>
      <c r="F43" s="2" t="s">
        <v>332</v>
      </c>
      <c r="G43" s="2" t="s">
        <v>332</v>
      </c>
    </row>
    <row r="44" spans="1:10" x14ac:dyDescent="0.2">
      <c r="B44" s="1"/>
      <c r="E44" s="2" t="s">
        <v>9</v>
      </c>
      <c r="F44" s="2" t="s">
        <v>2</v>
      </c>
      <c r="G44" s="2" t="s">
        <v>331</v>
      </c>
    </row>
    <row r="45" spans="1:10" x14ac:dyDescent="0.2">
      <c r="B45" s="1"/>
      <c r="E45" s="3" t="s">
        <v>194</v>
      </c>
      <c r="F45" s="3" t="s">
        <v>277</v>
      </c>
      <c r="G45" s="3" t="s">
        <v>4</v>
      </c>
      <c r="H45" s="3" t="s">
        <v>258</v>
      </c>
    </row>
    <row r="46" spans="1:10" x14ac:dyDescent="0.2">
      <c r="A46" s="2">
        <f>A37+1</f>
        <v>13</v>
      </c>
      <c r="B46" s="1"/>
      <c r="C46" t="s">
        <v>253</v>
      </c>
      <c r="E46" s="108">
        <f>F46+G46</f>
        <v>173951897.72665322</v>
      </c>
      <c r="F46" s="64">
        <v>0</v>
      </c>
      <c r="G46" s="64">
        <f>H84</f>
        <v>173951897.72665322</v>
      </c>
      <c r="H46" s="13" t="str">
        <f>"Line "&amp;A84&amp;", C4"</f>
        <v>Line 37, C4</v>
      </c>
    </row>
    <row r="47" spans="1:10" x14ac:dyDescent="0.2">
      <c r="A47" s="2">
        <f>A46+1</f>
        <v>14</v>
      </c>
      <c r="B47" s="1"/>
      <c r="C47" t="s">
        <v>254</v>
      </c>
      <c r="E47" s="108">
        <f>F47+G47</f>
        <v>1815583377.729681</v>
      </c>
      <c r="F47" s="64">
        <f>E26</f>
        <v>786298777.73778844</v>
      </c>
      <c r="G47" s="64">
        <f>F84</f>
        <v>1029284599.9918925</v>
      </c>
      <c r="H47" s="13" t="str">
        <f>"Line "&amp;A26&amp;", C1, and Line "&amp;A84&amp;", C2"</f>
        <v>Line 1, C1, and Line 37, C2</v>
      </c>
    </row>
    <row r="48" spans="1:10" x14ac:dyDescent="0.2">
      <c r="A48" s="2">
        <f>A47+1</f>
        <v>15</v>
      </c>
      <c r="B48" s="1"/>
      <c r="C48" s="548" t="s">
        <v>1924</v>
      </c>
      <c r="E48" s="108">
        <f>F48+G48</f>
        <v>536335938.83999997</v>
      </c>
      <c r="F48" s="64">
        <f>E27</f>
        <v>536335938.83999997</v>
      </c>
      <c r="G48" s="64">
        <f>G84</f>
        <v>0</v>
      </c>
      <c r="H48" s="13" t="str">
        <f>"Line "&amp;A27&amp;", C1, and Line "&amp;A84&amp;", C3"</f>
        <v>Line 2, C1, and Line 37, C3</v>
      </c>
    </row>
    <row r="49" spans="1:8" x14ac:dyDescent="0.2">
      <c r="A49" s="2">
        <f>A48+1</f>
        <v>16</v>
      </c>
      <c r="B49" s="1"/>
      <c r="C49" s="631" t="s">
        <v>567</v>
      </c>
      <c r="E49" s="101" t="s">
        <v>88</v>
      </c>
      <c r="F49" s="101" t="s">
        <v>88</v>
      </c>
      <c r="G49" s="101" t="s">
        <v>88</v>
      </c>
      <c r="H49" s="631" t="s">
        <v>567</v>
      </c>
    </row>
    <row r="50" spans="1:8" x14ac:dyDescent="0.2">
      <c r="A50" s="2">
        <f>A49+1</f>
        <v>17</v>
      </c>
      <c r="B50" s="1"/>
      <c r="C50" s="202"/>
      <c r="E50" s="101"/>
      <c r="F50" s="101"/>
      <c r="G50" s="101"/>
      <c r="H50" s="13"/>
    </row>
    <row r="51" spans="1:8" x14ac:dyDescent="0.2">
      <c r="A51" s="2">
        <f>A50+1</f>
        <v>18</v>
      </c>
      <c r="B51" s="1"/>
      <c r="D51" s="546" t="s">
        <v>1928</v>
      </c>
      <c r="E51" s="7">
        <f>SUM(E46:E48)</f>
        <v>2525871214.2963343</v>
      </c>
      <c r="F51" s="101"/>
      <c r="G51" s="101"/>
      <c r="H51" s="552" t="s">
        <v>1929</v>
      </c>
    </row>
    <row r="52" spans="1:8" x14ac:dyDescent="0.2">
      <c r="B52" s="1"/>
    </row>
    <row r="53" spans="1:8" x14ac:dyDescent="0.2">
      <c r="B53" s="1"/>
      <c r="C53" s="1" t="s">
        <v>1721</v>
      </c>
    </row>
    <row r="54" spans="1:8" x14ac:dyDescent="0.2">
      <c r="B54" s="1"/>
      <c r="C54" s="1"/>
    </row>
    <row r="55" spans="1:8" x14ac:dyDescent="0.2">
      <c r="B55" s="1"/>
      <c r="C55" s="1"/>
      <c r="E55" s="3" t="s">
        <v>396</v>
      </c>
      <c r="F55" s="3" t="s">
        <v>380</v>
      </c>
      <c r="G55" s="3" t="s">
        <v>381</v>
      </c>
    </row>
    <row r="56" spans="1:8" x14ac:dyDescent="0.2">
      <c r="B56" s="1"/>
      <c r="E56" s="557" t="s">
        <v>1694</v>
      </c>
      <c r="G56" s="2" t="s">
        <v>11</v>
      </c>
    </row>
    <row r="57" spans="1:8" x14ac:dyDescent="0.2">
      <c r="B57" s="1"/>
      <c r="E57" s="2" t="s">
        <v>75</v>
      </c>
      <c r="F57" s="2" t="s">
        <v>11</v>
      </c>
      <c r="G57" s="2" t="s">
        <v>331</v>
      </c>
    </row>
    <row r="58" spans="1:8" x14ac:dyDescent="0.2">
      <c r="B58" s="1"/>
      <c r="C58" s="2" t="s">
        <v>9</v>
      </c>
      <c r="E58" s="2" t="s">
        <v>9</v>
      </c>
      <c r="F58" s="2" t="s">
        <v>2</v>
      </c>
      <c r="G58" s="2" t="s">
        <v>4</v>
      </c>
    </row>
    <row r="59" spans="1:8" ht="12.75" customHeight="1" x14ac:dyDescent="0.2">
      <c r="B59" s="1"/>
      <c r="C59" s="3" t="s">
        <v>252</v>
      </c>
      <c r="E59" s="3" t="s">
        <v>194</v>
      </c>
      <c r="F59" s="3" t="s">
        <v>277</v>
      </c>
      <c r="G59" s="3" t="s">
        <v>277</v>
      </c>
      <c r="H59" s="3" t="s">
        <v>258</v>
      </c>
    </row>
    <row r="60" spans="1:8" x14ac:dyDescent="0.2">
      <c r="A60" s="2">
        <f>A51+1</f>
        <v>19</v>
      </c>
      <c r="B60" s="1"/>
      <c r="C60" t="s">
        <v>253</v>
      </c>
      <c r="E60" s="1392">
        <f>F60+G60</f>
        <v>176762200.63803381</v>
      </c>
      <c r="F60" s="64">
        <v>0</v>
      </c>
      <c r="G60" s="1402">
        <f>H85</f>
        <v>176762200.63803381</v>
      </c>
      <c r="H60" s="13" t="str">
        <f>"Line "&amp;A85&amp;", C4"</f>
        <v>Line 38, C4</v>
      </c>
    </row>
    <row r="61" spans="1:8" x14ac:dyDescent="0.2">
      <c r="A61" s="2">
        <f>A60+1</f>
        <v>20</v>
      </c>
      <c r="B61" s="1"/>
      <c r="C61" t="s">
        <v>254</v>
      </c>
      <c r="E61" s="1392">
        <f>F61+G61</f>
        <v>1609829850.4907672</v>
      </c>
      <c r="F61" s="1350">
        <f>F26</f>
        <v>924767364.61809039</v>
      </c>
      <c r="G61" s="1402">
        <f>F85</f>
        <v>685062485.87267685</v>
      </c>
      <c r="H61" s="13" t="str">
        <f>"Line "&amp;A26&amp;", C2, and Line "&amp;A85&amp;", C2"</f>
        <v>Line 1, C2, and Line 38, C2</v>
      </c>
    </row>
    <row r="62" spans="1:8" x14ac:dyDescent="0.2">
      <c r="A62" s="2">
        <f>A61+1</f>
        <v>21</v>
      </c>
      <c r="B62" s="1"/>
      <c r="C62" s="12" t="s">
        <v>605</v>
      </c>
      <c r="E62" s="1392">
        <f>F62+G62</f>
        <v>305353304.31020802</v>
      </c>
      <c r="F62" s="1350">
        <f>F27</f>
        <v>305353304.31020802</v>
      </c>
      <c r="G62" s="111">
        <f>G85</f>
        <v>0</v>
      </c>
      <c r="H62" s="13" t="str">
        <f>"Line "&amp;A27&amp;", C2, and Line "&amp;A85&amp;", C3"</f>
        <v>Line 2, C2, and Line 38, C3</v>
      </c>
    </row>
    <row r="63" spans="1:8" x14ac:dyDescent="0.2">
      <c r="A63" s="2">
        <f>A62+1</f>
        <v>22</v>
      </c>
      <c r="B63" s="1"/>
      <c r="C63" s="631" t="s">
        <v>567</v>
      </c>
      <c r="E63" s="101" t="s">
        <v>88</v>
      </c>
      <c r="F63" s="101" t="s">
        <v>88</v>
      </c>
      <c r="G63" s="101" t="s">
        <v>88</v>
      </c>
      <c r="H63" s="631" t="s">
        <v>567</v>
      </c>
    </row>
    <row r="64" spans="1:8" x14ac:dyDescent="0.2">
      <c r="A64" s="2">
        <f>A63+1</f>
        <v>23</v>
      </c>
      <c r="B64" s="1"/>
      <c r="C64" s="202"/>
      <c r="E64" s="101"/>
      <c r="F64" s="101"/>
      <c r="G64" s="101"/>
      <c r="H64" s="13"/>
    </row>
    <row r="65" spans="1:11" x14ac:dyDescent="0.2">
      <c r="A65" s="2">
        <f>A64+1</f>
        <v>24</v>
      </c>
      <c r="B65" s="1"/>
      <c r="D65" s="546" t="s">
        <v>1928</v>
      </c>
      <c r="E65" s="7">
        <f>SUM(E60:E62)</f>
        <v>2091945355.4390092</v>
      </c>
      <c r="H65" s="659" t="s">
        <v>1930</v>
      </c>
    </row>
    <row r="66" spans="1:11" x14ac:dyDescent="0.2">
      <c r="A66" s="609"/>
      <c r="B66" s="1"/>
      <c r="D66" s="99"/>
      <c r="E66" s="7"/>
    </row>
    <row r="67" spans="1:11" x14ac:dyDescent="0.2">
      <c r="C67" s="1" t="s">
        <v>1105</v>
      </c>
    </row>
    <row r="68" spans="1:11" x14ac:dyDescent="0.2">
      <c r="E68" s="90" t="s">
        <v>396</v>
      </c>
      <c r="F68" s="90" t="s">
        <v>380</v>
      </c>
      <c r="G68" s="90" t="s">
        <v>381</v>
      </c>
      <c r="H68" s="90" t="s">
        <v>382</v>
      </c>
      <c r="I68" s="90" t="s">
        <v>383</v>
      </c>
      <c r="J68" s="90"/>
    </row>
    <row r="69" spans="1:11" x14ac:dyDescent="0.2">
      <c r="C69" s="2" t="s">
        <v>593</v>
      </c>
      <c r="E69" s="2" t="s">
        <v>596</v>
      </c>
      <c r="F69" s="1122" t="str">
        <f>"L "&amp;A117&amp;" to L "&amp;A129&amp;", C3"</f>
        <v>L 53 to L 65, C3</v>
      </c>
      <c r="G69" s="1122" t="str">
        <f>"L "&amp;A157&amp;" to L "&amp;A169&amp;", C3"</f>
        <v>L 79 to L 91, C3</v>
      </c>
      <c r="H69" s="1122" t="str">
        <f>"L "&amp;A137&amp;" to L "&amp;A149&amp;", C3"</f>
        <v>L 66 to L 78, C3</v>
      </c>
      <c r="I69" s="102"/>
      <c r="K69" s="2"/>
    </row>
    <row r="70" spans="1:11" x14ac:dyDescent="0.2">
      <c r="C70" s="2" t="s">
        <v>214</v>
      </c>
      <c r="E70" s="2" t="s">
        <v>597</v>
      </c>
      <c r="F70" s="14"/>
      <c r="G70" s="117" t="s">
        <v>376</v>
      </c>
      <c r="H70" s="117" t="s">
        <v>594</v>
      </c>
      <c r="I70" s="203"/>
      <c r="J70" s="388"/>
      <c r="K70" s="2"/>
    </row>
    <row r="71" spans="1:11" x14ac:dyDescent="0.2">
      <c r="A71" s="52"/>
      <c r="C71" s="25" t="s">
        <v>213</v>
      </c>
      <c r="D71" s="25" t="s">
        <v>214</v>
      </c>
      <c r="E71" s="3" t="s">
        <v>4</v>
      </c>
      <c r="F71" s="131" t="s">
        <v>251</v>
      </c>
      <c r="G71" s="131" t="s">
        <v>377</v>
      </c>
      <c r="H71" s="131" t="s">
        <v>595</v>
      </c>
      <c r="I71" s="204"/>
      <c r="J71" s="3" t="s">
        <v>189</v>
      </c>
    </row>
    <row r="72" spans="1:11" x14ac:dyDescent="0.2">
      <c r="A72" s="2">
        <f>A65+1</f>
        <v>25</v>
      </c>
      <c r="C72" s="20" t="s">
        <v>201</v>
      </c>
      <c r="D72" s="200">
        <v>2011</v>
      </c>
      <c r="E72" s="1360">
        <f>SUM(F72:H72)</f>
        <v>567438303.35215914</v>
      </c>
      <c r="F72" s="1361">
        <f>G117</f>
        <v>388226929.0669809</v>
      </c>
      <c r="G72" s="1164">
        <f>G157</f>
        <v>0</v>
      </c>
      <c r="H72" s="1361">
        <f>G137</f>
        <v>179211374.28517821</v>
      </c>
      <c r="I72" s="388" t="s">
        <v>88</v>
      </c>
      <c r="J72" s="51" t="s">
        <v>1109</v>
      </c>
    </row>
    <row r="73" spans="1:11" x14ac:dyDescent="0.2">
      <c r="A73" s="2">
        <f>A72+1</f>
        <v>26</v>
      </c>
      <c r="C73" s="20" t="s">
        <v>202</v>
      </c>
      <c r="D73" s="156">
        <v>2012</v>
      </c>
      <c r="E73" s="1360">
        <f t="shared" ref="E73:E84" si="1">SUM(F73:H73)</f>
        <v>566155707.06019747</v>
      </c>
      <c r="F73" s="1361">
        <f t="shared" ref="F73:F84" si="2">G118</f>
        <v>387340383.81565928</v>
      </c>
      <c r="G73" s="1164">
        <f t="shared" ref="G73:G84" si="3">G158</f>
        <v>0</v>
      </c>
      <c r="H73" s="1361">
        <f t="shared" ref="H73:H84" si="4">G138</f>
        <v>178815323.24453822</v>
      </c>
      <c r="I73" s="388" t="s">
        <v>88</v>
      </c>
      <c r="J73" s="13" t="s">
        <v>1108</v>
      </c>
    </row>
    <row r="74" spans="1:11" x14ac:dyDescent="0.2">
      <c r="A74" s="2">
        <f t="shared" ref="A74:A85" si="5">A73+1</f>
        <v>27</v>
      </c>
      <c r="C74" s="21" t="s">
        <v>203</v>
      </c>
      <c r="D74" s="156">
        <v>2012</v>
      </c>
      <c r="E74" s="1360">
        <f t="shared" si="1"/>
        <v>736197149.45193076</v>
      </c>
      <c r="F74" s="1361">
        <f t="shared" si="2"/>
        <v>557777877.24803257</v>
      </c>
      <c r="G74" s="1164">
        <f t="shared" si="3"/>
        <v>0</v>
      </c>
      <c r="H74" s="1361">
        <f t="shared" si="4"/>
        <v>178419272.20389822</v>
      </c>
      <c r="I74" s="388" t="s">
        <v>88</v>
      </c>
      <c r="J74" s="388" t="s">
        <v>1107</v>
      </c>
      <c r="K74" s="2"/>
    </row>
    <row r="75" spans="1:11" x14ac:dyDescent="0.2">
      <c r="A75" s="2">
        <f t="shared" si="5"/>
        <v>28</v>
      </c>
      <c r="C75" s="21" t="s">
        <v>216</v>
      </c>
      <c r="D75" s="156">
        <v>2012</v>
      </c>
      <c r="E75" s="1360">
        <f t="shared" si="1"/>
        <v>735911834.25195825</v>
      </c>
      <c r="F75" s="1361">
        <f t="shared" si="2"/>
        <v>557888613.08870006</v>
      </c>
      <c r="G75" s="1164">
        <f t="shared" si="3"/>
        <v>0</v>
      </c>
      <c r="H75" s="1361">
        <f t="shared" si="4"/>
        <v>178023221.16325819</v>
      </c>
      <c r="I75" s="388" t="s">
        <v>88</v>
      </c>
      <c r="J75" s="388"/>
      <c r="K75" s="2"/>
    </row>
    <row r="76" spans="1:11" x14ac:dyDescent="0.2">
      <c r="A76" s="2">
        <f t="shared" si="5"/>
        <v>29</v>
      </c>
      <c r="C76" s="20" t="s">
        <v>204</v>
      </c>
      <c r="D76" s="156">
        <v>2012</v>
      </c>
      <c r="E76" s="1360">
        <f t="shared" si="1"/>
        <v>860944336.73581243</v>
      </c>
      <c r="F76" s="1361">
        <f t="shared" si="2"/>
        <v>683317166.61319423</v>
      </c>
      <c r="G76" s="1164">
        <f t="shared" si="3"/>
        <v>0</v>
      </c>
      <c r="H76" s="1361">
        <f t="shared" si="4"/>
        <v>177627170.1226182</v>
      </c>
      <c r="I76" s="388" t="s">
        <v>88</v>
      </c>
      <c r="J76" s="388"/>
      <c r="K76" s="2"/>
    </row>
    <row r="77" spans="1:11" x14ac:dyDescent="0.2">
      <c r="A77" s="2">
        <f t="shared" si="5"/>
        <v>30</v>
      </c>
      <c r="C77" s="21" t="s">
        <v>205</v>
      </c>
      <c r="D77" s="156">
        <v>2012</v>
      </c>
      <c r="E77" s="1360">
        <f t="shared" si="1"/>
        <v>858563076.22348928</v>
      </c>
      <c r="F77" s="1361">
        <f t="shared" si="2"/>
        <v>681331957.14151108</v>
      </c>
      <c r="G77" s="1164">
        <f t="shared" si="3"/>
        <v>0</v>
      </c>
      <c r="H77" s="1361">
        <f t="shared" si="4"/>
        <v>177231119.0819782</v>
      </c>
      <c r="I77" s="388" t="s">
        <v>88</v>
      </c>
      <c r="J77" s="388"/>
      <c r="K77" s="2"/>
    </row>
    <row r="78" spans="1:11" x14ac:dyDescent="0.2">
      <c r="A78" s="2">
        <f t="shared" si="5"/>
        <v>31</v>
      </c>
      <c r="C78" s="21" t="s">
        <v>206</v>
      </c>
      <c r="D78" s="156">
        <v>2012</v>
      </c>
      <c r="E78" s="1360">
        <f t="shared" si="1"/>
        <v>857251993.96738124</v>
      </c>
      <c r="F78" s="1361">
        <f t="shared" si="2"/>
        <v>680490797.34604299</v>
      </c>
      <c r="G78" s="1164">
        <f t="shared" si="3"/>
        <v>0</v>
      </c>
      <c r="H78" s="1361">
        <f t="shared" si="4"/>
        <v>176761196.62133822</v>
      </c>
      <c r="I78" s="388" t="s">
        <v>88</v>
      </c>
      <c r="J78" s="388"/>
      <c r="K78" s="2"/>
    </row>
    <row r="79" spans="1:11" x14ac:dyDescent="0.2">
      <c r="A79" s="2">
        <f t="shared" si="5"/>
        <v>32</v>
      </c>
      <c r="C79" s="20" t="s">
        <v>207</v>
      </c>
      <c r="D79" s="156">
        <v>2012</v>
      </c>
      <c r="E79" s="1360">
        <f t="shared" si="1"/>
        <v>872636005.16927314</v>
      </c>
      <c r="F79" s="1361">
        <f t="shared" si="2"/>
        <v>696270671.83204913</v>
      </c>
      <c r="G79" s="1164">
        <f t="shared" si="3"/>
        <v>0</v>
      </c>
      <c r="H79" s="1361">
        <f t="shared" si="4"/>
        <v>176365333.33722407</v>
      </c>
      <c r="I79" s="388" t="s">
        <v>88</v>
      </c>
      <c r="J79" s="388"/>
      <c r="K79" s="89"/>
    </row>
    <row r="80" spans="1:11" x14ac:dyDescent="0.2">
      <c r="A80" s="2">
        <f t="shared" si="5"/>
        <v>33</v>
      </c>
      <c r="C80" s="21" t="s">
        <v>208</v>
      </c>
      <c r="D80" s="156">
        <v>2012</v>
      </c>
      <c r="E80" s="1360">
        <f t="shared" si="1"/>
        <v>984024125.56417418</v>
      </c>
      <c r="F80" s="1361">
        <f t="shared" si="2"/>
        <v>808054655.51106429</v>
      </c>
      <c r="G80" s="1164">
        <f t="shared" si="3"/>
        <v>0</v>
      </c>
      <c r="H80" s="1361">
        <f t="shared" si="4"/>
        <v>175969470.05310988</v>
      </c>
      <c r="I80" s="388" t="s">
        <v>88</v>
      </c>
      <c r="J80" s="388"/>
      <c r="K80" s="2"/>
    </row>
    <row r="81" spans="1:11" x14ac:dyDescent="0.2">
      <c r="A81" s="2">
        <f t="shared" si="5"/>
        <v>34</v>
      </c>
      <c r="C81" s="21" t="s">
        <v>209</v>
      </c>
      <c r="D81" s="156">
        <v>2012</v>
      </c>
      <c r="E81" s="1360">
        <f t="shared" si="1"/>
        <v>984882981.26906919</v>
      </c>
      <c r="F81" s="1361">
        <f t="shared" si="2"/>
        <v>809309374.50007343</v>
      </c>
      <c r="G81" s="1164">
        <f t="shared" si="3"/>
        <v>0</v>
      </c>
      <c r="H81" s="1361">
        <f t="shared" si="4"/>
        <v>175573606.76899573</v>
      </c>
      <c r="I81" s="388" t="s">
        <v>88</v>
      </c>
      <c r="J81" s="388"/>
      <c r="K81" s="2"/>
    </row>
    <row r="82" spans="1:11" x14ac:dyDescent="0.2">
      <c r="A82" s="2">
        <f t="shared" si="5"/>
        <v>35</v>
      </c>
      <c r="C82" s="20" t="s">
        <v>210</v>
      </c>
      <c r="D82" s="156">
        <v>2012</v>
      </c>
      <c r="E82" s="1360">
        <f t="shared" si="1"/>
        <v>984315626.41194713</v>
      </c>
      <c r="F82" s="1361">
        <f t="shared" si="2"/>
        <v>809137882.92706561</v>
      </c>
      <c r="G82" s="1164">
        <f t="shared" si="3"/>
        <v>0</v>
      </c>
      <c r="H82" s="1361">
        <f t="shared" si="4"/>
        <v>175177743.48488155</v>
      </c>
      <c r="I82" s="388" t="s">
        <v>88</v>
      </c>
      <c r="J82" s="388"/>
      <c r="K82" s="2"/>
    </row>
    <row r="83" spans="1:11" x14ac:dyDescent="0.2">
      <c r="A83" s="2">
        <f t="shared" si="5"/>
        <v>36</v>
      </c>
      <c r="C83" s="20" t="s">
        <v>211</v>
      </c>
      <c r="D83" s="156">
        <v>2012</v>
      </c>
      <c r="E83" s="1360">
        <f t="shared" si="1"/>
        <v>992163287.46330059</v>
      </c>
      <c r="F83" s="1361">
        <f t="shared" si="2"/>
        <v>817381407.26253319</v>
      </c>
      <c r="G83" s="1164">
        <f t="shared" si="3"/>
        <v>0</v>
      </c>
      <c r="H83" s="1361">
        <f t="shared" si="4"/>
        <v>174781880.2007674</v>
      </c>
      <c r="I83" s="388" t="s">
        <v>88</v>
      </c>
      <c r="J83" s="388"/>
      <c r="K83" s="2"/>
    </row>
    <row r="84" spans="1:11" x14ac:dyDescent="0.2">
      <c r="A84" s="2">
        <f t="shared" si="5"/>
        <v>37</v>
      </c>
      <c r="C84" s="20" t="s">
        <v>201</v>
      </c>
      <c r="D84" s="156">
        <v>2012</v>
      </c>
      <c r="E84" s="1362">
        <f t="shared" si="1"/>
        <v>1203236497.7185457</v>
      </c>
      <c r="F84" s="1362">
        <f t="shared" si="2"/>
        <v>1029284599.9918925</v>
      </c>
      <c r="G84" s="390">
        <f t="shared" si="3"/>
        <v>0</v>
      </c>
      <c r="H84" s="1362">
        <f t="shared" si="4"/>
        <v>173951897.72665322</v>
      </c>
      <c r="I84" s="388" t="s">
        <v>88</v>
      </c>
      <c r="J84" s="388"/>
      <c r="K84" s="2"/>
    </row>
    <row r="85" spans="1:11" x14ac:dyDescent="0.2">
      <c r="A85" s="2">
        <f t="shared" si="5"/>
        <v>38</v>
      </c>
      <c r="C85" s="20"/>
      <c r="D85" s="206" t="s">
        <v>601</v>
      </c>
      <c r="E85" s="1360">
        <f>SUM(E72:E84)/13</f>
        <v>861824686.51071084</v>
      </c>
      <c r="F85" s="1360">
        <f>SUM(F72:F84)/13</f>
        <v>685062485.87267685</v>
      </c>
      <c r="G85" s="112">
        <f>SUM(G72:G84)/13</f>
        <v>0</v>
      </c>
      <c r="H85" s="1360">
        <f>SUM(H72:H84)/13</f>
        <v>176762200.63803381</v>
      </c>
      <c r="I85" s="44"/>
      <c r="J85" s="1"/>
      <c r="K85" s="2"/>
    </row>
    <row r="87" spans="1:11" x14ac:dyDescent="0.2">
      <c r="A87" s="609"/>
      <c r="C87" s="610" t="s">
        <v>1781</v>
      </c>
      <c r="D87" s="611"/>
      <c r="E87" s="612"/>
      <c r="F87" s="612"/>
      <c r="G87" s="612"/>
      <c r="H87" s="612"/>
      <c r="I87" s="1"/>
      <c r="J87" s="1"/>
    </row>
    <row r="88" spans="1:11" x14ac:dyDescent="0.2">
      <c r="A88" s="609"/>
      <c r="C88" s="610"/>
      <c r="D88" s="611"/>
      <c r="E88" s="90" t="s">
        <v>396</v>
      </c>
      <c r="F88" s="90" t="s">
        <v>380</v>
      </c>
      <c r="G88" s="90" t="s">
        <v>381</v>
      </c>
      <c r="H88" s="612"/>
      <c r="I88" s="1"/>
      <c r="J88" s="1"/>
    </row>
    <row r="89" spans="1:11" x14ac:dyDescent="0.2">
      <c r="A89" s="609"/>
      <c r="C89" s="588"/>
      <c r="D89" s="611"/>
      <c r="G89" s="557" t="s">
        <v>1925</v>
      </c>
      <c r="H89" s="612"/>
      <c r="I89" s="1"/>
      <c r="J89" s="1"/>
    </row>
    <row r="90" spans="1:11" x14ac:dyDescent="0.2">
      <c r="A90" s="609"/>
      <c r="C90" s="588"/>
      <c r="D90" s="611"/>
      <c r="E90" s="385" t="s">
        <v>484</v>
      </c>
      <c r="F90" s="612"/>
      <c r="G90" s="613" t="s">
        <v>1782</v>
      </c>
      <c r="H90" s="612"/>
      <c r="I90" s="1"/>
      <c r="J90" s="1"/>
    </row>
    <row r="91" spans="1:11" x14ac:dyDescent="0.2">
      <c r="A91" s="609"/>
      <c r="C91" s="609" t="s">
        <v>593</v>
      </c>
      <c r="E91" s="385" t="s">
        <v>1783</v>
      </c>
      <c r="F91" s="385" t="s">
        <v>112</v>
      </c>
      <c r="G91" s="385" t="s">
        <v>1783</v>
      </c>
      <c r="H91" s="612"/>
      <c r="I91" s="1"/>
      <c r="J91" s="1"/>
    </row>
    <row r="92" spans="1:11" x14ac:dyDescent="0.2">
      <c r="A92" s="609"/>
      <c r="C92" s="609" t="s">
        <v>214</v>
      </c>
      <c r="E92" s="385" t="s">
        <v>9</v>
      </c>
      <c r="F92" s="4" t="s">
        <v>1784</v>
      </c>
      <c r="G92" s="385" t="s">
        <v>9</v>
      </c>
      <c r="H92" s="612"/>
      <c r="I92" s="1"/>
      <c r="J92" s="1"/>
    </row>
    <row r="93" spans="1:11" x14ac:dyDescent="0.2">
      <c r="A93" s="609"/>
      <c r="C93" s="25" t="s">
        <v>213</v>
      </c>
      <c r="D93" s="25" t="s">
        <v>214</v>
      </c>
      <c r="E93" s="386" t="s">
        <v>1785</v>
      </c>
      <c r="F93" s="3" t="s">
        <v>1786</v>
      </c>
      <c r="G93" s="386" t="s">
        <v>1785</v>
      </c>
      <c r="H93" s="386" t="s">
        <v>1787</v>
      </c>
      <c r="I93" s="1"/>
      <c r="J93" s="1"/>
    </row>
    <row r="94" spans="1:11" ht="12.75" customHeight="1" x14ac:dyDescent="0.2">
      <c r="A94" s="609">
        <f>A85+1</f>
        <v>39</v>
      </c>
      <c r="C94" s="588" t="s">
        <v>201</v>
      </c>
      <c r="D94" s="614">
        <v>2011</v>
      </c>
      <c r="E94" s="7">
        <f t="shared" ref="E94:E106" si="6">H117+H137+H157+H176+H195+H214+H233+H252+H271+H290</f>
        <v>0</v>
      </c>
      <c r="F94" s="615">
        <v>0</v>
      </c>
      <c r="G94" s="612">
        <f>E94-F94</f>
        <v>0</v>
      </c>
      <c r="H94" s="621" t="s">
        <v>1801</v>
      </c>
      <c r="I94" s="1"/>
      <c r="J94" s="7"/>
    </row>
    <row r="95" spans="1:11" x14ac:dyDescent="0.2">
      <c r="A95" s="609">
        <f>A94+1</f>
        <v>40</v>
      </c>
      <c r="C95" s="588" t="s">
        <v>202</v>
      </c>
      <c r="D95" s="616">
        <v>2012</v>
      </c>
      <c r="E95" s="7">
        <f t="shared" si="6"/>
        <v>-73501.620000004768</v>
      </c>
      <c r="F95" s="615">
        <v>0</v>
      </c>
      <c r="G95" s="612">
        <f t="shared" ref="G95:G106" si="7">E95-F95</f>
        <v>-73501.620000004768</v>
      </c>
      <c r="H95" s="621" t="s">
        <v>1800</v>
      </c>
      <c r="I95" s="78"/>
      <c r="J95" s="7"/>
    </row>
    <row r="96" spans="1:11" x14ac:dyDescent="0.2">
      <c r="A96" s="609">
        <f t="shared" ref="A96:A107" si="8">A95+1</f>
        <v>41</v>
      </c>
      <c r="C96" s="586" t="s">
        <v>203</v>
      </c>
      <c r="D96" s="616">
        <v>2012</v>
      </c>
      <c r="E96" s="1350">
        <f t="shared" si="6"/>
        <v>171250365.81750005</v>
      </c>
      <c r="F96" s="615">
        <v>0</v>
      </c>
      <c r="G96" s="1363">
        <f t="shared" si="7"/>
        <v>171250365.81750005</v>
      </c>
      <c r="H96" s="621"/>
      <c r="I96" s="78"/>
      <c r="J96" s="7"/>
    </row>
    <row r="97" spans="1:10" x14ac:dyDescent="0.2">
      <c r="A97" s="609">
        <f t="shared" si="8"/>
        <v>42</v>
      </c>
      <c r="C97" s="586" t="s">
        <v>216</v>
      </c>
      <c r="D97" s="616">
        <v>2012</v>
      </c>
      <c r="E97" s="7">
        <f t="shared" si="6"/>
        <v>1262455.0000001192</v>
      </c>
      <c r="F97" s="615">
        <v>0</v>
      </c>
      <c r="G97" s="612">
        <f t="shared" si="7"/>
        <v>1262455.0000001192</v>
      </c>
      <c r="H97" s="612"/>
      <c r="I97" s="78"/>
      <c r="J97" s="7"/>
    </row>
    <row r="98" spans="1:10" x14ac:dyDescent="0.2">
      <c r="A98" s="609">
        <f t="shared" si="8"/>
        <v>43</v>
      </c>
      <c r="C98" s="588" t="s">
        <v>204</v>
      </c>
      <c r="D98" s="616">
        <v>2012</v>
      </c>
      <c r="E98" s="7">
        <f t="shared" si="6"/>
        <v>126583030.75999999</v>
      </c>
      <c r="F98" s="615">
        <v>0</v>
      </c>
      <c r="G98" s="612">
        <f t="shared" si="7"/>
        <v>126583030.75999999</v>
      </c>
      <c r="H98" s="612"/>
      <c r="I98" s="78"/>
      <c r="J98" s="7"/>
    </row>
    <row r="99" spans="1:10" x14ac:dyDescent="0.2">
      <c r="A99" s="609">
        <f t="shared" si="8"/>
        <v>44</v>
      </c>
      <c r="C99" s="586" t="s">
        <v>205</v>
      </c>
      <c r="D99" s="616">
        <v>2012</v>
      </c>
      <c r="E99" s="7">
        <f t="shared" si="6"/>
        <v>-562451.59000003338</v>
      </c>
      <c r="F99" s="615">
        <v>0</v>
      </c>
      <c r="G99" s="612">
        <f t="shared" si="7"/>
        <v>-562451.59000003338</v>
      </c>
      <c r="H99" s="612"/>
      <c r="I99" s="78"/>
      <c r="J99" s="7"/>
    </row>
    <row r="100" spans="1:10" x14ac:dyDescent="0.2">
      <c r="A100" s="609">
        <f t="shared" si="8"/>
        <v>45</v>
      </c>
      <c r="C100" s="586" t="s">
        <v>206</v>
      </c>
      <c r="D100" s="616">
        <v>2012</v>
      </c>
      <c r="E100" s="7">
        <f t="shared" si="6"/>
        <v>506423.61999997497</v>
      </c>
      <c r="F100" s="615">
        <v>0</v>
      </c>
      <c r="G100" s="612">
        <f t="shared" si="7"/>
        <v>506423.61999997497</v>
      </c>
      <c r="H100" s="612"/>
      <c r="I100" s="78"/>
      <c r="J100" s="7"/>
    </row>
    <row r="101" spans="1:10" x14ac:dyDescent="0.2">
      <c r="A101" s="609">
        <f t="shared" si="8"/>
        <v>46</v>
      </c>
      <c r="C101" s="588" t="s">
        <v>207</v>
      </c>
      <c r="D101" s="616">
        <v>2012</v>
      </c>
      <c r="E101" s="7">
        <f t="shared" si="6"/>
        <v>17202671.460000038</v>
      </c>
      <c r="F101" s="615">
        <v>0</v>
      </c>
      <c r="G101" s="612">
        <f t="shared" si="7"/>
        <v>17202671.460000038</v>
      </c>
      <c r="H101" s="612"/>
      <c r="I101" s="78"/>
      <c r="J101" s="7"/>
    </row>
    <row r="102" spans="1:10" x14ac:dyDescent="0.2">
      <c r="A102" s="609">
        <f t="shared" si="8"/>
        <v>47</v>
      </c>
      <c r="C102" s="586" t="s">
        <v>208</v>
      </c>
      <c r="D102" s="616">
        <v>2012</v>
      </c>
      <c r="E102" s="1350">
        <f t="shared" si="6"/>
        <v>113242210.83869982</v>
      </c>
      <c r="F102" s="615">
        <v>0</v>
      </c>
      <c r="G102" s="1363">
        <f t="shared" si="7"/>
        <v>113242210.83869982</v>
      </c>
      <c r="H102" s="612"/>
      <c r="I102" s="78"/>
      <c r="J102" s="7"/>
    </row>
    <row r="103" spans="1:10" x14ac:dyDescent="0.2">
      <c r="A103" s="609">
        <f t="shared" si="8"/>
        <v>48</v>
      </c>
      <c r="C103" s="586" t="s">
        <v>209</v>
      </c>
      <c r="D103" s="616">
        <v>2012</v>
      </c>
      <c r="E103" s="1350">
        <f t="shared" si="6"/>
        <v>2938895.5000001192</v>
      </c>
      <c r="F103" s="615">
        <v>0</v>
      </c>
      <c r="G103" s="1363">
        <f t="shared" si="7"/>
        <v>2938895.5000001192</v>
      </c>
      <c r="H103" s="612"/>
      <c r="I103" s="78"/>
      <c r="J103" s="7"/>
    </row>
    <row r="104" spans="1:10" x14ac:dyDescent="0.2">
      <c r="A104" s="609">
        <f t="shared" si="8"/>
        <v>49</v>
      </c>
      <c r="C104" s="588" t="s">
        <v>210</v>
      </c>
      <c r="D104" s="616">
        <v>2012</v>
      </c>
      <c r="E104" s="7">
        <f t="shared" si="6"/>
        <v>1518977.5300000906</v>
      </c>
      <c r="F104" s="615">
        <v>0</v>
      </c>
      <c r="G104" s="612">
        <f t="shared" si="7"/>
        <v>1518977.5300000906</v>
      </c>
      <c r="H104" s="612"/>
      <c r="I104" s="78"/>
      <c r="J104" s="7"/>
    </row>
    <row r="105" spans="1:10" x14ac:dyDescent="0.2">
      <c r="A105" s="609">
        <f t="shared" si="8"/>
        <v>50</v>
      </c>
      <c r="C105" s="588" t="s">
        <v>211</v>
      </c>
      <c r="D105" s="616">
        <v>2012</v>
      </c>
      <c r="E105" s="7">
        <f t="shared" si="6"/>
        <v>12403189.4899999</v>
      </c>
      <c r="F105" s="615">
        <v>0</v>
      </c>
      <c r="G105" s="612">
        <f t="shared" si="7"/>
        <v>12403189.4899999</v>
      </c>
      <c r="H105" s="612"/>
      <c r="I105" s="78"/>
      <c r="J105" s="7"/>
    </row>
    <row r="106" spans="1:10" x14ac:dyDescent="0.2">
      <c r="A106" s="609">
        <f t="shared" si="8"/>
        <v>51</v>
      </c>
      <c r="C106" s="588" t="s">
        <v>201</v>
      </c>
      <c r="D106" s="616">
        <v>2012</v>
      </c>
      <c r="E106" s="1349">
        <f t="shared" si="6"/>
        <v>213413737.95001453</v>
      </c>
      <c r="F106" s="466">
        <v>0</v>
      </c>
      <c r="G106" s="1362">
        <f t="shared" si="7"/>
        <v>213413737.95001453</v>
      </c>
      <c r="H106" s="612"/>
      <c r="I106" s="78"/>
      <c r="J106" s="7"/>
    </row>
    <row r="107" spans="1:10" x14ac:dyDescent="0.2">
      <c r="A107" s="609">
        <f t="shared" si="8"/>
        <v>52</v>
      </c>
      <c r="C107" s="588" t="s">
        <v>217</v>
      </c>
      <c r="D107" s="599"/>
      <c r="E107" s="1350">
        <f>SUM(E94:E106)</f>
        <v>659686004.75621462</v>
      </c>
      <c r="F107" s="64">
        <f t="shared" ref="F107:G107" si="9">SUM(F94:F106)</f>
        <v>0</v>
      </c>
      <c r="G107" s="1350">
        <f t="shared" si="9"/>
        <v>659686004.75621462</v>
      </c>
      <c r="H107" s="612"/>
      <c r="I107" s="78"/>
      <c r="J107" s="1"/>
    </row>
    <row r="108" spans="1:10" x14ac:dyDescent="0.2">
      <c r="A108" s="609"/>
      <c r="C108" s="588"/>
      <c r="D108" s="599"/>
      <c r="E108" s="64"/>
      <c r="F108" s="612"/>
      <c r="G108" s="612"/>
      <c r="H108" s="612"/>
      <c r="I108" s="78"/>
      <c r="J108" s="1"/>
    </row>
    <row r="110" spans="1:10" x14ac:dyDescent="0.2">
      <c r="C110" s="205" t="s">
        <v>1788</v>
      </c>
    </row>
    <row r="112" spans="1:10" x14ac:dyDescent="0.2">
      <c r="C112" s="1" t="s">
        <v>1789</v>
      </c>
      <c r="E112" s="90" t="s">
        <v>396</v>
      </c>
      <c r="F112" s="90" t="s">
        <v>380</v>
      </c>
      <c r="G112" s="90" t="s">
        <v>381</v>
      </c>
      <c r="H112" s="90" t="s">
        <v>382</v>
      </c>
    </row>
    <row r="113" spans="1:9" x14ac:dyDescent="0.2">
      <c r="G113" s="557" t="s">
        <v>1925</v>
      </c>
      <c r="H113" s="557" t="s">
        <v>1926</v>
      </c>
    </row>
    <row r="114" spans="1:9" x14ac:dyDescent="0.2">
      <c r="C114" s="609" t="s">
        <v>593</v>
      </c>
      <c r="H114" s="549" t="s">
        <v>1927</v>
      </c>
    </row>
    <row r="115" spans="1:9" x14ac:dyDescent="0.2">
      <c r="C115" s="609" t="s">
        <v>214</v>
      </c>
      <c r="E115" s="609" t="s">
        <v>416</v>
      </c>
      <c r="F115" s="609" t="s">
        <v>1790</v>
      </c>
      <c r="G115" s="609" t="s">
        <v>1095</v>
      </c>
      <c r="H115" s="609" t="s">
        <v>1259</v>
      </c>
    </row>
    <row r="116" spans="1:9" x14ac:dyDescent="0.2">
      <c r="C116" s="25" t="s">
        <v>213</v>
      </c>
      <c r="D116" s="25" t="s">
        <v>214</v>
      </c>
      <c r="E116" s="3" t="s">
        <v>1791</v>
      </c>
      <c r="F116" s="3" t="s">
        <v>1208</v>
      </c>
      <c r="G116" s="3" t="s">
        <v>4</v>
      </c>
      <c r="H116" s="3" t="s">
        <v>1786</v>
      </c>
    </row>
    <row r="117" spans="1:9" ht="13.5" thickBot="1" x14ac:dyDescent="0.25">
      <c r="A117" s="609">
        <f>A107+1</f>
        <v>53</v>
      </c>
      <c r="C117" s="588" t="s">
        <v>201</v>
      </c>
      <c r="D117" s="614">
        <v>2011</v>
      </c>
      <c r="E117" s="114">
        <v>409670435.86000007</v>
      </c>
      <c r="F117" s="114">
        <v>21443506.793019168</v>
      </c>
      <c r="G117" s="7">
        <f t="shared" ref="G117:G129" si="10">E117-F117</f>
        <v>388226929.0669809</v>
      </c>
      <c r="H117" s="7">
        <f>E117-E117</f>
        <v>0</v>
      </c>
      <c r="I117" s="680"/>
    </row>
    <row r="118" spans="1:9" ht="13.5" thickBot="1" x14ac:dyDescent="0.25">
      <c r="A118" s="609">
        <f>A117+1</f>
        <v>54</v>
      </c>
      <c r="C118" s="588" t="s">
        <v>202</v>
      </c>
      <c r="D118" s="616">
        <v>2012</v>
      </c>
      <c r="E118" s="114">
        <v>409596934.24000007</v>
      </c>
      <c r="F118" s="1369">
        <v>22256550.424340755</v>
      </c>
      <c r="G118" s="1350">
        <f t="shared" si="10"/>
        <v>387340383.81565928</v>
      </c>
      <c r="H118" s="7">
        <f>E118-E117</f>
        <v>-73501.620000004768</v>
      </c>
    </row>
    <row r="119" spans="1:9" x14ac:dyDescent="0.2">
      <c r="A119" s="609">
        <f t="shared" ref="A119:A129" si="11">A118+1</f>
        <v>55</v>
      </c>
      <c r="C119" s="586" t="s">
        <v>203</v>
      </c>
      <c r="D119" s="616">
        <v>2012</v>
      </c>
      <c r="E119" s="1364">
        <v>580847300.05750012</v>
      </c>
      <c r="F119" s="1366">
        <v>23069422.809467502</v>
      </c>
      <c r="G119" s="1350">
        <f t="shared" si="10"/>
        <v>557777877.24803257</v>
      </c>
      <c r="H119" s="1350">
        <f t="shared" ref="H119:H129" si="12">E119-E118</f>
        <v>171250365.81750005</v>
      </c>
    </row>
    <row r="120" spans="1:9" x14ac:dyDescent="0.2">
      <c r="A120" s="609">
        <f t="shared" si="11"/>
        <v>56</v>
      </c>
      <c r="C120" s="586" t="s">
        <v>216</v>
      </c>
      <c r="D120" s="616">
        <v>2012</v>
      </c>
      <c r="E120" s="1365">
        <v>582109755.05750024</v>
      </c>
      <c r="F120" s="1366">
        <v>24221141.968800157</v>
      </c>
      <c r="G120" s="1350">
        <f t="shared" si="10"/>
        <v>557888613.08870006</v>
      </c>
      <c r="H120" s="1350">
        <f t="shared" si="12"/>
        <v>1262455.0000001192</v>
      </c>
    </row>
    <row r="121" spans="1:9" x14ac:dyDescent="0.2">
      <c r="A121" s="609">
        <f t="shared" si="11"/>
        <v>57</v>
      </c>
      <c r="C121" s="588" t="s">
        <v>204</v>
      </c>
      <c r="D121" s="616">
        <v>2012</v>
      </c>
      <c r="E121" s="1365">
        <v>708692785.81750023</v>
      </c>
      <c r="F121" s="1366">
        <v>25375619.204306066</v>
      </c>
      <c r="G121" s="1350">
        <f t="shared" si="10"/>
        <v>683317166.61319423</v>
      </c>
      <c r="H121" s="1350">
        <f t="shared" si="12"/>
        <v>126583030.75999999</v>
      </c>
    </row>
    <row r="122" spans="1:9" x14ac:dyDescent="0.2">
      <c r="A122" s="609">
        <f t="shared" si="11"/>
        <v>58</v>
      </c>
      <c r="C122" s="586" t="s">
        <v>205</v>
      </c>
      <c r="D122" s="616">
        <v>2012</v>
      </c>
      <c r="E122" s="1365">
        <v>708130334.2275002</v>
      </c>
      <c r="F122" s="1366">
        <v>26798377.08598914</v>
      </c>
      <c r="G122" s="1350">
        <f t="shared" si="10"/>
        <v>681331957.14151108</v>
      </c>
      <c r="H122" s="1350">
        <f t="shared" si="12"/>
        <v>-562451.59000003338</v>
      </c>
    </row>
    <row r="123" spans="1:9" x14ac:dyDescent="0.2">
      <c r="A123" s="609">
        <f t="shared" si="11"/>
        <v>59</v>
      </c>
      <c r="C123" s="586" t="s">
        <v>206</v>
      </c>
      <c r="D123" s="616">
        <v>2012</v>
      </c>
      <c r="E123" s="1365">
        <v>708710629.26750016</v>
      </c>
      <c r="F123" s="1366">
        <v>28219831.921457216</v>
      </c>
      <c r="G123" s="1350">
        <f t="shared" si="10"/>
        <v>680490797.34604299</v>
      </c>
      <c r="H123" s="1350">
        <f t="shared" si="12"/>
        <v>580295.03999996185</v>
      </c>
    </row>
    <row r="124" spans="1:9" x14ac:dyDescent="0.2">
      <c r="A124" s="609">
        <f t="shared" si="11"/>
        <v>60</v>
      </c>
      <c r="C124" s="588" t="s">
        <v>207</v>
      </c>
      <c r="D124" s="616">
        <v>2012</v>
      </c>
      <c r="E124" s="1365">
        <v>725913300.7275002</v>
      </c>
      <c r="F124" s="1366">
        <v>29642628.895451039</v>
      </c>
      <c r="G124" s="1350">
        <f t="shared" si="10"/>
        <v>696270671.83204913</v>
      </c>
      <c r="H124" s="1350">
        <f t="shared" si="12"/>
        <v>17202671.460000038</v>
      </c>
    </row>
    <row r="125" spans="1:9" x14ac:dyDescent="0.2">
      <c r="A125" s="609">
        <f t="shared" si="11"/>
        <v>61</v>
      </c>
      <c r="C125" s="586" t="s">
        <v>208</v>
      </c>
      <c r="D125" s="616">
        <v>2012</v>
      </c>
      <c r="E125" s="1365">
        <v>839155511.56620002</v>
      </c>
      <c r="F125" s="1366">
        <v>31100856.055135779</v>
      </c>
      <c r="G125" s="1350">
        <f t="shared" si="10"/>
        <v>808054655.51106429</v>
      </c>
      <c r="H125" s="1350">
        <f t="shared" si="12"/>
        <v>113242210.83869982</v>
      </c>
    </row>
    <row r="126" spans="1:9" x14ac:dyDescent="0.2">
      <c r="A126" s="609">
        <f t="shared" si="11"/>
        <v>62</v>
      </c>
      <c r="C126" s="586" t="s">
        <v>209</v>
      </c>
      <c r="D126" s="616">
        <v>2012</v>
      </c>
      <c r="E126" s="1365">
        <v>842094407.06620014</v>
      </c>
      <c r="F126" s="1366">
        <v>32785032.56612676</v>
      </c>
      <c r="G126" s="1350">
        <f t="shared" si="10"/>
        <v>809309374.50007343</v>
      </c>
      <c r="H126" s="1350">
        <f t="shared" si="12"/>
        <v>2938895.5000001192</v>
      </c>
    </row>
    <row r="127" spans="1:9" x14ac:dyDescent="0.2">
      <c r="A127" s="609">
        <f t="shared" si="11"/>
        <v>63</v>
      </c>
      <c r="C127" s="588" t="s">
        <v>210</v>
      </c>
      <c r="D127" s="616">
        <v>2012</v>
      </c>
      <c r="E127" s="1365">
        <v>843613384.59620023</v>
      </c>
      <c r="F127" s="1366">
        <v>34475501.66913458</v>
      </c>
      <c r="G127" s="1350">
        <f t="shared" si="10"/>
        <v>809137882.92706561</v>
      </c>
      <c r="H127" s="1350">
        <f t="shared" si="12"/>
        <v>1518977.5300000906</v>
      </c>
    </row>
    <row r="128" spans="1:9" x14ac:dyDescent="0.2">
      <c r="A128" s="609">
        <f t="shared" si="11"/>
        <v>64</v>
      </c>
      <c r="C128" s="588" t="s">
        <v>211</v>
      </c>
      <c r="D128" s="616">
        <v>2012</v>
      </c>
      <c r="E128" s="1365">
        <v>853550475.32620013</v>
      </c>
      <c r="F128" s="1366">
        <v>36169068.063666888</v>
      </c>
      <c r="G128" s="1350">
        <f t="shared" si="10"/>
        <v>817381407.26253319</v>
      </c>
      <c r="H128" s="1350">
        <f t="shared" si="12"/>
        <v>9937090.7299998999</v>
      </c>
    </row>
    <row r="129" spans="1:8" ht="13.5" thickBot="1" x14ac:dyDescent="0.25">
      <c r="A129" s="609">
        <f t="shared" si="11"/>
        <v>65</v>
      </c>
      <c r="C129" s="588" t="s">
        <v>201</v>
      </c>
      <c r="D129" s="616">
        <v>2012</v>
      </c>
      <c r="E129" s="1367">
        <v>1067168105.0862147</v>
      </c>
      <c r="F129" s="1368">
        <v>37883505.094322205</v>
      </c>
      <c r="G129" s="1350">
        <f t="shared" si="10"/>
        <v>1029284599.9918925</v>
      </c>
      <c r="H129" s="1350">
        <f t="shared" si="12"/>
        <v>213617629.76001453</v>
      </c>
    </row>
    <row r="130" spans="1:8" x14ac:dyDescent="0.2">
      <c r="A130" s="609"/>
      <c r="C130" s="588"/>
      <c r="D130" s="599"/>
    </row>
    <row r="132" spans="1:8" x14ac:dyDescent="0.2">
      <c r="C132" s="205" t="s">
        <v>1792</v>
      </c>
      <c r="E132" s="90" t="s">
        <v>396</v>
      </c>
      <c r="F132" s="90" t="s">
        <v>380</v>
      </c>
      <c r="G132" s="90" t="s">
        <v>381</v>
      </c>
      <c r="H132" s="90" t="s">
        <v>382</v>
      </c>
    </row>
    <row r="133" spans="1:8" x14ac:dyDescent="0.2">
      <c r="G133" s="557" t="s">
        <v>1925</v>
      </c>
      <c r="H133" s="557" t="s">
        <v>1926</v>
      </c>
    </row>
    <row r="134" spans="1:8" x14ac:dyDescent="0.2">
      <c r="C134" s="609" t="s">
        <v>593</v>
      </c>
      <c r="H134" s="549" t="s">
        <v>1927</v>
      </c>
    </row>
    <row r="135" spans="1:8" x14ac:dyDescent="0.2">
      <c r="C135" s="609" t="s">
        <v>214</v>
      </c>
      <c r="E135" s="609" t="s">
        <v>416</v>
      </c>
      <c r="F135" s="609" t="s">
        <v>1790</v>
      </c>
      <c r="G135" s="609" t="s">
        <v>1095</v>
      </c>
      <c r="H135" s="609" t="s">
        <v>1259</v>
      </c>
    </row>
    <row r="136" spans="1:8" ht="13.5" thickBot="1" x14ac:dyDescent="0.25">
      <c r="C136" s="25" t="s">
        <v>213</v>
      </c>
      <c r="D136" s="25" t="s">
        <v>214</v>
      </c>
      <c r="E136" s="3" t="s">
        <v>1791</v>
      </c>
      <c r="F136" s="3" t="s">
        <v>1208</v>
      </c>
      <c r="G136" s="3" t="s">
        <v>4</v>
      </c>
      <c r="H136" s="3" t="s">
        <v>1786</v>
      </c>
    </row>
    <row r="137" spans="1:8" x14ac:dyDescent="0.2">
      <c r="A137" s="609">
        <f>A129+1</f>
        <v>66</v>
      </c>
      <c r="C137" s="588" t="s">
        <v>201</v>
      </c>
      <c r="D137" s="614">
        <v>2011</v>
      </c>
      <c r="E137" s="114">
        <v>192031845.92999995</v>
      </c>
      <c r="F137" s="1369">
        <v>12820471.644821741</v>
      </c>
      <c r="G137" s="1350">
        <f>E137-F137</f>
        <v>179211374.28517821</v>
      </c>
      <c r="H137" s="7">
        <f>E137-E137</f>
        <v>0</v>
      </c>
    </row>
    <row r="138" spans="1:8" x14ac:dyDescent="0.2">
      <c r="A138" s="609">
        <f>A137+1</f>
        <v>67</v>
      </c>
      <c r="C138" s="588" t="s">
        <v>202</v>
      </c>
      <c r="D138" s="616">
        <v>2012</v>
      </c>
      <c r="E138" s="114">
        <v>192031845.92999995</v>
      </c>
      <c r="F138" s="1370">
        <v>13216522.685461741</v>
      </c>
      <c r="G138" s="1350">
        <f t="shared" ref="G138:G149" si="13">E138-F138</f>
        <v>178815323.24453822</v>
      </c>
      <c r="H138" s="7">
        <f>E138-E137</f>
        <v>0</v>
      </c>
    </row>
    <row r="139" spans="1:8" x14ac:dyDescent="0.2">
      <c r="A139" s="609">
        <f t="shared" ref="A139:A149" si="14">A138+1</f>
        <v>68</v>
      </c>
      <c r="C139" s="586" t="s">
        <v>203</v>
      </c>
      <c r="D139" s="616">
        <v>2012</v>
      </c>
      <c r="E139" s="114">
        <v>192031845.92999995</v>
      </c>
      <c r="F139" s="1370">
        <v>13612573.726101739</v>
      </c>
      <c r="G139" s="1350">
        <f t="shared" si="13"/>
        <v>178419272.20389822</v>
      </c>
      <c r="H139" s="7">
        <f t="shared" ref="H139:H149" si="15">E139-E138</f>
        <v>0</v>
      </c>
    </row>
    <row r="140" spans="1:8" x14ac:dyDescent="0.2">
      <c r="A140" s="609">
        <f t="shared" si="14"/>
        <v>69</v>
      </c>
      <c r="C140" s="586" t="s">
        <v>216</v>
      </c>
      <c r="D140" s="616">
        <v>2012</v>
      </c>
      <c r="E140" s="114">
        <v>192031845.92999995</v>
      </c>
      <c r="F140" s="1370">
        <v>14008624.766741741</v>
      </c>
      <c r="G140" s="1350">
        <f t="shared" si="13"/>
        <v>178023221.16325819</v>
      </c>
      <c r="H140" s="7">
        <f t="shared" si="15"/>
        <v>0</v>
      </c>
    </row>
    <row r="141" spans="1:8" x14ac:dyDescent="0.2">
      <c r="A141" s="609">
        <f t="shared" si="14"/>
        <v>70</v>
      </c>
      <c r="C141" s="588" t="s">
        <v>204</v>
      </c>
      <c r="D141" s="616">
        <v>2012</v>
      </c>
      <c r="E141" s="114">
        <v>192031845.92999995</v>
      </c>
      <c r="F141" s="1370">
        <v>14404675.807381742</v>
      </c>
      <c r="G141" s="1350">
        <f t="shared" si="13"/>
        <v>177627170.1226182</v>
      </c>
      <c r="H141" s="7">
        <f t="shared" si="15"/>
        <v>0</v>
      </c>
    </row>
    <row r="142" spans="1:8" x14ac:dyDescent="0.2">
      <c r="A142" s="609">
        <f t="shared" si="14"/>
        <v>71</v>
      </c>
      <c r="C142" s="586" t="s">
        <v>205</v>
      </c>
      <c r="D142" s="616">
        <v>2012</v>
      </c>
      <c r="E142" s="114">
        <v>192031845.92999995</v>
      </c>
      <c r="F142" s="1370">
        <v>14800726.84802174</v>
      </c>
      <c r="G142" s="1350">
        <f t="shared" si="13"/>
        <v>177231119.0819782</v>
      </c>
      <c r="H142" s="7">
        <f t="shared" si="15"/>
        <v>0</v>
      </c>
    </row>
    <row r="143" spans="1:8" x14ac:dyDescent="0.2">
      <c r="A143" s="609">
        <f t="shared" si="14"/>
        <v>72</v>
      </c>
      <c r="C143" s="586" t="s">
        <v>206</v>
      </c>
      <c r="D143" s="616">
        <v>2012</v>
      </c>
      <c r="E143" s="114">
        <v>191957974.50999996</v>
      </c>
      <c r="F143" s="1370">
        <v>15196777.888661738</v>
      </c>
      <c r="G143" s="1350">
        <f t="shared" si="13"/>
        <v>176761196.62133822</v>
      </c>
      <c r="H143" s="7">
        <f t="shared" si="15"/>
        <v>-73871.419999986887</v>
      </c>
    </row>
    <row r="144" spans="1:8" x14ac:dyDescent="0.2">
      <c r="A144" s="609">
        <f t="shared" si="14"/>
        <v>73</v>
      </c>
      <c r="C144" s="588" t="s">
        <v>207</v>
      </c>
      <c r="D144" s="616">
        <v>2012</v>
      </c>
      <c r="E144" s="114">
        <v>191957974.50999996</v>
      </c>
      <c r="F144" s="1370">
        <v>15592641.172775906</v>
      </c>
      <c r="G144" s="1350">
        <f t="shared" si="13"/>
        <v>176365333.33722407</v>
      </c>
      <c r="H144" s="7">
        <f t="shared" si="15"/>
        <v>0</v>
      </c>
    </row>
    <row r="145" spans="1:8" x14ac:dyDescent="0.2">
      <c r="A145" s="609">
        <f t="shared" si="14"/>
        <v>74</v>
      </c>
      <c r="C145" s="586" t="s">
        <v>208</v>
      </c>
      <c r="D145" s="616">
        <v>2012</v>
      </c>
      <c r="E145" s="114">
        <v>191957974.50999996</v>
      </c>
      <c r="F145" s="1370">
        <v>15988504.456890073</v>
      </c>
      <c r="G145" s="1350">
        <f t="shared" si="13"/>
        <v>175969470.05310988</v>
      </c>
      <c r="H145" s="7">
        <f t="shared" si="15"/>
        <v>0</v>
      </c>
    </row>
    <row r="146" spans="1:8" x14ac:dyDescent="0.2">
      <c r="A146" s="609">
        <f t="shared" si="14"/>
        <v>75</v>
      </c>
      <c r="C146" s="586" t="s">
        <v>209</v>
      </c>
      <c r="D146" s="616">
        <v>2012</v>
      </c>
      <c r="E146" s="114">
        <v>191957974.50999996</v>
      </c>
      <c r="F146" s="1370">
        <v>16384367.74100424</v>
      </c>
      <c r="G146" s="1350">
        <f t="shared" si="13"/>
        <v>175573606.76899573</v>
      </c>
      <c r="H146" s="7">
        <f t="shared" si="15"/>
        <v>0</v>
      </c>
    </row>
    <row r="147" spans="1:8" x14ac:dyDescent="0.2">
      <c r="A147" s="609">
        <f t="shared" si="14"/>
        <v>76</v>
      </c>
      <c r="C147" s="588" t="s">
        <v>210</v>
      </c>
      <c r="D147" s="616">
        <v>2012</v>
      </c>
      <c r="E147" s="114">
        <v>191957974.50999996</v>
      </c>
      <c r="F147" s="1370">
        <v>16780231.025118407</v>
      </c>
      <c r="G147" s="1350">
        <f t="shared" si="13"/>
        <v>175177743.48488155</v>
      </c>
      <c r="H147" s="7">
        <f t="shared" si="15"/>
        <v>0</v>
      </c>
    </row>
    <row r="148" spans="1:8" x14ac:dyDescent="0.2">
      <c r="A148" s="609">
        <f t="shared" si="14"/>
        <v>77</v>
      </c>
      <c r="C148" s="588" t="s">
        <v>211</v>
      </c>
      <c r="D148" s="616">
        <v>2012</v>
      </c>
      <c r="E148" s="114">
        <v>191957974.50999996</v>
      </c>
      <c r="F148" s="1370">
        <v>17176094.309232574</v>
      </c>
      <c r="G148" s="1350">
        <f t="shared" si="13"/>
        <v>174781880.2007674</v>
      </c>
      <c r="H148" s="7">
        <f t="shared" si="15"/>
        <v>0</v>
      </c>
    </row>
    <row r="149" spans="1:8" ht="13.5" thickBot="1" x14ac:dyDescent="0.25">
      <c r="A149" s="609">
        <f t="shared" si="14"/>
        <v>78</v>
      </c>
      <c r="C149" s="588" t="s">
        <v>201</v>
      </c>
      <c r="D149" s="616">
        <v>2012</v>
      </c>
      <c r="E149" s="114">
        <v>191523855.31999996</v>
      </c>
      <c r="F149" s="1371">
        <v>17571957.593346741</v>
      </c>
      <c r="G149" s="1350">
        <f t="shared" si="13"/>
        <v>173951897.72665322</v>
      </c>
      <c r="H149" s="7">
        <f t="shared" si="15"/>
        <v>-434119.18999999762</v>
      </c>
    </row>
    <row r="150" spans="1:8" x14ac:dyDescent="0.2">
      <c r="A150" s="609"/>
    </row>
    <row r="151" spans="1:8" ht="12.75" customHeight="1" x14ac:dyDescent="0.2"/>
    <row r="152" spans="1:8" x14ac:dyDescent="0.2">
      <c r="C152" s="205" t="s">
        <v>1793</v>
      </c>
      <c r="E152" s="90" t="s">
        <v>396</v>
      </c>
      <c r="F152" s="90" t="s">
        <v>380</v>
      </c>
      <c r="G152" s="90" t="s">
        <v>381</v>
      </c>
      <c r="H152" s="90" t="s">
        <v>382</v>
      </c>
    </row>
    <row r="153" spans="1:8" x14ac:dyDescent="0.2">
      <c r="G153" s="557" t="s">
        <v>1925</v>
      </c>
      <c r="H153" s="557" t="s">
        <v>1926</v>
      </c>
    </row>
    <row r="154" spans="1:8" x14ac:dyDescent="0.2">
      <c r="C154" s="609" t="s">
        <v>593</v>
      </c>
      <c r="H154" s="549" t="s">
        <v>1927</v>
      </c>
    </row>
    <row r="155" spans="1:8" x14ac:dyDescent="0.2">
      <c r="C155" s="609" t="s">
        <v>214</v>
      </c>
      <c r="E155" s="609" t="s">
        <v>416</v>
      </c>
      <c r="F155" s="609" t="s">
        <v>1790</v>
      </c>
      <c r="G155" s="609" t="s">
        <v>1095</v>
      </c>
      <c r="H155" s="609" t="s">
        <v>1259</v>
      </c>
    </row>
    <row r="156" spans="1:8" x14ac:dyDescent="0.2">
      <c r="C156" s="25" t="s">
        <v>213</v>
      </c>
      <c r="D156" s="25" t="s">
        <v>214</v>
      </c>
      <c r="E156" s="3" t="s">
        <v>1791</v>
      </c>
      <c r="F156" s="3" t="s">
        <v>1208</v>
      </c>
      <c r="G156" s="3" t="s">
        <v>4</v>
      </c>
      <c r="H156" s="3" t="s">
        <v>1786</v>
      </c>
    </row>
    <row r="157" spans="1:8" x14ac:dyDescent="0.2">
      <c r="A157" s="609">
        <f>A149+1</f>
        <v>79</v>
      </c>
      <c r="C157" s="588" t="s">
        <v>201</v>
      </c>
      <c r="D157" s="614">
        <v>2011</v>
      </c>
      <c r="E157" s="114">
        <v>0</v>
      </c>
      <c r="F157" s="114">
        <v>0</v>
      </c>
      <c r="G157" s="7">
        <f t="shared" ref="G157:G169" si="16">E157-F157</f>
        <v>0</v>
      </c>
      <c r="H157" s="7">
        <f>E157-E157</f>
        <v>0</v>
      </c>
    </row>
    <row r="158" spans="1:8" x14ac:dyDescent="0.2">
      <c r="A158" s="609">
        <f>A157+1</f>
        <v>80</v>
      </c>
      <c r="C158" s="588" t="s">
        <v>202</v>
      </c>
      <c r="D158" s="616">
        <v>2012</v>
      </c>
      <c r="E158" s="114">
        <v>0</v>
      </c>
      <c r="F158" s="114">
        <v>0</v>
      </c>
      <c r="G158" s="7">
        <f t="shared" si="16"/>
        <v>0</v>
      </c>
      <c r="H158" s="7">
        <f>E158-E157</f>
        <v>0</v>
      </c>
    </row>
    <row r="159" spans="1:8" x14ac:dyDescent="0.2">
      <c r="A159" s="609">
        <f t="shared" ref="A159:A169" si="17">A158+1</f>
        <v>81</v>
      </c>
      <c r="C159" s="586" t="s">
        <v>203</v>
      </c>
      <c r="D159" s="616">
        <v>2012</v>
      </c>
      <c r="E159" s="114">
        <v>0</v>
      </c>
      <c r="F159" s="114">
        <v>0</v>
      </c>
      <c r="G159" s="7">
        <f t="shared" si="16"/>
        <v>0</v>
      </c>
      <c r="H159" s="7">
        <f t="shared" ref="H159:H169" si="18">E159-E158</f>
        <v>0</v>
      </c>
    </row>
    <row r="160" spans="1:8" x14ac:dyDescent="0.2">
      <c r="A160" s="609">
        <f t="shared" si="17"/>
        <v>82</v>
      </c>
      <c r="C160" s="586" t="s">
        <v>216</v>
      </c>
      <c r="D160" s="616">
        <v>2012</v>
      </c>
      <c r="E160" s="114">
        <v>0</v>
      </c>
      <c r="F160" s="114">
        <v>0</v>
      </c>
      <c r="G160" s="7">
        <f t="shared" si="16"/>
        <v>0</v>
      </c>
      <c r="H160" s="7">
        <f t="shared" si="18"/>
        <v>0</v>
      </c>
    </row>
    <row r="161" spans="1:8" x14ac:dyDescent="0.2">
      <c r="A161" s="609">
        <f t="shared" si="17"/>
        <v>83</v>
      </c>
      <c r="C161" s="588" t="s">
        <v>204</v>
      </c>
      <c r="D161" s="616">
        <v>2012</v>
      </c>
      <c r="E161" s="114">
        <v>0</v>
      </c>
      <c r="F161" s="114">
        <v>0</v>
      </c>
      <c r="G161" s="7">
        <f t="shared" si="16"/>
        <v>0</v>
      </c>
      <c r="H161" s="7">
        <f t="shared" si="18"/>
        <v>0</v>
      </c>
    </row>
    <row r="162" spans="1:8" x14ac:dyDescent="0.2">
      <c r="A162" s="609">
        <f t="shared" si="17"/>
        <v>84</v>
      </c>
      <c r="C162" s="586" t="s">
        <v>205</v>
      </c>
      <c r="D162" s="616">
        <v>2012</v>
      </c>
      <c r="E162" s="114">
        <v>0</v>
      </c>
      <c r="F162" s="114">
        <v>0</v>
      </c>
      <c r="G162" s="7">
        <f t="shared" si="16"/>
        <v>0</v>
      </c>
      <c r="H162" s="7">
        <f t="shared" si="18"/>
        <v>0</v>
      </c>
    </row>
    <row r="163" spans="1:8" x14ac:dyDescent="0.2">
      <c r="A163" s="609">
        <f t="shared" si="17"/>
        <v>85</v>
      </c>
      <c r="C163" s="586" t="s">
        <v>206</v>
      </c>
      <c r="D163" s="616">
        <v>2012</v>
      </c>
      <c r="E163" s="114">
        <v>0</v>
      </c>
      <c r="F163" s="114">
        <v>0</v>
      </c>
      <c r="G163" s="7">
        <f t="shared" si="16"/>
        <v>0</v>
      </c>
      <c r="H163" s="7">
        <f t="shared" si="18"/>
        <v>0</v>
      </c>
    </row>
    <row r="164" spans="1:8" x14ac:dyDescent="0.2">
      <c r="A164" s="609">
        <f t="shared" si="17"/>
        <v>86</v>
      </c>
      <c r="C164" s="588" t="s">
        <v>207</v>
      </c>
      <c r="D164" s="616">
        <v>2012</v>
      </c>
      <c r="E164" s="114">
        <v>0</v>
      </c>
      <c r="F164" s="114">
        <v>0</v>
      </c>
      <c r="G164" s="7">
        <f t="shared" si="16"/>
        <v>0</v>
      </c>
      <c r="H164" s="7">
        <f t="shared" si="18"/>
        <v>0</v>
      </c>
    </row>
    <row r="165" spans="1:8" x14ac:dyDescent="0.2">
      <c r="A165" s="609">
        <f t="shared" si="17"/>
        <v>87</v>
      </c>
      <c r="C165" s="586" t="s">
        <v>208</v>
      </c>
      <c r="D165" s="616">
        <v>2012</v>
      </c>
      <c r="E165" s="114">
        <v>0</v>
      </c>
      <c r="F165" s="114">
        <v>0</v>
      </c>
      <c r="G165" s="7">
        <f t="shared" si="16"/>
        <v>0</v>
      </c>
      <c r="H165" s="7">
        <f t="shared" si="18"/>
        <v>0</v>
      </c>
    </row>
    <row r="166" spans="1:8" x14ac:dyDescent="0.2">
      <c r="A166" s="609">
        <f t="shared" si="17"/>
        <v>88</v>
      </c>
      <c r="C166" s="586" t="s">
        <v>209</v>
      </c>
      <c r="D166" s="616">
        <v>2012</v>
      </c>
      <c r="E166" s="114">
        <v>0</v>
      </c>
      <c r="F166" s="114">
        <v>0</v>
      </c>
      <c r="G166" s="7">
        <f t="shared" si="16"/>
        <v>0</v>
      </c>
      <c r="H166" s="7">
        <f t="shared" si="18"/>
        <v>0</v>
      </c>
    </row>
    <row r="167" spans="1:8" x14ac:dyDescent="0.2">
      <c r="A167" s="609">
        <f t="shared" si="17"/>
        <v>89</v>
      </c>
      <c r="C167" s="588" t="s">
        <v>210</v>
      </c>
      <c r="D167" s="616">
        <v>2012</v>
      </c>
      <c r="E167" s="114">
        <v>0</v>
      </c>
      <c r="F167" s="114">
        <v>0</v>
      </c>
      <c r="G167" s="7">
        <f t="shared" si="16"/>
        <v>0</v>
      </c>
      <c r="H167" s="7">
        <f t="shared" si="18"/>
        <v>0</v>
      </c>
    </row>
    <row r="168" spans="1:8" x14ac:dyDescent="0.2">
      <c r="A168" s="609">
        <f t="shared" si="17"/>
        <v>90</v>
      </c>
      <c r="C168" s="588" t="s">
        <v>211</v>
      </c>
      <c r="D168" s="616">
        <v>2012</v>
      </c>
      <c r="E168" s="114">
        <v>0</v>
      </c>
      <c r="F168" s="114">
        <v>0</v>
      </c>
      <c r="G168" s="7">
        <f t="shared" si="16"/>
        <v>0</v>
      </c>
      <c r="H168" s="7">
        <f t="shared" si="18"/>
        <v>0</v>
      </c>
    </row>
    <row r="169" spans="1:8" x14ac:dyDescent="0.2">
      <c r="A169" s="609">
        <f t="shared" si="17"/>
        <v>91</v>
      </c>
      <c r="C169" s="588" t="s">
        <v>201</v>
      </c>
      <c r="D169" s="616">
        <v>2012</v>
      </c>
      <c r="E169" s="114">
        <v>0</v>
      </c>
      <c r="F169" s="114">
        <v>0</v>
      </c>
      <c r="G169" s="7">
        <f t="shared" si="16"/>
        <v>0</v>
      </c>
      <c r="H169" s="7">
        <f t="shared" si="18"/>
        <v>0</v>
      </c>
    </row>
    <row r="171" spans="1:8" x14ac:dyDescent="0.2">
      <c r="C171" s="205" t="s">
        <v>1794</v>
      </c>
      <c r="E171" s="90" t="s">
        <v>396</v>
      </c>
      <c r="F171" s="90" t="s">
        <v>380</v>
      </c>
      <c r="G171" s="90" t="s">
        <v>381</v>
      </c>
      <c r="H171" s="90" t="s">
        <v>382</v>
      </c>
    </row>
    <row r="172" spans="1:8" x14ac:dyDescent="0.2">
      <c r="G172" s="557" t="s">
        <v>1925</v>
      </c>
      <c r="H172" s="557" t="s">
        <v>1926</v>
      </c>
    </row>
    <row r="173" spans="1:8" x14ac:dyDescent="0.2">
      <c r="C173" s="609" t="s">
        <v>593</v>
      </c>
      <c r="H173" s="549" t="s">
        <v>1927</v>
      </c>
    </row>
    <row r="174" spans="1:8" x14ac:dyDescent="0.2">
      <c r="C174" s="609" t="s">
        <v>214</v>
      </c>
      <c r="E174" s="609" t="s">
        <v>416</v>
      </c>
      <c r="F174" s="609" t="s">
        <v>1790</v>
      </c>
      <c r="G174" s="609" t="s">
        <v>1095</v>
      </c>
      <c r="H174" s="609" t="s">
        <v>1259</v>
      </c>
    </row>
    <row r="175" spans="1:8" x14ac:dyDescent="0.2">
      <c r="C175" s="25" t="s">
        <v>213</v>
      </c>
      <c r="D175" s="25" t="s">
        <v>214</v>
      </c>
      <c r="E175" s="3" t="s">
        <v>1791</v>
      </c>
      <c r="F175" s="3" t="s">
        <v>1208</v>
      </c>
      <c r="G175" s="3" t="s">
        <v>4</v>
      </c>
      <c r="H175" s="3" t="s">
        <v>1786</v>
      </c>
    </row>
    <row r="176" spans="1:8" x14ac:dyDescent="0.2">
      <c r="A176" s="609">
        <f>A169+1</f>
        <v>92</v>
      </c>
      <c r="C176" s="588" t="s">
        <v>201</v>
      </c>
      <c r="D176" s="614">
        <v>2011</v>
      </c>
      <c r="E176" s="114">
        <v>0</v>
      </c>
      <c r="F176" s="114">
        <v>0</v>
      </c>
      <c r="G176" s="7">
        <f t="shared" ref="G176:G188" si="19">E176-F176</f>
        <v>0</v>
      </c>
      <c r="H176" s="7">
        <f>E176-E176</f>
        <v>0</v>
      </c>
    </row>
    <row r="177" spans="1:8" x14ac:dyDescent="0.2">
      <c r="A177" s="609">
        <f>A176+1</f>
        <v>93</v>
      </c>
      <c r="C177" s="588" t="s">
        <v>202</v>
      </c>
      <c r="D177" s="616">
        <v>2012</v>
      </c>
      <c r="E177" s="114">
        <v>0</v>
      </c>
      <c r="F177" s="114">
        <v>0</v>
      </c>
      <c r="G177" s="7">
        <f t="shared" si="19"/>
        <v>0</v>
      </c>
      <c r="H177" s="7">
        <f>E177-E176</f>
        <v>0</v>
      </c>
    </row>
    <row r="178" spans="1:8" x14ac:dyDescent="0.2">
      <c r="A178" s="609">
        <f t="shared" ref="A178:A188" si="20">A177+1</f>
        <v>94</v>
      </c>
      <c r="C178" s="586" t="s">
        <v>203</v>
      </c>
      <c r="D178" s="616">
        <v>2012</v>
      </c>
      <c r="E178" s="114">
        <v>0</v>
      </c>
      <c r="F178" s="114">
        <v>0</v>
      </c>
      <c r="G178" s="7">
        <f t="shared" si="19"/>
        <v>0</v>
      </c>
      <c r="H178" s="7">
        <f t="shared" ref="H178:H188" si="21">E178-E177</f>
        <v>0</v>
      </c>
    </row>
    <row r="179" spans="1:8" x14ac:dyDescent="0.2">
      <c r="A179" s="609">
        <f t="shared" si="20"/>
        <v>95</v>
      </c>
      <c r="C179" s="586" t="s">
        <v>216</v>
      </c>
      <c r="D179" s="616">
        <v>2012</v>
      </c>
      <c r="E179" s="114">
        <v>0</v>
      </c>
      <c r="F179" s="114">
        <v>0</v>
      </c>
      <c r="G179" s="7">
        <f t="shared" si="19"/>
        <v>0</v>
      </c>
      <c r="H179" s="7">
        <f t="shared" si="21"/>
        <v>0</v>
      </c>
    </row>
    <row r="180" spans="1:8" x14ac:dyDescent="0.2">
      <c r="A180" s="609">
        <f t="shared" si="20"/>
        <v>96</v>
      </c>
      <c r="C180" s="588" t="s">
        <v>204</v>
      </c>
      <c r="D180" s="616">
        <v>2012</v>
      </c>
      <c r="E180" s="114">
        <v>0</v>
      </c>
      <c r="F180" s="114">
        <v>0</v>
      </c>
      <c r="G180" s="7">
        <f t="shared" si="19"/>
        <v>0</v>
      </c>
      <c r="H180" s="7">
        <f t="shared" si="21"/>
        <v>0</v>
      </c>
    </row>
    <row r="181" spans="1:8" x14ac:dyDescent="0.2">
      <c r="A181" s="609">
        <f t="shared" si="20"/>
        <v>97</v>
      </c>
      <c r="C181" s="586" t="s">
        <v>205</v>
      </c>
      <c r="D181" s="616">
        <v>2012</v>
      </c>
      <c r="E181" s="114">
        <v>0</v>
      </c>
      <c r="F181" s="114">
        <v>0</v>
      </c>
      <c r="G181" s="7">
        <f t="shared" si="19"/>
        <v>0</v>
      </c>
      <c r="H181" s="7">
        <f t="shared" si="21"/>
        <v>0</v>
      </c>
    </row>
    <row r="182" spans="1:8" x14ac:dyDescent="0.2">
      <c r="A182" s="609">
        <f t="shared" si="20"/>
        <v>98</v>
      </c>
      <c r="C182" s="586" t="s">
        <v>206</v>
      </c>
      <c r="D182" s="616">
        <v>2012</v>
      </c>
      <c r="E182" s="114">
        <v>0</v>
      </c>
      <c r="F182" s="114">
        <v>0</v>
      </c>
      <c r="G182" s="7">
        <f t="shared" si="19"/>
        <v>0</v>
      </c>
      <c r="H182" s="7">
        <f t="shared" si="21"/>
        <v>0</v>
      </c>
    </row>
    <row r="183" spans="1:8" x14ac:dyDescent="0.2">
      <c r="A183" s="609">
        <f t="shared" si="20"/>
        <v>99</v>
      </c>
      <c r="C183" s="588" t="s">
        <v>207</v>
      </c>
      <c r="D183" s="616">
        <v>2012</v>
      </c>
      <c r="E183" s="114">
        <v>0</v>
      </c>
      <c r="F183" s="114">
        <v>0</v>
      </c>
      <c r="G183" s="7">
        <f t="shared" si="19"/>
        <v>0</v>
      </c>
      <c r="H183" s="7">
        <f t="shared" si="21"/>
        <v>0</v>
      </c>
    </row>
    <row r="184" spans="1:8" x14ac:dyDescent="0.2">
      <c r="A184" s="609">
        <f t="shared" si="20"/>
        <v>100</v>
      </c>
      <c r="C184" s="586" t="s">
        <v>208</v>
      </c>
      <c r="D184" s="616">
        <v>2012</v>
      </c>
      <c r="E184" s="114">
        <v>0</v>
      </c>
      <c r="F184" s="114">
        <v>0</v>
      </c>
      <c r="G184" s="7">
        <f t="shared" si="19"/>
        <v>0</v>
      </c>
      <c r="H184" s="7">
        <f t="shared" si="21"/>
        <v>0</v>
      </c>
    </row>
    <row r="185" spans="1:8" x14ac:dyDescent="0.2">
      <c r="A185" s="609">
        <f t="shared" si="20"/>
        <v>101</v>
      </c>
      <c r="C185" s="586" t="s">
        <v>209</v>
      </c>
      <c r="D185" s="616">
        <v>2012</v>
      </c>
      <c r="E185" s="114">
        <v>0</v>
      </c>
      <c r="F185" s="114">
        <v>0</v>
      </c>
      <c r="G185" s="7">
        <f t="shared" si="19"/>
        <v>0</v>
      </c>
      <c r="H185" s="7">
        <f t="shared" si="21"/>
        <v>0</v>
      </c>
    </row>
    <row r="186" spans="1:8" x14ac:dyDescent="0.2">
      <c r="A186" s="609">
        <f t="shared" si="20"/>
        <v>102</v>
      </c>
      <c r="C186" s="588" t="s">
        <v>210</v>
      </c>
      <c r="D186" s="616">
        <v>2012</v>
      </c>
      <c r="E186" s="114">
        <v>0</v>
      </c>
      <c r="F186" s="114">
        <v>0</v>
      </c>
      <c r="G186" s="7">
        <f t="shared" si="19"/>
        <v>0</v>
      </c>
      <c r="H186" s="7">
        <f t="shared" si="21"/>
        <v>0</v>
      </c>
    </row>
    <row r="187" spans="1:8" x14ac:dyDescent="0.2">
      <c r="A187" s="609">
        <f t="shared" si="20"/>
        <v>103</v>
      </c>
      <c r="C187" s="588" t="s">
        <v>211</v>
      </c>
      <c r="D187" s="616">
        <v>2012</v>
      </c>
      <c r="E187" s="114">
        <v>0</v>
      </c>
      <c r="F187" s="114">
        <v>0</v>
      </c>
      <c r="G187" s="7">
        <f t="shared" si="19"/>
        <v>0</v>
      </c>
      <c r="H187" s="7">
        <f t="shared" si="21"/>
        <v>0</v>
      </c>
    </row>
    <row r="188" spans="1:8" x14ac:dyDescent="0.2">
      <c r="A188" s="609">
        <f t="shared" si="20"/>
        <v>104</v>
      </c>
      <c r="C188" s="588" t="s">
        <v>201</v>
      </c>
      <c r="D188" s="616">
        <v>2012</v>
      </c>
      <c r="E188" s="114">
        <v>0</v>
      </c>
      <c r="F188" s="114">
        <v>0</v>
      </c>
      <c r="G188" s="7">
        <f t="shared" si="19"/>
        <v>0</v>
      </c>
      <c r="H188" s="7">
        <f t="shared" si="21"/>
        <v>0</v>
      </c>
    </row>
    <row r="190" spans="1:8" x14ac:dyDescent="0.2">
      <c r="C190" s="205" t="s">
        <v>1795</v>
      </c>
      <c r="E190" s="90" t="s">
        <v>396</v>
      </c>
      <c r="F190" s="90" t="s">
        <v>380</v>
      </c>
      <c r="G190" s="90" t="s">
        <v>381</v>
      </c>
      <c r="H190" s="90" t="s">
        <v>382</v>
      </c>
    </row>
    <row r="191" spans="1:8" x14ac:dyDescent="0.2">
      <c r="G191" s="557" t="s">
        <v>1925</v>
      </c>
      <c r="H191" s="557" t="s">
        <v>1926</v>
      </c>
    </row>
    <row r="192" spans="1:8" x14ac:dyDescent="0.2">
      <c r="C192" s="609" t="s">
        <v>593</v>
      </c>
      <c r="H192" s="549" t="s">
        <v>1927</v>
      </c>
    </row>
    <row r="193" spans="1:8" x14ac:dyDescent="0.2">
      <c r="C193" s="609" t="s">
        <v>214</v>
      </c>
      <c r="E193" s="609" t="s">
        <v>416</v>
      </c>
      <c r="F193" s="609" t="s">
        <v>1790</v>
      </c>
      <c r="G193" s="609" t="s">
        <v>1095</v>
      </c>
      <c r="H193" s="609" t="s">
        <v>1259</v>
      </c>
    </row>
    <row r="194" spans="1:8" x14ac:dyDescent="0.2">
      <c r="C194" s="25" t="s">
        <v>213</v>
      </c>
      <c r="D194" s="25" t="s">
        <v>214</v>
      </c>
      <c r="E194" s="3" t="s">
        <v>1791</v>
      </c>
      <c r="F194" s="3" t="s">
        <v>1208</v>
      </c>
      <c r="G194" s="3" t="s">
        <v>4</v>
      </c>
      <c r="H194" s="3" t="s">
        <v>1786</v>
      </c>
    </row>
    <row r="195" spans="1:8" x14ac:dyDescent="0.2">
      <c r="A195" s="609">
        <f>A188+1</f>
        <v>105</v>
      </c>
      <c r="C195" s="588" t="s">
        <v>201</v>
      </c>
      <c r="D195" s="614">
        <v>2011</v>
      </c>
      <c r="E195" s="114">
        <v>0</v>
      </c>
      <c r="F195" s="114">
        <v>0</v>
      </c>
      <c r="G195" s="7">
        <f t="shared" ref="G195:G207" si="22">E195-F195</f>
        <v>0</v>
      </c>
      <c r="H195" s="7">
        <f>E195-E195</f>
        <v>0</v>
      </c>
    </row>
    <row r="196" spans="1:8" x14ac:dyDescent="0.2">
      <c r="A196" s="609">
        <f>A195+1</f>
        <v>106</v>
      </c>
      <c r="C196" s="588" t="s">
        <v>202</v>
      </c>
      <c r="D196" s="616">
        <v>2012</v>
      </c>
      <c r="E196" s="114">
        <v>0</v>
      </c>
      <c r="F196" s="114">
        <v>0</v>
      </c>
      <c r="G196" s="7">
        <f t="shared" si="22"/>
        <v>0</v>
      </c>
      <c r="H196" s="7">
        <f>E196-E195</f>
        <v>0</v>
      </c>
    </row>
    <row r="197" spans="1:8" x14ac:dyDescent="0.2">
      <c r="A197" s="609">
        <f t="shared" ref="A197:A207" si="23">A196+1</f>
        <v>107</v>
      </c>
      <c r="C197" s="586" t="s">
        <v>203</v>
      </c>
      <c r="D197" s="616">
        <v>2012</v>
      </c>
      <c r="E197" s="114">
        <v>0</v>
      </c>
      <c r="F197" s="114">
        <v>0</v>
      </c>
      <c r="G197" s="7">
        <f t="shared" si="22"/>
        <v>0</v>
      </c>
      <c r="H197" s="7">
        <f t="shared" ref="H197:H207" si="24">E197-E196</f>
        <v>0</v>
      </c>
    </row>
    <row r="198" spans="1:8" x14ac:dyDescent="0.2">
      <c r="A198" s="609">
        <f t="shared" si="23"/>
        <v>108</v>
      </c>
      <c r="C198" s="586" t="s">
        <v>216</v>
      </c>
      <c r="D198" s="616">
        <v>2012</v>
      </c>
      <c r="E198" s="114">
        <v>0</v>
      </c>
      <c r="F198" s="114">
        <v>0</v>
      </c>
      <c r="G198" s="7">
        <f t="shared" si="22"/>
        <v>0</v>
      </c>
      <c r="H198" s="7">
        <f t="shared" si="24"/>
        <v>0</v>
      </c>
    </row>
    <row r="199" spans="1:8" x14ac:dyDescent="0.2">
      <c r="A199" s="609">
        <f t="shared" si="23"/>
        <v>109</v>
      </c>
      <c r="C199" s="588" t="s">
        <v>204</v>
      </c>
      <c r="D199" s="616">
        <v>2012</v>
      </c>
      <c r="E199" s="114">
        <v>0</v>
      </c>
      <c r="F199" s="114">
        <v>0</v>
      </c>
      <c r="G199" s="7">
        <f t="shared" si="22"/>
        <v>0</v>
      </c>
      <c r="H199" s="7">
        <f t="shared" si="24"/>
        <v>0</v>
      </c>
    </row>
    <row r="200" spans="1:8" x14ac:dyDescent="0.2">
      <c r="A200" s="609">
        <f t="shared" si="23"/>
        <v>110</v>
      </c>
      <c r="C200" s="586" t="s">
        <v>205</v>
      </c>
      <c r="D200" s="616">
        <v>2012</v>
      </c>
      <c r="E200" s="114">
        <v>0</v>
      </c>
      <c r="F200" s="114">
        <v>0</v>
      </c>
      <c r="G200" s="7">
        <f t="shared" si="22"/>
        <v>0</v>
      </c>
      <c r="H200" s="7">
        <f t="shared" si="24"/>
        <v>0</v>
      </c>
    </row>
    <row r="201" spans="1:8" x14ac:dyDescent="0.2">
      <c r="A201" s="609">
        <f t="shared" si="23"/>
        <v>111</v>
      </c>
      <c r="C201" s="586" t="s">
        <v>206</v>
      </c>
      <c r="D201" s="616">
        <v>2012</v>
      </c>
      <c r="E201" s="114">
        <v>0</v>
      </c>
      <c r="F201" s="114">
        <v>0</v>
      </c>
      <c r="G201" s="7">
        <f t="shared" si="22"/>
        <v>0</v>
      </c>
      <c r="H201" s="7">
        <f t="shared" si="24"/>
        <v>0</v>
      </c>
    </row>
    <row r="202" spans="1:8" x14ac:dyDescent="0.2">
      <c r="A202" s="609">
        <f t="shared" si="23"/>
        <v>112</v>
      </c>
      <c r="C202" s="588" t="s">
        <v>207</v>
      </c>
      <c r="D202" s="616">
        <v>2012</v>
      </c>
      <c r="E202" s="114">
        <v>0</v>
      </c>
      <c r="F202" s="114">
        <v>0</v>
      </c>
      <c r="G202" s="7">
        <f t="shared" si="22"/>
        <v>0</v>
      </c>
      <c r="H202" s="7">
        <f t="shared" si="24"/>
        <v>0</v>
      </c>
    </row>
    <row r="203" spans="1:8" x14ac:dyDescent="0.2">
      <c r="A203" s="609">
        <f t="shared" si="23"/>
        <v>113</v>
      </c>
      <c r="C203" s="586" t="s">
        <v>208</v>
      </c>
      <c r="D203" s="616">
        <v>2012</v>
      </c>
      <c r="E203" s="114">
        <v>0</v>
      </c>
      <c r="F203" s="114">
        <v>0</v>
      </c>
      <c r="G203" s="7">
        <f t="shared" si="22"/>
        <v>0</v>
      </c>
      <c r="H203" s="7">
        <f t="shared" si="24"/>
        <v>0</v>
      </c>
    </row>
    <row r="204" spans="1:8" x14ac:dyDescent="0.2">
      <c r="A204" s="609">
        <f t="shared" si="23"/>
        <v>114</v>
      </c>
      <c r="C204" s="586" t="s">
        <v>209</v>
      </c>
      <c r="D204" s="616">
        <v>2012</v>
      </c>
      <c r="E204" s="114">
        <v>0</v>
      </c>
      <c r="F204" s="114">
        <v>0</v>
      </c>
      <c r="G204" s="7">
        <f t="shared" si="22"/>
        <v>0</v>
      </c>
      <c r="H204" s="7">
        <f t="shared" si="24"/>
        <v>0</v>
      </c>
    </row>
    <row r="205" spans="1:8" x14ac:dyDescent="0.2">
      <c r="A205" s="609">
        <f t="shared" si="23"/>
        <v>115</v>
      </c>
      <c r="C205" s="588" t="s">
        <v>210</v>
      </c>
      <c r="D205" s="616">
        <v>2012</v>
      </c>
      <c r="E205" s="114">
        <v>0</v>
      </c>
      <c r="F205" s="114">
        <v>0</v>
      </c>
      <c r="G205" s="7">
        <f t="shared" si="22"/>
        <v>0</v>
      </c>
      <c r="H205" s="7">
        <f t="shared" si="24"/>
        <v>0</v>
      </c>
    </row>
    <row r="206" spans="1:8" x14ac:dyDescent="0.2">
      <c r="A206" s="609">
        <f t="shared" si="23"/>
        <v>116</v>
      </c>
      <c r="C206" s="588" t="s">
        <v>211</v>
      </c>
      <c r="D206" s="616">
        <v>2012</v>
      </c>
      <c r="E206" s="114">
        <v>0</v>
      </c>
      <c r="F206" s="114">
        <v>0</v>
      </c>
      <c r="G206" s="7">
        <f t="shared" si="22"/>
        <v>0</v>
      </c>
      <c r="H206" s="7">
        <f t="shared" si="24"/>
        <v>0</v>
      </c>
    </row>
    <row r="207" spans="1:8" x14ac:dyDescent="0.2">
      <c r="A207" s="609">
        <f t="shared" si="23"/>
        <v>117</v>
      </c>
      <c r="C207" s="588" t="s">
        <v>201</v>
      </c>
      <c r="D207" s="616">
        <v>2012</v>
      </c>
      <c r="E207" s="114">
        <v>0</v>
      </c>
      <c r="F207" s="114">
        <v>0</v>
      </c>
      <c r="G207" s="7">
        <f t="shared" si="22"/>
        <v>0</v>
      </c>
      <c r="H207" s="7">
        <f t="shared" si="24"/>
        <v>0</v>
      </c>
    </row>
    <row r="209" spans="1:8" x14ac:dyDescent="0.2">
      <c r="C209" s="205" t="s">
        <v>1796</v>
      </c>
      <c r="E209" s="90" t="s">
        <v>396</v>
      </c>
      <c r="F209" s="90" t="s">
        <v>380</v>
      </c>
      <c r="G209" s="90" t="s">
        <v>381</v>
      </c>
      <c r="H209" s="90" t="s">
        <v>382</v>
      </c>
    </row>
    <row r="210" spans="1:8" x14ac:dyDescent="0.2">
      <c r="G210" s="557" t="s">
        <v>1925</v>
      </c>
      <c r="H210" s="557" t="s">
        <v>1926</v>
      </c>
    </row>
    <row r="211" spans="1:8" x14ac:dyDescent="0.2">
      <c r="C211" s="609" t="s">
        <v>593</v>
      </c>
      <c r="H211" s="549" t="s">
        <v>1927</v>
      </c>
    </row>
    <row r="212" spans="1:8" x14ac:dyDescent="0.2">
      <c r="C212" s="609" t="s">
        <v>214</v>
      </c>
      <c r="E212" s="609" t="s">
        <v>416</v>
      </c>
      <c r="F212" s="609" t="s">
        <v>1790</v>
      </c>
      <c r="G212" s="609" t="s">
        <v>1095</v>
      </c>
      <c r="H212" s="609" t="s">
        <v>1259</v>
      </c>
    </row>
    <row r="213" spans="1:8" x14ac:dyDescent="0.2">
      <c r="C213" s="25" t="s">
        <v>213</v>
      </c>
      <c r="D213" s="25" t="s">
        <v>214</v>
      </c>
      <c r="E213" s="3" t="s">
        <v>1791</v>
      </c>
      <c r="F213" s="3" t="s">
        <v>1208</v>
      </c>
      <c r="G213" s="3" t="s">
        <v>4</v>
      </c>
      <c r="H213" s="3" t="s">
        <v>1786</v>
      </c>
    </row>
    <row r="214" spans="1:8" x14ac:dyDescent="0.2">
      <c r="A214" s="609">
        <f>A207+1</f>
        <v>118</v>
      </c>
      <c r="C214" s="588" t="s">
        <v>201</v>
      </c>
      <c r="D214" s="614">
        <v>2011</v>
      </c>
      <c r="E214" s="114">
        <v>0</v>
      </c>
      <c r="F214" s="114">
        <v>0</v>
      </c>
      <c r="G214" s="7">
        <f t="shared" ref="G214:G226" si="25">E214-F214</f>
        <v>0</v>
      </c>
      <c r="H214" s="7">
        <f>E214-E214</f>
        <v>0</v>
      </c>
    </row>
    <row r="215" spans="1:8" x14ac:dyDescent="0.2">
      <c r="A215" s="609">
        <f>A214+1</f>
        <v>119</v>
      </c>
      <c r="C215" s="588" t="s">
        <v>202</v>
      </c>
      <c r="D215" s="616">
        <v>2012</v>
      </c>
      <c r="E215" s="114">
        <v>0</v>
      </c>
      <c r="F215" s="114">
        <v>0</v>
      </c>
      <c r="G215" s="7">
        <f t="shared" si="25"/>
        <v>0</v>
      </c>
      <c r="H215" s="7">
        <f>E215-E214</f>
        <v>0</v>
      </c>
    </row>
    <row r="216" spans="1:8" x14ac:dyDescent="0.2">
      <c r="A216" s="609">
        <f t="shared" ref="A216:A226" si="26">A215+1</f>
        <v>120</v>
      </c>
      <c r="C216" s="586" t="s">
        <v>203</v>
      </c>
      <c r="D216" s="616">
        <v>2012</v>
      </c>
      <c r="E216" s="114">
        <v>0</v>
      </c>
      <c r="F216" s="114">
        <v>0</v>
      </c>
      <c r="G216" s="7">
        <f t="shared" si="25"/>
        <v>0</v>
      </c>
      <c r="H216" s="7">
        <f t="shared" ref="H216:H226" si="27">E216-E215</f>
        <v>0</v>
      </c>
    </row>
    <row r="217" spans="1:8" x14ac:dyDescent="0.2">
      <c r="A217" s="609">
        <f t="shared" si="26"/>
        <v>121</v>
      </c>
      <c r="C217" s="586" t="s">
        <v>216</v>
      </c>
      <c r="D217" s="616">
        <v>2012</v>
      </c>
      <c r="E217" s="114">
        <v>0</v>
      </c>
      <c r="F217" s="114">
        <v>0</v>
      </c>
      <c r="G217" s="7">
        <f t="shared" si="25"/>
        <v>0</v>
      </c>
      <c r="H217" s="7">
        <f t="shared" si="27"/>
        <v>0</v>
      </c>
    </row>
    <row r="218" spans="1:8" x14ac:dyDescent="0.2">
      <c r="A218" s="609">
        <f t="shared" si="26"/>
        <v>122</v>
      </c>
      <c r="C218" s="588" t="s">
        <v>204</v>
      </c>
      <c r="D218" s="616">
        <v>2012</v>
      </c>
      <c r="E218" s="114">
        <v>0</v>
      </c>
      <c r="F218" s="114">
        <v>0</v>
      </c>
      <c r="G218" s="7">
        <f t="shared" si="25"/>
        <v>0</v>
      </c>
      <c r="H218" s="7">
        <f t="shared" si="27"/>
        <v>0</v>
      </c>
    </row>
    <row r="219" spans="1:8" x14ac:dyDescent="0.2">
      <c r="A219" s="609">
        <f t="shared" si="26"/>
        <v>123</v>
      </c>
      <c r="C219" s="586" t="s">
        <v>205</v>
      </c>
      <c r="D219" s="616">
        <v>2012</v>
      </c>
      <c r="E219" s="114">
        <v>0</v>
      </c>
      <c r="F219" s="114">
        <v>0</v>
      </c>
      <c r="G219" s="7">
        <f t="shared" si="25"/>
        <v>0</v>
      </c>
      <c r="H219" s="7">
        <f t="shared" si="27"/>
        <v>0</v>
      </c>
    </row>
    <row r="220" spans="1:8" x14ac:dyDescent="0.2">
      <c r="A220" s="609">
        <f t="shared" si="26"/>
        <v>124</v>
      </c>
      <c r="C220" s="586" t="s">
        <v>206</v>
      </c>
      <c r="D220" s="616">
        <v>2012</v>
      </c>
      <c r="E220" s="114">
        <v>0</v>
      </c>
      <c r="F220" s="114">
        <v>0</v>
      </c>
      <c r="G220" s="7">
        <f t="shared" si="25"/>
        <v>0</v>
      </c>
      <c r="H220" s="7">
        <f t="shared" si="27"/>
        <v>0</v>
      </c>
    </row>
    <row r="221" spans="1:8" x14ac:dyDescent="0.2">
      <c r="A221" s="609">
        <f t="shared" si="26"/>
        <v>125</v>
      </c>
      <c r="C221" s="588" t="s">
        <v>207</v>
      </c>
      <c r="D221" s="616">
        <v>2012</v>
      </c>
      <c r="E221" s="114">
        <v>0</v>
      </c>
      <c r="F221" s="114">
        <v>0</v>
      </c>
      <c r="G221" s="7">
        <f t="shared" si="25"/>
        <v>0</v>
      </c>
      <c r="H221" s="7">
        <f t="shared" si="27"/>
        <v>0</v>
      </c>
    </row>
    <row r="222" spans="1:8" x14ac:dyDescent="0.2">
      <c r="A222" s="609">
        <f t="shared" si="26"/>
        <v>126</v>
      </c>
      <c r="C222" s="586" t="s">
        <v>208</v>
      </c>
      <c r="D222" s="616">
        <v>2012</v>
      </c>
      <c r="E222" s="114">
        <v>0</v>
      </c>
      <c r="F222" s="114">
        <v>0</v>
      </c>
      <c r="G222" s="7">
        <f t="shared" si="25"/>
        <v>0</v>
      </c>
      <c r="H222" s="7">
        <f t="shared" si="27"/>
        <v>0</v>
      </c>
    </row>
    <row r="223" spans="1:8" x14ac:dyDescent="0.2">
      <c r="A223" s="609">
        <f t="shared" si="26"/>
        <v>127</v>
      </c>
      <c r="C223" s="586" t="s">
        <v>209</v>
      </c>
      <c r="D223" s="616">
        <v>2012</v>
      </c>
      <c r="E223" s="114">
        <v>0</v>
      </c>
      <c r="F223" s="114">
        <v>0</v>
      </c>
      <c r="G223" s="7">
        <f t="shared" si="25"/>
        <v>0</v>
      </c>
      <c r="H223" s="7">
        <f t="shared" si="27"/>
        <v>0</v>
      </c>
    </row>
    <row r="224" spans="1:8" x14ac:dyDescent="0.2">
      <c r="A224" s="609">
        <f t="shared" si="26"/>
        <v>128</v>
      </c>
      <c r="C224" s="588" t="s">
        <v>210</v>
      </c>
      <c r="D224" s="616">
        <v>2012</v>
      </c>
      <c r="E224" s="114">
        <v>0</v>
      </c>
      <c r="F224" s="114">
        <v>0</v>
      </c>
      <c r="G224" s="7">
        <f t="shared" si="25"/>
        <v>0</v>
      </c>
      <c r="H224" s="7">
        <f t="shared" si="27"/>
        <v>0</v>
      </c>
    </row>
    <row r="225" spans="1:8" x14ac:dyDescent="0.2">
      <c r="A225" s="609">
        <f t="shared" si="26"/>
        <v>129</v>
      </c>
      <c r="C225" s="588" t="s">
        <v>211</v>
      </c>
      <c r="D225" s="616">
        <v>2012</v>
      </c>
      <c r="E225" s="114">
        <v>0</v>
      </c>
      <c r="F225" s="114">
        <v>0</v>
      </c>
      <c r="G225" s="7">
        <f t="shared" si="25"/>
        <v>0</v>
      </c>
      <c r="H225" s="7">
        <f t="shared" si="27"/>
        <v>0</v>
      </c>
    </row>
    <row r="226" spans="1:8" x14ac:dyDescent="0.2">
      <c r="A226" s="609">
        <f t="shared" si="26"/>
        <v>130</v>
      </c>
      <c r="C226" s="588" t="s">
        <v>201</v>
      </c>
      <c r="D226" s="616">
        <v>2012</v>
      </c>
      <c r="E226" s="114">
        <v>0</v>
      </c>
      <c r="F226" s="114">
        <v>0</v>
      </c>
      <c r="G226" s="7">
        <f t="shared" si="25"/>
        <v>0</v>
      </c>
      <c r="H226" s="7">
        <f t="shared" si="27"/>
        <v>0</v>
      </c>
    </row>
    <row r="228" spans="1:8" x14ac:dyDescent="0.2">
      <c r="C228" s="205" t="s">
        <v>1838</v>
      </c>
      <c r="H228" s="90" t="s">
        <v>382</v>
      </c>
    </row>
    <row r="229" spans="1:8" x14ac:dyDescent="0.2">
      <c r="E229" s="90" t="s">
        <v>396</v>
      </c>
      <c r="F229" s="90" t="s">
        <v>380</v>
      </c>
      <c r="G229" s="90" t="s">
        <v>381</v>
      </c>
      <c r="H229" s="557" t="s">
        <v>1926</v>
      </c>
    </row>
    <row r="230" spans="1:8" x14ac:dyDescent="0.2">
      <c r="C230" s="609" t="s">
        <v>593</v>
      </c>
      <c r="G230" s="557" t="s">
        <v>1925</v>
      </c>
      <c r="H230" s="549" t="s">
        <v>1927</v>
      </c>
    </row>
    <row r="231" spans="1:8" x14ac:dyDescent="0.2">
      <c r="C231" s="609" t="s">
        <v>214</v>
      </c>
      <c r="E231" s="609" t="s">
        <v>416</v>
      </c>
      <c r="F231" s="609" t="s">
        <v>1790</v>
      </c>
      <c r="G231" s="609" t="s">
        <v>1095</v>
      </c>
      <c r="H231" s="609" t="s">
        <v>1259</v>
      </c>
    </row>
    <row r="232" spans="1:8" x14ac:dyDescent="0.2">
      <c r="C232" s="25" t="s">
        <v>213</v>
      </c>
      <c r="D232" s="25" t="s">
        <v>214</v>
      </c>
      <c r="E232" s="3" t="s">
        <v>1791</v>
      </c>
      <c r="F232" s="3" t="s">
        <v>1208</v>
      </c>
      <c r="G232" s="3" t="s">
        <v>4</v>
      </c>
      <c r="H232" s="3" t="s">
        <v>1786</v>
      </c>
    </row>
    <row r="233" spans="1:8" x14ac:dyDescent="0.2">
      <c r="A233" s="609">
        <f>A226+1</f>
        <v>131</v>
      </c>
      <c r="C233" s="588" t="s">
        <v>201</v>
      </c>
      <c r="D233" s="614">
        <v>2011</v>
      </c>
      <c r="E233" s="114">
        <v>0</v>
      </c>
      <c r="F233" s="114">
        <v>0</v>
      </c>
      <c r="G233" s="7">
        <f t="shared" ref="G233:G245" si="28">E233-F233</f>
        <v>0</v>
      </c>
      <c r="H233" s="7">
        <f>E233-E233</f>
        <v>0</v>
      </c>
    </row>
    <row r="234" spans="1:8" x14ac:dyDescent="0.2">
      <c r="A234" s="609">
        <f>A233+1</f>
        <v>132</v>
      </c>
      <c r="C234" s="588" t="s">
        <v>202</v>
      </c>
      <c r="D234" s="616">
        <v>2012</v>
      </c>
      <c r="E234" s="114">
        <v>0</v>
      </c>
      <c r="F234" s="114">
        <v>0</v>
      </c>
      <c r="G234" s="7">
        <f t="shared" si="28"/>
        <v>0</v>
      </c>
      <c r="H234" s="7">
        <f>E234-E233</f>
        <v>0</v>
      </c>
    </row>
    <row r="235" spans="1:8" x14ac:dyDescent="0.2">
      <c r="A235" s="609">
        <f t="shared" ref="A235:A245" si="29">A234+1</f>
        <v>133</v>
      </c>
      <c r="C235" s="586" t="s">
        <v>203</v>
      </c>
      <c r="D235" s="616">
        <v>2012</v>
      </c>
      <c r="E235" s="114">
        <v>0</v>
      </c>
      <c r="F235" s="114">
        <v>0</v>
      </c>
      <c r="G235" s="7">
        <f t="shared" si="28"/>
        <v>0</v>
      </c>
      <c r="H235" s="7">
        <f t="shared" ref="H235:H245" si="30">E235-E234</f>
        <v>0</v>
      </c>
    </row>
    <row r="236" spans="1:8" x14ac:dyDescent="0.2">
      <c r="A236" s="609">
        <f t="shared" si="29"/>
        <v>134</v>
      </c>
      <c r="C236" s="586" t="s">
        <v>216</v>
      </c>
      <c r="D236" s="616">
        <v>2012</v>
      </c>
      <c r="E236" s="114">
        <v>0</v>
      </c>
      <c r="F236" s="114">
        <v>0</v>
      </c>
      <c r="G236" s="7">
        <f t="shared" si="28"/>
        <v>0</v>
      </c>
      <c r="H236" s="7">
        <f t="shared" si="30"/>
        <v>0</v>
      </c>
    </row>
    <row r="237" spans="1:8" x14ac:dyDescent="0.2">
      <c r="A237" s="609">
        <f t="shared" si="29"/>
        <v>135</v>
      </c>
      <c r="C237" s="588" t="s">
        <v>204</v>
      </c>
      <c r="D237" s="616">
        <v>2012</v>
      </c>
      <c r="E237" s="114">
        <v>0</v>
      </c>
      <c r="F237" s="114">
        <v>0</v>
      </c>
      <c r="G237" s="7">
        <f t="shared" si="28"/>
        <v>0</v>
      </c>
      <c r="H237" s="7">
        <f t="shared" si="30"/>
        <v>0</v>
      </c>
    </row>
    <row r="238" spans="1:8" x14ac:dyDescent="0.2">
      <c r="A238" s="609">
        <f t="shared" si="29"/>
        <v>136</v>
      </c>
      <c r="C238" s="586" t="s">
        <v>205</v>
      </c>
      <c r="D238" s="616">
        <v>2012</v>
      </c>
      <c r="E238" s="114">
        <v>0</v>
      </c>
      <c r="F238" s="114">
        <v>0</v>
      </c>
      <c r="G238" s="7">
        <f t="shared" si="28"/>
        <v>0</v>
      </c>
      <c r="H238" s="7">
        <f t="shared" si="30"/>
        <v>0</v>
      </c>
    </row>
    <row r="239" spans="1:8" x14ac:dyDescent="0.2">
      <c r="A239" s="609">
        <f t="shared" si="29"/>
        <v>137</v>
      </c>
      <c r="C239" s="586" t="s">
        <v>206</v>
      </c>
      <c r="D239" s="616">
        <v>2012</v>
      </c>
      <c r="E239" s="114">
        <v>0</v>
      </c>
      <c r="F239" s="114">
        <v>0</v>
      </c>
      <c r="G239" s="7">
        <f t="shared" si="28"/>
        <v>0</v>
      </c>
      <c r="H239" s="7">
        <f t="shared" si="30"/>
        <v>0</v>
      </c>
    </row>
    <row r="240" spans="1:8" x14ac:dyDescent="0.2">
      <c r="A240" s="609">
        <f t="shared" si="29"/>
        <v>138</v>
      </c>
      <c r="C240" s="588" t="s">
        <v>207</v>
      </c>
      <c r="D240" s="616">
        <v>2012</v>
      </c>
      <c r="E240" s="114">
        <v>0</v>
      </c>
      <c r="F240" s="114">
        <v>0</v>
      </c>
      <c r="G240" s="7">
        <f t="shared" si="28"/>
        <v>0</v>
      </c>
      <c r="H240" s="7">
        <f t="shared" si="30"/>
        <v>0</v>
      </c>
    </row>
    <row r="241" spans="1:8" x14ac:dyDescent="0.2">
      <c r="A241" s="609">
        <f t="shared" si="29"/>
        <v>139</v>
      </c>
      <c r="C241" s="586" t="s">
        <v>208</v>
      </c>
      <c r="D241" s="616">
        <v>2012</v>
      </c>
      <c r="E241" s="114">
        <v>0</v>
      </c>
      <c r="F241" s="114">
        <v>0</v>
      </c>
      <c r="G241" s="7">
        <f t="shared" si="28"/>
        <v>0</v>
      </c>
      <c r="H241" s="7">
        <f t="shared" si="30"/>
        <v>0</v>
      </c>
    </row>
    <row r="242" spans="1:8" x14ac:dyDescent="0.2">
      <c r="A242" s="609">
        <f t="shared" si="29"/>
        <v>140</v>
      </c>
      <c r="C242" s="586" t="s">
        <v>209</v>
      </c>
      <c r="D242" s="616">
        <v>2012</v>
      </c>
      <c r="E242" s="114">
        <v>0</v>
      </c>
      <c r="F242" s="114">
        <v>0</v>
      </c>
      <c r="G242" s="7">
        <f t="shared" si="28"/>
        <v>0</v>
      </c>
      <c r="H242" s="7">
        <f t="shared" si="30"/>
        <v>0</v>
      </c>
    </row>
    <row r="243" spans="1:8" x14ac:dyDescent="0.2">
      <c r="A243" s="609">
        <f t="shared" si="29"/>
        <v>141</v>
      </c>
      <c r="C243" s="588" t="s">
        <v>210</v>
      </c>
      <c r="D243" s="616">
        <v>2012</v>
      </c>
      <c r="E243" s="114">
        <v>0</v>
      </c>
      <c r="F243" s="114">
        <v>0</v>
      </c>
      <c r="G243" s="7">
        <f t="shared" si="28"/>
        <v>0</v>
      </c>
      <c r="H243" s="7">
        <f t="shared" si="30"/>
        <v>0</v>
      </c>
    </row>
    <row r="244" spans="1:8" x14ac:dyDescent="0.2">
      <c r="A244" s="609">
        <f t="shared" si="29"/>
        <v>142</v>
      </c>
      <c r="C244" s="588" t="s">
        <v>211</v>
      </c>
      <c r="D244" s="616">
        <v>2012</v>
      </c>
      <c r="E244" s="114">
        <v>2466098.7599999998</v>
      </c>
      <c r="F244" s="114">
        <v>0</v>
      </c>
      <c r="G244" s="7">
        <f t="shared" si="28"/>
        <v>2466098.7599999998</v>
      </c>
      <c r="H244" s="7">
        <f t="shared" si="30"/>
        <v>2466098.7599999998</v>
      </c>
    </row>
    <row r="245" spans="1:8" x14ac:dyDescent="0.2">
      <c r="A245" s="609">
        <f t="shared" si="29"/>
        <v>143</v>
      </c>
      <c r="C245" s="588" t="s">
        <v>201</v>
      </c>
      <c r="D245" s="616">
        <v>2012</v>
      </c>
      <c r="E245" s="114">
        <v>2696326.1399999997</v>
      </c>
      <c r="F245" s="114">
        <v>5384.3156260000005</v>
      </c>
      <c r="G245" s="7">
        <f t="shared" si="28"/>
        <v>2690941.8243739996</v>
      </c>
      <c r="H245" s="7">
        <f t="shared" si="30"/>
        <v>230227.37999999989</v>
      </c>
    </row>
    <row r="247" spans="1:8" x14ac:dyDescent="0.2">
      <c r="C247" s="205" t="s">
        <v>1839</v>
      </c>
      <c r="H247" s="90" t="s">
        <v>382</v>
      </c>
    </row>
    <row r="248" spans="1:8" x14ac:dyDescent="0.2">
      <c r="E248" s="90" t="s">
        <v>396</v>
      </c>
      <c r="F248" s="90" t="s">
        <v>380</v>
      </c>
      <c r="G248" s="90" t="s">
        <v>381</v>
      </c>
      <c r="H248" s="557" t="s">
        <v>1926</v>
      </c>
    </row>
    <row r="249" spans="1:8" x14ac:dyDescent="0.2">
      <c r="C249" s="609" t="s">
        <v>593</v>
      </c>
      <c r="G249" s="557" t="s">
        <v>1925</v>
      </c>
      <c r="H249" s="549" t="s">
        <v>1927</v>
      </c>
    </row>
    <row r="250" spans="1:8" x14ac:dyDescent="0.2">
      <c r="C250" s="609" t="s">
        <v>214</v>
      </c>
      <c r="E250" s="609" t="s">
        <v>416</v>
      </c>
      <c r="F250" s="609" t="s">
        <v>1790</v>
      </c>
      <c r="G250" s="609" t="s">
        <v>1095</v>
      </c>
      <c r="H250" s="609" t="s">
        <v>1259</v>
      </c>
    </row>
    <row r="251" spans="1:8" x14ac:dyDescent="0.2">
      <c r="C251" s="25" t="s">
        <v>213</v>
      </c>
      <c r="D251" s="25" t="s">
        <v>214</v>
      </c>
      <c r="E251" s="3" t="s">
        <v>1791</v>
      </c>
      <c r="F251" s="3" t="s">
        <v>1208</v>
      </c>
      <c r="G251" s="3" t="s">
        <v>4</v>
      </c>
      <c r="H251" s="3" t="s">
        <v>1786</v>
      </c>
    </row>
    <row r="252" spans="1:8" x14ac:dyDescent="0.2">
      <c r="A252" s="609">
        <f>A245+1</f>
        <v>144</v>
      </c>
      <c r="C252" s="588" t="s">
        <v>201</v>
      </c>
      <c r="D252" s="614">
        <v>2011</v>
      </c>
      <c r="E252" s="114">
        <v>0</v>
      </c>
      <c r="F252" s="114">
        <v>0</v>
      </c>
      <c r="G252" s="7">
        <f t="shared" ref="G252:G264" si="31">E252-F252</f>
        <v>0</v>
      </c>
      <c r="H252" s="7">
        <f>E252-E252</f>
        <v>0</v>
      </c>
    </row>
    <row r="253" spans="1:8" x14ac:dyDescent="0.2">
      <c r="A253" s="609">
        <f>A252+1</f>
        <v>145</v>
      </c>
      <c r="C253" s="588" t="s">
        <v>202</v>
      </c>
      <c r="D253" s="616">
        <v>2012</v>
      </c>
      <c r="E253" s="114">
        <v>0</v>
      </c>
      <c r="F253" s="114">
        <v>0</v>
      </c>
      <c r="G253" s="7">
        <f t="shared" si="31"/>
        <v>0</v>
      </c>
      <c r="H253" s="7">
        <f>E253-E252</f>
        <v>0</v>
      </c>
    </row>
    <row r="254" spans="1:8" x14ac:dyDescent="0.2">
      <c r="A254" s="609">
        <f t="shared" ref="A254:A264" si="32">A253+1</f>
        <v>146</v>
      </c>
      <c r="C254" s="586" t="s">
        <v>203</v>
      </c>
      <c r="D254" s="616">
        <v>2012</v>
      </c>
      <c r="E254" s="114">
        <v>0</v>
      </c>
      <c r="F254" s="114">
        <v>0</v>
      </c>
      <c r="G254" s="7">
        <f t="shared" si="31"/>
        <v>0</v>
      </c>
      <c r="H254" s="7">
        <f t="shared" ref="H254:H264" si="33">E254-E253</f>
        <v>0</v>
      </c>
    </row>
    <row r="255" spans="1:8" x14ac:dyDescent="0.2">
      <c r="A255" s="609">
        <f t="shared" si="32"/>
        <v>147</v>
      </c>
      <c r="C255" s="586" t="s">
        <v>216</v>
      </c>
      <c r="D255" s="616">
        <v>2012</v>
      </c>
      <c r="E255" s="114">
        <v>0</v>
      </c>
      <c r="F255" s="114">
        <v>0</v>
      </c>
      <c r="G255" s="7">
        <f t="shared" si="31"/>
        <v>0</v>
      </c>
      <c r="H255" s="7">
        <f t="shared" si="33"/>
        <v>0</v>
      </c>
    </row>
    <row r="256" spans="1:8" x14ac:dyDescent="0.2">
      <c r="A256" s="609">
        <f t="shared" si="32"/>
        <v>148</v>
      </c>
      <c r="C256" s="588" t="s">
        <v>204</v>
      </c>
      <c r="D256" s="616">
        <v>2012</v>
      </c>
      <c r="E256" s="114">
        <v>0</v>
      </c>
      <c r="F256" s="114">
        <v>0</v>
      </c>
      <c r="G256" s="7">
        <f t="shared" si="31"/>
        <v>0</v>
      </c>
      <c r="H256" s="7">
        <f t="shared" si="33"/>
        <v>0</v>
      </c>
    </row>
    <row r="257" spans="1:8" x14ac:dyDescent="0.2">
      <c r="A257" s="609">
        <f t="shared" si="32"/>
        <v>149</v>
      </c>
      <c r="C257" s="586" t="s">
        <v>205</v>
      </c>
      <c r="D257" s="616">
        <v>2012</v>
      </c>
      <c r="E257" s="114">
        <v>0</v>
      </c>
      <c r="F257" s="114">
        <v>0</v>
      </c>
      <c r="G257" s="7">
        <f t="shared" si="31"/>
        <v>0</v>
      </c>
      <c r="H257" s="7">
        <f t="shared" si="33"/>
        <v>0</v>
      </c>
    </row>
    <row r="258" spans="1:8" x14ac:dyDescent="0.2">
      <c r="A258" s="609">
        <f t="shared" si="32"/>
        <v>150</v>
      </c>
      <c r="C258" s="586" t="s">
        <v>206</v>
      </c>
      <c r="D258" s="616">
        <v>2012</v>
      </c>
      <c r="E258" s="114">
        <v>0</v>
      </c>
      <c r="F258" s="114">
        <v>0</v>
      </c>
      <c r="G258" s="7">
        <f t="shared" si="31"/>
        <v>0</v>
      </c>
      <c r="H258" s="7">
        <f t="shared" si="33"/>
        <v>0</v>
      </c>
    </row>
    <row r="259" spans="1:8" x14ac:dyDescent="0.2">
      <c r="A259" s="609">
        <f t="shared" si="32"/>
        <v>151</v>
      </c>
      <c r="C259" s="588" t="s">
        <v>207</v>
      </c>
      <c r="D259" s="616">
        <v>2012</v>
      </c>
      <c r="E259" s="114">
        <v>0</v>
      </c>
      <c r="F259" s="114">
        <v>0</v>
      </c>
      <c r="G259" s="7">
        <f t="shared" si="31"/>
        <v>0</v>
      </c>
      <c r="H259" s="7">
        <f t="shared" si="33"/>
        <v>0</v>
      </c>
    </row>
    <row r="260" spans="1:8" x14ac:dyDescent="0.2">
      <c r="A260" s="609">
        <f t="shared" si="32"/>
        <v>152</v>
      </c>
      <c r="C260" s="586" t="s">
        <v>208</v>
      </c>
      <c r="D260" s="616">
        <v>2012</v>
      </c>
      <c r="E260" s="114">
        <v>0</v>
      </c>
      <c r="F260" s="114">
        <v>0</v>
      </c>
      <c r="G260" s="7">
        <f t="shared" si="31"/>
        <v>0</v>
      </c>
      <c r="H260" s="7">
        <f t="shared" si="33"/>
        <v>0</v>
      </c>
    </row>
    <row r="261" spans="1:8" x14ac:dyDescent="0.2">
      <c r="A261" s="609">
        <f t="shared" si="32"/>
        <v>153</v>
      </c>
      <c r="C261" s="586" t="s">
        <v>209</v>
      </c>
      <c r="D261" s="616">
        <v>2012</v>
      </c>
      <c r="E261" s="114">
        <v>0</v>
      </c>
      <c r="F261" s="114">
        <v>0</v>
      </c>
      <c r="G261" s="7">
        <f t="shared" si="31"/>
        <v>0</v>
      </c>
      <c r="H261" s="7">
        <f t="shared" si="33"/>
        <v>0</v>
      </c>
    </row>
    <row r="262" spans="1:8" x14ac:dyDescent="0.2">
      <c r="A262" s="609">
        <f t="shared" si="32"/>
        <v>154</v>
      </c>
      <c r="C262" s="588" t="s">
        <v>210</v>
      </c>
      <c r="D262" s="616">
        <v>2012</v>
      </c>
      <c r="E262" s="114">
        <v>0</v>
      </c>
      <c r="F262" s="114">
        <v>0</v>
      </c>
      <c r="G262" s="7">
        <f t="shared" si="31"/>
        <v>0</v>
      </c>
      <c r="H262" s="7">
        <f t="shared" si="33"/>
        <v>0</v>
      </c>
    </row>
    <row r="263" spans="1:8" x14ac:dyDescent="0.2">
      <c r="A263" s="609">
        <f t="shared" si="32"/>
        <v>155</v>
      </c>
      <c r="C263" s="588" t="s">
        <v>211</v>
      </c>
      <c r="D263" s="616">
        <v>2012</v>
      </c>
      <c r="E263" s="114">
        <v>0</v>
      </c>
      <c r="F263" s="114">
        <v>0</v>
      </c>
      <c r="G263" s="7">
        <f t="shared" si="31"/>
        <v>0</v>
      </c>
      <c r="H263" s="7">
        <f t="shared" si="33"/>
        <v>0</v>
      </c>
    </row>
    <row r="264" spans="1:8" x14ac:dyDescent="0.2">
      <c r="A264" s="609">
        <f t="shared" si="32"/>
        <v>156</v>
      </c>
      <c r="C264" s="588" t="s">
        <v>201</v>
      </c>
      <c r="D264" s="616">
        <v>2012</v>
      </c>
      <c r="E264" s="114">
        <v>0</v>
      </c>
      <c r="F264" s="114">
        <v>0</v>
      </c>
      <c r="G264" s="7">
        <f t="shared" si="31"/>
        <v>0</v>
      </c>
      <c r="H264" s="7">
        <f t="shared" si="33"/>
        <v>0</v>
      </c>
    </row>
    <row r="266" spans="1:8" x14ac:dyDescent="0.2">
      <c r="C266" s="205" t="s">
        <v>1797</v>
      </c>
      <c r="E266" s="90" t="s">
        <v>396</v>
      </c>
      <c r="F266" s="90" t="s">
        <v>380</v>
      </c>
      <c r="G266" s="90" t="s">
        <v>381</v>
      </c>
      <c r="H266" s="90" t="s">
        <v>382</v>
      </c>
    </row>
    <row r="267" spans="1:8" x14ac:dyDescent="0.2">
      <c r="G267" s="557" t="s">
        <v>1925</v>
      </c>
      <c r="H267" s="557" t="s">
        <v>1926</v>
      </c>
    </row>
    <row r="268" spans="1:8" x14ac:dyDescent="0.2">
      <c r="C268" s="609" t="s">
        <v>593</v>
      </c>
      <c r="H268" s="549" t="s">
        <v>1927</v>
      </c>
    </row>
    <row r="269" spans="1:8" x14ac:dyDescent="0.2">
      <c r="C269" s="609" t="s">
        <v>214</v>
      </c>
      <c r="E269" s="609" t="s">
        <v>416</v>
      </c>
      <c r="F269" s="609" t="s">
        <v>1790</v>
      </c>
      <c r="G269" s="609" t="s">
        <v>1095</v>
      </c>
      <c r="H269" s="609" t="s">
        <v>1259</v>
      </c>
    </row>
    <row r="270" spans="1:8" x14ac:dyDescent="0.2">
      <c r="C270" s="25" t="s">
        <v>213</v>
      </c>
      <c r="D270" s="25" t="s">
        <v>214</v>
      </c>
      <c r="E270" s="3" t="s">
        <v>1791</v>
      </c>
      <c r="F270" s="3" t="s">
        <v>1208</v>
      </c>
      <c r="G270" s="3" t="s">
        <v>4</v>
      </c>
      <c r="H270" s="3" t="s">
        <v>1786</v>
      </c>
    </row>
    <row r="271" spans="1:8" x14ac:dyDescent="0.2">
      <c r="A271" s="609">
        <f>A264+1</f>
        <v>157</v>
      </c>
      <c r="C271" s="588" t="s">
        <v>201</v>
      </c>
      <c r="D271" s="614">
        <v>2011</v>
      </c>
      <c r="E271" s="114">
        <v>0</v>
      </c>
      <c r="F271" s="114">
        <v>0</v>
      </c>
      <c r="G271" s="7">
        <f t="shared" ref="G271:G283" si="34">E271-F271</f>
        <v>0</v>
      </c>
      <c r="H271" s="7">
        <f>E271-E271</f>
        <v>0</v>
      </c>
    </row>
    <row r="272" spans="1:8" x14ac:dyDescent="0.2">
      <c r="A272" s="609">
        <f>A271+1</f>
        <v>158</v>
      </c>
      <c r="C272" s="588" t="s">
        <v>202</v>
      </c>
      <c r="D272" s="616">
        <v>2012</v>
      </c>
      <c r="E272" s="114">
        <v>0</v>
      </c>
      <c r="F272" s="114">
        <v>0</v>
      </c>
      <c r="G272" s="7">
        <f t="shared" si="34"/>
        <v>0</v>
      </c>
      <c r="H272" s="7">
        <f>E272-E271</f>
        <v>0</v>
      </c>
    </row>
    <row r="273" spans="1:8" x14ac:dyDescent="0.2">
      <c r="A273" s="609">
        <f t="shared" ref="A273:A283" si="35">A272+1</f>
        <v>159</v>
      </c>
      <c r="C273" s="586" t="s">
        <v>203</v>
      </c>
      <c r="D273" s="616">
        <v>2012</v>
      </c>
      <c r="E273" s="114">
        <v>0</v>
      </c>
      <c r="F273" s="114">
        <v>0</v>
      </c>
      <c r="G273" s="7">
        <f t="shared" si="34"/>
        <v>0</v>
      </c>
      <c r="H273" s="7">
        <f t="shared" ref="H273:H283" si="36">E273-E272</f>
        <v>0</v>
      </c>
    </row>
    <row r="274" spans="1:8" x14ac:dyDescent="0.2">
      <c r="A274" s="609">
        <f t="shared" si="35"/>
        <v>160</v>
      </c>
      <c r="C274" s="586" t="s">
        <v>216</v>
      </c>
      <c r="D274" s="616">
        <v>2012</v>
      </c>
      <c r="E274" s="114">
        <v>0</v>
      </c>
      <c r="F274" s="114">
        <v>0</v>
      </c>
      <c r="G274" s="7">
        <f t="shared" si="34"/>
        <v>0</v>
      </c>
      <c r="H274" s="7">
        <f t="shared" si="36"/>
        <v>0</v>
      </c>
    </row>
    <row r="275" spans="1:8" x14ac:dyDescent="0.2">
      <c r="A275" s="609">
        <f t="shared" si="35"/>
        <v>161</v>
      </c>
      <c r="C275" s="588" t="s">
        <v>204</v>
      </c>
      <c r="D275" s="616">
        <v>2012</v>
      </c>
      <c r="E275" s="114">
        <v>0</v>
      </c>
      <c r="F275" s="114">
        <v>0</v>
      </c>
      <c r="G275" s="7">
        <f t="shared" si="34"/>
        <v>0</v>
      </c>
      <c r="H275" s="7">
        <f t="shared" si="36"/>
        <v>0</v>
      </c>
    </row>
    <row r="276" spans="1:8" x14ac:dyDescent="0.2">
      <c r="A276" s="609">
        <f t="shared" si="35"/>
        <v>162</v>
      </c>
      <c r="C276" s="586" t="s">
        <v>205</v>
      </c>
      <c r="D276" s="616">
        <v>2012</v>
      </c>
      <c r="E276" s="114">
        <v>0</v>
      </c>
      <c r="F276" s="114">
        <v>0</v>
      </c>
      <c r="G276" s="7">
        <f t="shared" si="34"/>
        <v>0</v>
      </c>
      <c r="H276" s="7">
        <f t="shared" si="36"/>
        <v>0</v>
      </c>
    </row>
    <row r="277" spans="1:8" x14ac:dyDescent="0.2">
      <c r="A277" s="609">
        <f t="shared" si="35"/>
        <v>163</v>
      </c>
      <c r="C277" s="586" t="s">
        <v>206</v>
      </c>
      <c r="D277" s="616">
        <v>2012</v>
      </c>
      <c r="E277" s="114">
        <v>0</v>
      </c>
      <c r="F277" s="114">
        <v>0</v>
      </c>
      <c r="G277" s="7">
        <f t="shared" si="34"/>
        <v>0</v>
      </c>
      <c r="H277" s="7">
        <f t="shared" si="36"/>
        <v>0</v>
      </c>
    </row>
    <row r="278" spans="1:8" x14ac:dyDescent="0.2">
      <c r="A278" s="609">
        <f t="shared" si="35"/>
        <v>164</v>
      </c>
      <c r="C278" s="588" t="s">
        <v>207</v>
      </c>
      <c r="D278" s="616">
        <v>2012</v>
      </c>
      <c r="E278" s="114">
        <v>0</v>
      </c>
      <c r="F278" s="114">
        <v>0</v>
      </c>
      <c r="G278" s="7">
        <f t="shared" si="34"/>
        <v>0</v>
      </c>
      <c r="H278" s="7">
        <f t="shared" si="36"/>
        <v>0</v>
      </c>
    </row>
    <row r="279" spans="1:8" x14ac:dyDescent="0.2">
      <c r="A279" s="609">
        <f t="shared" si="35"/>
        <v>165</v>
      </c>
      <c r="C279" s="586" t="s">
        <v>208</v>
      </c>
      <c r="D279" s="616">
        <v>2012</v>
      </c>
      <c r="E279" s="114">
        <v>0</v>
      </c>
      <c r="F279" s="114">
        <v>0</v>
      </c>
      <c r="G279" s="7">
        <f t="shared" si="34"/>
        <v>0</v>
      </c>
      <c r="H279" s="7">
        <f t="shared" si="36"/>
        <v>0</v>
      </c>
    </row>
    <row r="280" spans="1:8" x14ac:dyDescent="0.2">
      <c r="A280" s="609">
        <f t="shared" si="35"/>
        <v>166</v>
      </c>
      <c r="C280" s="586" t="s">
        <v>209</v>
      </c>
      <c r="D280" s="616">
        <v>2012</v>
      </c>
      <c r="E280" s="114">
        <v>0</v>
      </c>
      <c r="F280" s="114">
        <v>0</v>
      </c>
      <c r="G280" s="7">
        <f t="shared" si="34"/>
        <v>0</v>
      </c>
      <c r="H280" s="7">
        <f t="shared" si="36"/>
        <v>0</v>
      </c>
    </row>
    <row r="281" spans="1:8" x14ac:dyDescent="0.2">
      <c r="A281" s="609">
        <f t="shared" si="35"/>
        <v>167</v>
      </c>
      <c r="C281" s="588" t="s">
        <v>210</v>
      </c>
      <c r="D281" s="616">
        <v>2012</v>
      </c>
      <c r="E281" s="114">
        <v>0</v>
      </c>
      <c r="F281" s="114">
        <v>0</v>
      </c>
      <c r="G281" s="7">
        <f t="shared" si="34"/>
        <v>0</v>
      </c>
      <c r="H281" s="7">
        <f t="shared" si="36"/>
        <v>0</v>
      </c>
    </row>
    <row r="282" spans="1:8" x14ac:dyDescent="0.2">
      <c r="A282" s="609">
        <f t="shared" si="35"/>
        <v>168</v>
      </c>
      <c r="C282" s="588" t="s">
        <v>211</v>
      </c>
      <c r="D282" s="616">
        <v>2012</v>
      </c>
      <c r="E282" s="114">
        <v>0</v>
      </c>
      <c r="F282" s="114">
        <v>0</v>
      </c>
      <c r="G282" s="7">
        <f t="shared" si="34"/>
        <v>0</v>
      </c>
      <c r="H282" s="7">
        <f t="shared" si="36"/>
        <v>0</v>
      </c>
    </row>
    <row r="283" spans="1:8" x14ac:dyDescent="0.2">
      <c r="A283" s="609">
        <f t="shared" si="35"/>
        <v>169</v>
      </c>
      <c r="C283" s="588" t="s">
        <v>201</v>
      </c>
      <c r="D283" s="616">
        <v>2012</v>
      </c>
      <c r="E283" s="114">
        <v>0</v>
      </c>
      <c r="F283" s="114">
        <v>0</v>
      </c>
      <c r="G283" s="7">
        <f t="shared" si="34"/>
        <v>0</v>
      </c>
      <c r="H283" s="7">
        <f t="shared" si="36"/>
        <v>0</v>
      </c>
    </row>
    <row r="285" spans="1:8" x14ac:dyDescent="0.2">
      <c r="C285" s="205" t="s">
        <v>1798</v>
      </c>
      <c r="E285" s="90" t="s">
        <v>396</v>
      </c>
      <c r="F285" s="90" t="s">
        <v>380</v>
      </c>
      <c r="G285" s="90" t="s">
        <v>381</v>
      </c>
      <c r="H285" s="90" t="s">
        <v>382</v>
      </c>
    </row>
    <row r="286" spans="1:8" x14ac:dyDescent="0.2">
      <c r="G286" s="557" t="s">
        <v>1925</v>
      </c>
      <c r="H286" s="557" t="s">
        <v>1926</v>
      </c>
    </row>
    <row r="287" spans="1:8" x14ac:dyDescent="0.2">
      <c r="C287" s="609" t="s">
        <v>593</v>
      </c>
      <c r="H287" s="549" t="s">
        <v>1927</v>
      </c>
    </row>
    <row r="288" spans="1:8" x14ac:dyDescent="0.2">
      <c r="C288" s="609" t="s">
        <v>214</v>
      </c>
      <c r="E288" s="609" t="s">
        <v>416</v>
      </c>
      <c r="F288" s="609" t="s">
        <v>1790</v>
      </c>
      <c r="G288" s="609" t="s">
        <v>1095</v>
      </c>
      <c r="H288" s="609" t="s">
        <v>1259</v>
      </c>
    </row>
    <row r="289" spans="1:8" x14ac:dyDescent="0.2">
      <c r="C289" s="25" t="s">
        <v>213</v>
      </c>
      <c r="D289" s="25" t="s">
        <v>214</v>
      </c>
      <c r="E289" s="3" t="s">
        <v>1791</v>
      </c>
      <c r="F289" s="3" t="s">
        <v>1208</v>
      </c>
      <c r="G289" s="3" t="s">
        <v>4</v>
      </c>
      <c r="H289" s="3" t="s">
        <v>1786</v>
      </c>
    </row>
    <row r="290" spans="1:8" x14ac:dyDescent="0.2">
      <c r="A290" s="609">
        <f>A283+1</f>
        <v>170</v>
      </c>
      <c r="C290" s="588" t="s">
        <v>201</v>
      </c>
      <c r="D290" s="614">
        <v>2011</v>
      </c>
      <c r="E290" s="114">
        <v>0</v>
      </c>
      <c r="F290" s="114">
        <v>0</v>
      </c>
      <c r="G290" s="7">
        <f t="shared" ref="G290:G302" si="37">E290-F290</f>
        <v>0</v>
      </c>
      <c r="H290" s="7">
        <f>E290-E290</f>
        <v>0</v>
      </c>
    </row>
    <row r="291" spans="1:8" x14ac:dyDescent="0.2">
      <c r="A291" s="609">
        <f>A290+1</f>
        <v>171</v>
      </c>
      <c r="C291" s="588" t="s">
        <v>202</v>
      </c>
      <c r="D291" s="616">
        <v>2012</v>
      </c>
      <c r="E291" s="114">
        <v>0</v>
      </c>
      <c r="F291" s="114">
        <v>0</v>
      </c>
      <c r="G291" s="7">
        <f t="shared" si="37"/>
        <v>0</v>
      </c>
      <c r="H291" s="7">
        <f>E291-E290</f>
        <v>0</v>
      </c>
    </row>
    <row r="292" spans="1:8" x14ac:dyDescent="0.2">
      <c r="A292" s="609">
        <f t="shared" ref="A292:A302" si="38">A291+1</f>
        <v>172</v>
      </c>
      <c r="C292" s="586" t="s">
        <v>203</v>
      </c>
      <c r="D292" s="616">
        <v>2012</v>
      </c>
      <c r="E292" s="114">
        <v>0</v>
      </c>
      <c r="F292" s="114">
        <v>0</v>
      </c>
      <c r="G292" s="7">
        <f t="shared" si="37"/>
        <v>0</v>
      </c>
      <c r="H292" s="7">
        <f t="shared" ref="H292:H302" si="39">E292-E291</f>
        <v>0</v>
      </c>
    </row>
    <row r="293" spans="1:8" x14ac:dyDescent="0.2">
      <c r="A293" s="609">
        <f t="shared" si="38"/>
        <v>173</v>
      </c>
      <c r="C293" s="586" t="s">
        <v>216</v>
      </c>
      <c r="D293" s="616">
        <v>2012</v>
      </c>
      <c r="E293" s="114">
        <v>0</v>
      </c>
      <c r="F293" s="114">
        <v>0</v>
      </c>
      <c r="G293" s="7">
        <f t="shared" si="37"/>
        <v>0</v>
      </c>
      <c r="H293" s="7">
        <f t="shared" si="39"/>
        <v>0</v>
      </c>
    </row>
    <row r="294" spans="1:8" x14ac:dyDescent="0.2">
      <c r="A294" s="609">
        <f t="shared" si="38"/>
        <v>174</v>
      </c>
      <c r="C294" s="588" t="s">
        <v>204</v>
      </c>
      <c r="D294" s="616">
        <v>2012</v>
      </c>
      <c r="E294" s="114">
        <v>0</v>
      </c>
      <c r="F294" s="114">
        <v>0</v>
      </c>
      <c r="G294" s="7">
        <f t="shared" si="37"/>
        <v>0</v>
      </c>
      <c r="H294" s="7">
        <f t="shared" si="39"/>
        <v>0</v>
      </c>
    </row>
    <row r="295" spans="1:8" x14ac:dyDescent="0.2">
      <c r="A295" s="609">
        <f t="shared" si="38"/>
        <v>175</v>
      </c>
      <c r="C295" s="586" t="s">
        <v>205</v>
      </c>
      <c r="D295" s="616">
        <v>2012</v>
      </c>
      <c r="E295" s="114">
        <v>0</v>
      </c>
      <c r="F295" s="114">
        <v>0</v>
      </c>
      <c r="G295" s="7">
        <f t="shared" si="37"/>
        <v>0</v>
      </c>
      <c r="H295" s="7">
        <f t="shared" si="39"/>
        <v>0</v>
      </c>
    </row>
    <row r="296" spans="1:8" x14ac:dyDescent="0.2">
      <c r="A296" s="609">
        <f t="shared" si="38"/>
        <v>176</v>
      </c>
      <c r="C296" s="586" t="s">
        <v>206</v>
      </c>
      <c r="D296" s="616">
        <v>2012</v>
      </c>
      <c r="E296" s="114">
        <v>0</v>
      </c>
      <c r="F296" s="114">
        <v>0</v>
      </c>
      <c r="G296" s="7">
        <f t="shared" si="37"/>
        <v>0</v>
      </c>
      <c r="H296" s="7">
        <f t="shared" si="39"/>
        <v>0</v>
      </c>
    </row>
    <row r="297" spans="1:8" x14ac:dyDescent="0.2">
      <c r="A297" s="609">
        <f t="shared" si="38"/>
        <v>177</v>
      </c>
      <c r="C297" s="588" t="s">
        <v>207</v>
      </c>
      <c r="D297" s="616">
        <v>2012</v>
      </c>
      <c r="E297" s="114">
        <v>0</v>
      </c>
      <c r="F297" s="114">
        <v>0</v>
      </c>
      <c r="G297" s="7">
        <f t="shared" si="37"/>
        <v>0</v>
      </c>
      <c r="H297" s="7">
        <f t="shared" si="39"/>
        <v>0</v>
      </c>
    </row>
    <row r="298" spans="1:8" x14ac:dyDescent="0.2">
      <c r="A298" s="609">
        <f t="shared" si="38"/>
        <v>178</v>
      </c>
      <c r="C298" s="586" t="s">
        <v>208</v>
      </c>
      <c r="D298" s="616">
        <v>2012</v>
      </c>
      <c r="E298" s="114">
        <v>0</v>
      </c>
      <c r="F298" s="114">
        <v>0</v>
      </c>
      <c r="G298" s="7">
        <f t="shared" si="37"/>
        <v>0</v>
      </c>
      <c r="H298" s="7">
        <f t="shared" si="39"/>
        <v>0</v>
      </c>
    </row>
    <row r="299" spans="1:8" x14ac:dyDescent="0.2">
      <c r="A299" s="609">
        <f t="shared" si="38"/>
        <v>179</v>
      </c>
      <c r="C299" s="586" t="s">
        <v>209</v>
      </c>
      <c r="D299" s="616">
        <v>2012</v>
      </c>
      <c r="E299" s="114">
        <v>0</v>
      </c>
      <c r="F299" s="114">
        <v>0</v>
      </c>
      <c r="G299" s="7">
        <f t="shared" si="37"/>
        <v>0</v>
      </c>
      <c r="H299" s="7">
        <f t="shared" si="39"/>
        <v>0</v>
      </c>
    </row>
    <row r="300" spans="1:8" x14ac:dyDescent="0.2">
      <c r="A300" s="609">
        <f t="shared" si="38"/>
        <v>180</v>
      </c>
      <c r="C300" s="588" t="s">
        <v>210</v>
      </c>
      <c r="D300" s="616">
        <v>2012</v>
      </c>
      <c r="E300" s="114">
        <v>0</v>
      </c>
      <c r="F300" s="114">
        <v>0</v>
      </c>
      <c r="G300" s="7">
        <f t="shared" si="37"/>
        <v>0</v>
      </c>
      <c r="H300" s="7">
        <f t="shared" si="39"/>
        <v>0</v>
      </c>
    </row>
    <row r="301" spans="1:8" x14ac:dyDescent="0.2">
      <c r="A301" s="609">
        <f t="shared" si="38"/>
        <v>181</v>
      </c>
      <c r="C301" s="588" t="s">
        <v>211</v>
      </c>
      <c r="D301" s="616">
        <v>2012</v>
      </c>
      <c r="E301" s="114">
        <v>0</v>
      </c>
      <c r="F301" s="114">
        <v>0</v>
      </c>
      <c r="G301" s="7">
        <f t="shared" si="37"/>
        <v>0</v>
      </c>
      <c r="H301" s="7">
        <f t="shared" si="39"/>
        <v>0</v>
      </c>
    </row>
    <row r="302" spans="1:8" x14ac:dyDescent="0.2">
      <c r="A302" s="609">
        <f t="shared" si="38"/>
        <v>182</v>
      </c>
      <c r="C302" s="588" t="s">
        <v>201</v>
      </c>
      <c r="D302" s="616">
        <v>2012</v>
      </c>
      <c r="E302" s="114">
        <v>0</v>
      </c>
      <c r="F302" s="114">
        <v>0</v>
      </c>
      <c r="G302" s="7">
        <f t="shared" si="37"/>
        <v>0</v>
      </c>
      <c r="H302" s="7">
        <f t="shared" si="39"/>
        <v>0</v>
      </c>
    </row>
    <row r="304" spans="1:8" x14ac:dyDescent="0.2">
      <c r="B304" s="1"/>
      <c r="C304" s="1" t="s">
        <v>1799</v>
      </c>
      <c r="D304" s="546"/>
      <c r="E304" s="7"/>
    </row>
    <row r="305" spans="1:10" x14ac:dyDescent="0.2">
      <c r="B305" s="1"/>
    </row>
    <row r="306" spans="1:10" x14ac:dyDescent="0.2">
      <c r="C306" s="440" t="s">
        <v>1230</v>
      </c>
      <c r="D306" s="102"/>
      <c r="E306" s="102"/>
      <c r="F306" s="102"/>
      <c r="G306" s="204" t="s">
        <v>1232</v>
      </c>
      <c r="H306" s="102"/>
      <c r="I306" s="102"/>
      <c r="J306" s="102"/>
    </row>
    <row r="307" spans="1:10" x14ac:dyDescent="0.2">
      <c r="A307" s="609">
        <f>A302+1</f>
        <v>183</v>
      </c>
      <c r="C307" s="617" t="s">
        <v>247</v>
      </c>
      <c r="D307" s="102"/>
      <c r="E307" s="441"/>
      <c r="F307" s="432" t="s">
        <v>248</v>
      </c>
      <c r="G307" s="558" t="s">
        <v>1357</v>
      </c>
      <c r="H307" s="102"/>
      <c r="I307" s="102"/>
      <c r="J307" s="102"/>
    </row>
    <row r="308" spans="1:10" x14ac:dyDescent="0.2">
      <c r="A308" s="609">
        <f>A307+1</f>
        <v>184</v>
      </c>
      <c r="C308" s="431" t="s">
        <v>249</v>
      </c>
      <c r="D308" s="102"/>
      <c r="E308" s="442"/>
      <c r="F308" s="433">
        <v>7.4999999999999997E-3</v>
      </c>
      <c r="G308" s="558" t="s">
        <v>1358</v>
      </c>
      <c r="H308" s="102"/>
      <c r="I308" s="102"/>
      <c r="J308" s="102"/>
    </row>
    <row r="309" spans="1:10" x14ac:dyDescent="0.2">
      <c r="A309" s="609">
        <f>A308+1</f>
        <v>185</v>
      </c>
      <c r="C309" s="431" t="s">
        <v>1229</v>
      </c>
      <c r="D309" s="102"/>
      <c r="E309" s="441"/>
      <c r="F309" s="432" t="s">
        <v>250</v>
      </c>
      <c r="G309" s="160" t="s">
        <v>0</v>
      </c>
      <c r="H309" s="102"/>
      <c r="I309" s="102"/>
      <c r="J309" s="102"/>
    </row>
    <row r="310" spans="1:10" x14ac:dyDescent="0.2">
      <c r="C310" s="102"/>
      <c r="D310" s="102"/>
      <c r="E310" s="441"/>
      <c r="F310" s="434"/>
      <c r="G310" s="102"/>
      <c r="H310" s="102"/>
      <c r="I310" s="102"/>
      <c r="J310" s="102"/>
    </row>
    <row r="311" spans="1:10" x14ac:dyDescent="0.2">
      <c r="C311" s="440" t="s">
        <v>1231</v>
      </c>
      <c r="D311" s="102"/>
      <c r="E311" s="102"/>
      <c r="F311" s="434"/>
      <c r="G311" s="204" t="s">
        <v>1232</v>
      </c>
      <c r="H311" s="102"/>
      <c r="I311" s="102"/>
      <c r="J311" s="102"/>
    </row>
    <row r="312" spans="1:10" x14ac:dyDescent="0.2">
      <c r="A312" s="609">
        <f>A309+1</f>
        <v>186</v>
      </c>
      <c r="C312" s="617" t="s">
        <v>247</v>
      </c>
      <c r="D312" s="102"/>
      <c r="E312" s="441"/>
      <c r="F312" s="432" t="s">
        <v>248</v>
      </c>
      <c r="G312" s="558" t="s">
        <v>1357</v>
      </c>
      <c r="H312" s="102"/>
      <c r="I312" s="102"/>
      <c r="J312" s="102"/>
    </row>
    <row r="313" spans="1:10" x14ac:dyDescent="0.2">
      <c r="A313" s="609">
        <f>A312+1</f>
        <v>187</v>
      </c>
      <c r="C313" s="431" t="s">
        <v>249</v>
      </c>
      <c r="D313" s="102"/>
      <c r="E313" s="442"/>
      <c r="F313" s="433">
        <v>1.2500000000000001E-2</v>
      </c>
      <c r="G313" s="558" t="s">
        <v>1358</v>
      </c>
      <c r="H313" s="102"/>
      <c r="I313" s="102"/>
      <c r="J313" s="102"/>
    </row>
    <row r="314" spans="1:10" x14ac:dyDescent="0.2">
      <c r="A314" s="609">
        <f>A313+1</f>
        <v>188</v>
      </c>
      <c r="C314" s="431" t="s">
        <v>1229</v>
      </c>
      <c r="D314" s="102"/>
      <c r="E314" s="441"/>
      <c r="F314" s="432" t="s">
        <v>248</v>
      </c>
      <c r="G314" s="558" t="s">
        <v>1359</v>
      </c>
      <c r="H314" s="102"/>
      <c r="I314" s="102"/>
      <c r="J314" s="102"/>
    </row>
    <row r="315" spans="1:10" x14ac:dyDescent="0.2">
      <c r="C315" s="431"/>
      <c r="D315" s="102"/>
      <c r="E315" s="441"/>
      <c r="F315" s="432"/>
      <c r="G315" s="102"/>
      <c r="H315" s="102"/>
      <c r="I315" s="102"/>
      <c r="J315" s="102"/>
    </row>
    <row r="316" spans="1:10" x14ac:dyDescent="0.2">
      <c r="C316" s="440" t="s">
        <v>1233</v>
      </c>
      <c r="D316" s="102"/>
      <c r="E316" s="558"/>
      <c r="F316" s="618"/>
      <c r="G316" s="204" t="s">
        <v>1232</v>
      </c>
      <c r="H316" s="102"/>
      <c r="I316" s="102"/>
      <c r="J316" s="102"/>
    </row>
    <row r="317" spans="1:10" x14ac:dyDescent="0.2">
      <c r="A317" s="609">
        <f>A314+1</f>
        <v>189</v>
      </c>
      <c r="C317" s="617" t="s">
        <v>247</v>
      </c>
      <c r="D317" s="102"/>
      <c r="E317" s="441"/>
      <c r="F317" s="432" t="s">
        <v>248</v>
      </c>
      <c r="G317" s="558" t="s">
        <v>1357</v>
      </c>
      <c r="H317" s="102"/>
      <c r="I317" s="102"/>
      <c r="J317" s="102"/>
    </row>
    <row r="318" spans="1:10" x14ac:dyDescent="0.2">
      <c r="A318" s="609">
        <f>A317+1</f>
        <v>190</v>
      </c>
      <c r="C318" s="431" t="s">
        <v>249</v>
      </c>
      <c r="D318" s="102"/>
      <c r="E318" s="442"/>
      <c r="F318" s="433">
        <v>0.01</v>
      </c>
      <c r="G318" s="558" t="s">
        <v>1334</v>
      </c>
      <c r="H318" s="102"/>
      <c r="I318" s="102"/>
      <c r="J318" s="102"/>
    </row>
    <row r="319" spans="1:10" x14ac:dyDescent="0.2">
      <c r="A319" s="609">
        <f>A318+1</f>
        <v>191</v>
      </c>
      <c r="C319" s="431"/>
      <c r="D319" s="102"/>
      <c r="E319" s="442"/>
      <c r="F319" s="433"/>
      <c r="G319" s="558" t="s">
        <v>1335</v>
      </c>
      <c r="H319" s="102"/>
      <c r="I319" s="102"/>
      <c r="J319" s="102"/>
    </row>
    <row r="320" spans="1:10" x14ac:dyDescent="0.2">
      <c r="A320" s="609">
        <f>A319+1</f>
        <v>192</v>
      </c>
      <c r="C320" s="431" t="s">
        <v>1229</v>
      </c>
      <c r="D320" s="102"/>
      <c r="E320" s="441"/>
      <c r="F320" s="432" t="s">
        <v>248</v>
      </c>
      <c r="G320" s="558" t="s">
        <v>1359</v>
      </c>
      <c r="H320" s="102"/>
      <c r="I320" s="102"/>
      <c r="J320" s="102"/>
    </row>
    <row r="321" spans="1:10" x14ac:dyDescent="0.2">
      <c r="C321" s="431"/>
      <c r="D321" s="102"/>
      <c r="E321" s="441"/>
      <c r="F321" s="432"/>
      <c r="G321" s="102"/>
      <c r="H321" s="102"/>
      <c r="I321" s="102"/>
      <c r="J321" s="102"/>
    </row>
    <row r="322" spans="1:10" x14ac:dyDescent="0.2">
      <c r="C322" s="440" t="s">
        <v>1234</v>
      </c>
      <c r="D322" s="102"/>
      <c r="E322" s="558"/>
      <c r="F322" s="618"/>
      <c r="G322" s="204" t="s">
        <v>1232</v>
      </c>
      <c r="H322" s="102"/>
      <c r="I322" s="102"/>
      <c r="J322" s="102"/>
    </row>
    <row r="323" spans="1:10" x14ac:dyDescent="0.2">
      <c r="A323" s="609">
        <f>A320+1</f>
        <v>193</v>
      </c>
      <c r="C323" s="617" t="s">
        <v>247</v>
      </c>
      <c r="D323" s="102"/>
      <c r="E323" s="441"/>
      <c r="F323" s="432" t="s">
        <v>250</v>
      </c>
      <c r="G323" s="558" t="s">
        <v>1360</v>
      </c>
      <c r="H323" s="102"/>
      <c r="I323" s="102"/>
      <c r="J323" s="102"/>
    </row>
    <row r="324" spans="1:10" x14ac:dyDescent="0.2">
      <c r="A324" s="609">
        <f>A323+1</f>
        <v>194</v>
      </c>
      <c r="C324" s="617"/>
      <c r="D324" s="102"/>
      <c r="E324" s="441"/>
      <c r="F324" s="432"/>
      <c r="G324" s="102" t="s">
        <v>1336</v>
      </c>
      <c r="H324" s="102"/>
      <c r="I324" s="102"/>
      <c r="J324" s="102"/>
    </row>
    <row r="325" spans="1:10" x14ac:dyDescent="0.2">
      <c r="A325" s="609">
        <f>A324+1</f>
        <v>195</v>
      </c>
      <c r="C325" s="431" t="s">
        <v>249</v>
      </c>
      <c r="D325" s="102"/>
      <c r="E325" s="442"/>
      <c r="F325" s="433">
        <v>0</v>
      </c>
      <c r="G325" s="558" t="s">
        <v>1361</v>
      </c>
      <c r="H325" s="102"/>
      <c r="I325" s="102"/>
      <c r="J325" s="102"/>
    </row>
    <row r="326" spans="1:10" x14ac:dyDescent="0.2">
      <c r="A326" s="609">
        <f>A325+1</f>
        <v>196</v>
      </c>
      <c r="C326" s="431"/>
      <c r="D326" s="102"/>
      <c r="E326" s="442"/>
      <c r="F326" s="433"/>
      <c r="G326" s="558" t="s">
        <v>1337</v>
      </c>
      <c r="H326" s="102"/>
      <c r="I326" s="102"/>
      <c r="J326" s="102"/>
    </row>
    <row r="327" spans="1:10" x14ac:dyDescent="0.2">
      <c r="A327" s="609">
        <f>A326+1</f>
        <v>197</v>
      </c>
      <c r="C327" s="431" t="s">
        <v>1229</v>
      </c>
      <c r="D327" s="102"/>
      <c r="E327" s="441"/>
      <c r="F327" s="432" t="s">
        <v>248</v>
      </c>
      <c r="G327" s="558" t="s">
        <v>1359</v>
      </c>
      <c r="H327" s="102"/>
      <c r="I327" s="102"/>
      <c r="J327" s="102"/>
    </row>
    <row r="328" spans="1:10" x14ac:dyDescent="0.2">
      <c r="C328" s="431"/>
      <c r="D328" s="102"/>
      <c r="E328" s="441"/>
      <c r="F328" s="432"/>
      <c r="G328" s="102"/>
      <c r="H328" s="102"/>
      <c r="I328" s="102"/>
      <c r="J328" s="102"/>
    </row>
    <row r="329" spans="1:10" x14ac:dyDescent="0.2">
      <c r="C329" s="440" t="s">
        <v>1235</v>
      </c>
      <c r="D329" s="102"/>
      <c r="E329" s="102"/>
      <c r="F329" s="432"/>
      <c r="G329" s="204" t="s">
        <v>1232</v>
      </c>
      <c r="H329" s="102"/>
      <c r="I329" s="102"/>
      <c r="J329" s="102"/>
    </row>
    <row r="330" spans="1:10" x14ac:dyDescent="0.2">
      <c r="A330" s="609">
        <f>A327+1</f>
        <v>198</v>
      </c>
      <c r="C330" s="617" t="s">
        <v>247</v>
      </c>
      <c r="D330" s="102"/>
      <c r="E330" s="441"/>
      <c r="F330" s="432" t="s">
        <v>248</v>
      </c>
      <c r="G330" s="558" t="s">
        <v>1362</v>
      </c>
      <c r="H330" s="102"/>
      <c r="I330" s="102"/>
      <c r="J330" s="102"/>
    </row>
    <row r="331" spans="1:10" x14ac:dyDescent="0.2">
      <c r="A331" s="609">
        <f>A330+1</f>
        <v>199</v>
      </c>
      <c r="C331" s="431" t="s">
        <v>249</v>
      </c>
      <c r="D331" s="102"/>
      <c r="E331" s="442"/>
      <c r="F331" s="433">
        <v>0</v>
      </c>
      <c r="G331" s="558" t="s">
        <v>1363</v>
      </c>
      <c r="H331" s="102"/>
      <c r="I331" s="102"/>
      <c r="J331" s="102"/>
    </row>
    <row r="332" spans="1:10" x14ac:dyDescent="0.2">
      <c r="A332" s="609">
        <f>A331+1</f>
        <v>200</v>
      </c>
      <c r="C332" s="431" t="s">
        <v>1229</v>
      </c>
      <c r="D332" s="102"/>
      <c r="E332" s="441"/>
      <c r="F332" s="432" t="s">
        <v>248</v>
      </c>
      <c r="G332" s="558" t="s">
        <v>1364</v>
      </c>
      <c r="H332" s="102"/>
      <c r="I332" s="102"/>
      <c r="J332" s="102"/>
    </row>
    <row r="333" spans="1:10" x14ac:dyDescent="0.2">
      <c r="C333" s="431"/>
      <c r="D333" s="102"/>
      <c r="E333" s="441"/>
      <c r="F333" s="432"/>
      <c r="G333" s="617"/>
      <c r="H333" s="102"/>
      <c r="I333" s="102"/>
      <c r="J333" s="102"/>
    </row>
    <row r="334" spans="1:10" x14ac:dyDescent="0.2">
      <c r="C334" s="440" t="s">
        <v>1236</v>
      </c>
      <c r="D334" s="102"/>
      <c r="E334" s="558"/>
      <c r="F334" s="618"/>
      <c r="G334" s="204" t="s">
        <v>1232</v>
      </c>
      <c r="H334" s="102"/>
      <c r="I334" s="102"/>
      <c r="J334" s="102"/>
    </row>
    <row r="335" spans="1:10" x14ac:dyDescent="0.2">
      <c r="A335" s="609">
        <f>A332+1</f>
        <v>201</v>
      </c>
      <c r="C335" s="617" t="s">
        <v>247</v>
      </c>
      <c r="D335" s="102"/>
      <c r="E335" s="441"/>
      <c r="F335" s="432" t="s">
        <v>248</v>
      </c>
      <c r="G335" s="558" t="s">
        <v>1365</v>
      </c>
      <c r="H335" s="102"/>
      <c r="I335" s="558"/>
      <c r="J335" s="558"/>
    </row>
    <row r="336" spans="1:10" x14ac:dyDescent="0.2">
      <c r="A336" s="609">
        <f>A335+1</f>
        <v>202</v>
      </c>
      <c r="C336" s="431" t="s">
        <v>249</v>
      </c>
      <c r="D336" s="102"/>
      <c r="E336" s="442"/>
      <c r="F336" s="433">
        <v>0</v>
      </c>
      <c r="G336" s="558" t="s">
        <v>1366</v>
      </c>
      <c r="H336" s="102"/>
      <c r="I336" s="558"/>
      <c r="J336" s="558"/>
    </row>
    <row r="337" spans="1:10" x14ac:dyDescent="0.2">
      <c r="A337" s="609">
        <f>A336+1</f>
        <v>203</v>
      </c>
      <c r="C337" s="431" t="s">
        <v>1229</v>
      </c>
      <c r="D337" s="102"/>
      <c r="E337" s="441"/>
      <c r="F337" s="432" t="s">
        <v>248</v>
      </c>
      <c r="G337" s="558" t="s">
        <v>1367</v>
      </c>
      <c r="H337" s="102"/>
      <c r="I337" s="558"/>
      <c r="J337" s="558"/>
    </row>
    <row r="338" spans="1:10" x14ac:dyDescent="0.2">
      <c r="C338" s="431"/>
      <c r="D338" s="102"/>
      <c r="E338" s="442"/>
      <c r="F338" s="433"/>
      <c r="G338" s="558"/>
      <c r="H338" s="102"/>
      <c r="I338" s="558"/>
      <c r="J338" s="558"/>
    </row>
    <row r="339" spans="1:10" x14ac:dyDescent="0.2">
      <c r="C339" s="440" t="s">
        <v>1237</v>
      </c>
      <c r="D339" s="102"/>
      <c r="E339" s="558"/>
      <c r="F339" s="618"/>
      <c r="G339" s="204" t="s">
        <v>1232</v>
      </c>
      <c r="H339" s="102"/>
      <c r="I339" s="558"/>
      <c r="J339" s="558"/>
    </row>
    <row r="340" spans="1:10" x14ac:dyDescent="0.2">
      <c r="A340" s="609">
        <f>A337+1</f>
        <v>204</v>
      </c>
      <c r="C340" s="617" t="s">
        <v>247</v>
      </c>
      <c r="D340" s="102"/>
      <c r="E340" s="441"/>
      <c r="F340" s="432" t="s">
        <v>248</v>
      </c>
      <c r="G340" s="558" t="s">
        <v>1365</v>
      </c>
      <c r="H340" s="102"/>
      <c r="I340" s="558"/>
      <c r="J340" s="558"/>
    </row>
    <row r="341" spans="1:10" x14ac:dyDescent="0.2">
      <c r="A341" s="609">
        <f>A340+1</f>
        <v>205</v>
      </c>
      <c r="C341" s="431" t="s">
        <v>249</v>
      </c>
      <c r="D341" s="102"/>
      <c r="E341" s="442"/>
      <c r="F341" s="433">
        <v>0</v>
      </c>
      <c r="G341" s="558" t="s">
        <v>1366</v>
      </c>
      <c r="H341" s="102"/>
      <c r="I341" s="558"/>
      <c r="J341" s="558"/>
    </row>
    <row r="342" spans="1:10" x14ac:dyDescent="0.2">
      <c r="A342" s="609">
        <f>A341+1</f>
        <v>206</v>
      </c>
      <c r="C342" s="431" t="s">
        <v>1229</v>
      </c>
      <c r="D342" s="102"/>
      <c r="E342" s="441"/>
      <c r="F342" s="432" t="s">
        <v>248</v>
      </c>
      <c r="G342" s="558" t="s">
        <v>1367</v>
      </c>
      <c r="H342" s="102"/>
      <c r="I342" s="558"/>
      <c r="J342" s="558"/>
    </row>
    <row r="343" spans="1:10" x14ac:dyDescent="0.2">
      <c r="C343" s="102"/>
      <c r="D343" s="102"/>
      <c r="E343" s="102"/>
      <c r="F343" s="432"/>
      <c r="G343" s="102"/>
      <c r="H343" s="102"/>
      <c r="I343" s="102"/>
      <c r="J343" s="102"/>
    </row>
    <row r="344" spans="1:10" x14ac:dyDescent="0.2">
      <c r="C344" s="440" t="s">
        <v>1238</v>
      </c>
      <c r="D344" s="102"/>
      <c r="E344" s="558"/>
      <c r="F344" s="618"/>
      <c r="G344" s="204" t="s">
        <v>1232</v>
      </c>
      <c r="H344" s="102"/>
      <c r="I344" s="102"/>
      <c r="J344" s="102"/>
    </row>
    <row r="345" spans="1:10" x14ac:dyDescent="0.2">
      <c r="A345" s="609">
        <f>A342+1</f>
        <v>207</v>
      </c>
      <c r="C345" s="617" t="s">
        <v>247</v>
      </c>
      <c r="D345" s="102"/>
      <c r="E345" s="441"/>
      <c r="F345" s="432" t="s">
        <v>248</v>
      </c>
      <c r="G345" s="619" t="s">
        <v>1368</v>
      </c>
      <c r="H345" s="102"/>
      <c r="I345" s="102"/>
      <c r="J345" s="102"/>
    </row>
    <row r="346" spans="1:10" x14ac:dyDescent="0.2">
      <c r="A346" s="609">
        <f>A345+1</f>
        <v>208</v>
      </c>
      <c r="C346" s="431" t="s">
        <v>249</v>
      </c>
      <c r="D346" s="102"/>
      <c r="E346" s="442"/>
      <c r="F346" s="433">
        <v>0</v>
      </c>
      <c r="G346" s="620" t="s">
        <v>88</v>
      </c>
      <c r="H346" s="102"/>
      <c r="I346" s="102"/>
      <c r="J346" s="102"/>
    </row>
    <row r="347" spans="1:10" x14ac:dyDescent="0.2">
      <c r="A347" s="609">
        <f>A346+1</f>
        <v>209</v>
      </c>
      <c r="C347" s="431" t="s">
        <v>1229</v>
      </c>
      <c r="D347" s="102"/>
      <c r="E347" s="441"/>
      <c r="F347" s="432" t="s">
        <v>248</v>
      </c>
      <c r="G347" s="619" t="s">
        <v>1368</v>
      </c>
      <c r="H347" s="102"/>
      <c r="I347" s="102"/>
      <c r="J347" s="102"/>
    </row>
    <row r="348" spans="1:10" x14ac:dyDescent="0.2">
      <c r="C348" s="102"/>
      <c r="D348" s="102"/>
      <c r="E348" s="102"/>
      <c r="F348" s="432"/>
      <c r="G348" s="102"/>
      <c r="H348" s="102"/>
      <c r="I348" s="102"/>
      <c r="J348" s="102"/>
    </row>
    <row r="349" spans="1:10" x14ac:dyDescent="0.2">
      <c r="C349" s="440" t="s">
        <v>1239</v>
      </c>
      <c r="D349" s="102"/>
      <c r="E349" s="558"/>
      <c r="F349" s="618"/>
      <c r="G349" s="204" t="s">
        <v>1232</v>
      </c>
      <c r="H349" s="102"/>
      <c r="I349" s="102"/>
      <c r="J349" s="102"/>
    </row>
    <row r="350" spans="1:10" x14ac:dyDescent="0.2">
      <c r="A350" s="609">
        <f>A347+1</f>
        <v>210</v>
      </c>
      <c r="C350" s="617" t="s">
        <v>247</v>
      </c>
      <c r="D350" s="102"/>
      <c r="E350" s="441"/>
      <c r="F350" s="432" t="s">
        <v>248</v>
      </c>
      <c r="G350" s="619" t="s">
        <v>1368</v>
      </c>
      <c r="H350" s="102"/>
      <c r="I350" s="102"/>
      <c r="J350" s="102"/>
    </row>
    <row r="351" spans="1:10" x14ac:dyDescent="0.2">
      <c r="A351" s="609">
        <f>A350+1</f>
        <v>211</v>
      </c>
      <c r="C351" s="431" t="s">
        <v>249</v>
      </c>
      <c r="D351" s="102"/>
      <c r="E351" s="442"/>
      <c r="F351" s="433">
        <v>0</v>
      </c>
      <c r="G351" s="620" t="s">
        <v>88</v>
      </c>
      <c r="H351" s="102"/>
      <c r="I351" s="102"/>
      <c r="J351" s="102"/>
    </row>
    <row r="352" spans="1:10" x14ac:dyDescent="0.2">
      <c r="A352" s="609">
        <f>A351+1</f>
        <v>212</v>
      </c>
      <c r="C352" s="431" t="s">
        <v>1229</v>
      </c>
      <c r="D352" s="102"/>
      <c r="E352" s="441"/>
      <c r="F352" s="432" t="s">
        <v>248</v>
      </c>
      <c r="G352" s="619" t="s">
        <v>1368</v>
      </c>
      <c r="H352" s="102"/>
      <c r="I352" s="102"/>
      <c r="J352" s="102"/>
    </row>
    <row r="353" spans="1:10" x14ac:dyDescent="0.2">
      <c r="C353" s="102"/>
      <c r="D353" s="102"/>
      <c r="E353" s="102"/>
      <c r="F353" s="432"/>
      <c r="G353" s="102"/>
      <c r="H353" s="102"/>
      <c r="I353" s="102"/>
      <c r="J353" s="102"/>
    </row>
    <row r="354" spans="1:10" x14ac:dyDescent="0.2">
      <c r="C354" s="440" t="s">
        <v>1240</v>
      </c>
      <c r="D354" s="102"/>
      <c r="E354" s="558"/>
      <c r="F354" s="618"/>
      <c r="G354" s="204" t="s">
        <v>1232</v>
      </c>
      <c r="H354" s="102"/>
      <c r="I354" s="102"/>
      <c r="J354" s="102"/>
    </row>
    <row r="355" spans="1:10" x14ac:dyDescent="0.2">
      <c r="A355" s="609">
        <f>A352+1</f>
        <v>213</v>
      </c>
      <c r="C355" s="617" t="s">
        <v>247</v>
      </c>
      <c r="D355" s="102"/>
      <c r="E355" s="441"/>
      <c r="F355" s="432" t="s">
        <v>248</v>
      </c>
      <c r="G355" s="619" t="s">
        <v>1368</v>
      </c>
      <c r="H355" s="102"/>
      <c r="I355" s="102"/>
      <c r="J355" s="102"/>
    </row>
    <row r="356" spans="1:10" x14ac:dyDescent="0.2">
      <c r="A356" s="609">
        <f>A355+1</f>
        <v>214</v>
      </c>
      <c r="C356" s="431" t="s">
        <v>249</v>
      </c>
      <c r="D356" s="102"/>
      <c r="E356" s="442"/>
      <c r="F356" s="433">
        <v>0</v>
      </c>
      <c r="G356" s="620" t="s">
        <v>88</v>
      </c>
      <c r="H356" s="102"/>
      <c r="I356" s="102"/>
      <c r="J356" s="102"/>
    </row>
    <row r="357" spans="1:10" x14ac:dyDescent="0.2">
      <c r="A357" s="609">
        <f>A356+1</f>
        <v>215</v>
      </c>
      <c r="C357" s="431" t="s">
        <v>1229</v>
      </c>
      <c r="D357" s="102"/>
      <c r="E357" s="441"/>
      <c r="F357" s="432" t="s">
        <v>248</v>
      </c>
      <c r="G357" s="619" t="s">
        <v>1368</v>
      </c>
      <c r="H357" s="102"/>
      <c r="I357" s="102"/>
      <c r="J357" s="102"/>
    </row>
    <row r="358" spans="1:10" x14ac:dyDescent="0.2">
      <c r="C358" s="102"/>
      <c r="D358" s="102"/>
      <c r="E358" s="102"/>
      <c r="F358" s="432"/>
      <c r="G358" s="102"/>
      <c r="H358" s="102"/>
      <c r="I358" s="102"/>
      <c r="J358" s="102"/>
    </row>
    <row r="359" spans="1:10" x14ac:dyDescent="0.2">
      <c r="C359" s="440" t="s">
        <v>1241</v>
      </c>
      <c r="D359" s="102"/>
      <c r="E359" s="558"/>
      <c r="F359" s="618"/>
      <c r="G359" s="204" t="s">
        <v>1232</v>
      </c>
      <c r="H359" s="102"/>
      <c r="I359" s="102"/>
      <c r="J359" s="102"/>
    </row>
    <row r="360" spans="1:10" x14ac:dyDescent="0.2">
      <c r="A360" s="609">
        <f>A357+1</f>
        <v>216</v>
      </c>
      <c r="C360" s="617" t="s">
        <v>247</v>
      </c>
      <c r="D360" s="102"/>
      <c r="E360" s="441"/>
      <c r="F360" s="432" t="s">
        <v>248</v>
      </c>
      <c r="G360" s="619" t="s">
        <v>1368</v>
      </c>
      <c r="H360" s="102"/>
      <c r="I360" s="102"/>
      <c r="J360" s="102"/>
    </row>
    <row r="361" spans="1:10" x14ac:dyDescent="0.2">
      <c r="A361" s="609">
        <f>A360+1</f>
        <v>217</v>
      </c>
      <c r="C361" s="431" t="s">
        <v>249</v>
      </c>
      <c r="D361" s="102"/>
      <c r="E361" s="442"/>
      <c r="F361" s="433">
        <v>0</v>
      </c>
      <c r="G361" s="620" t="s">
        <v>88</v>
      </c>
      <c r="H361" s="102"/>
      <c r="I361" s="102"/>
      <c r="J361" s="102"/>
    </row>
    <row r="362" spans="1:10" x14ac:dyDescent="0.2">
      <c r="A362" s="609">
        <f>A361+1</f>
        <v>218</v>
      </c>
      <c r="C362" s="431" t="s">
        <v>1229</v>
      </c>
      <c r="D362" s="102"/>
      <c r="E362" s="441"/>
      <c r="F362" s="432" t="s">
        <v>248</v>
      </c>
      <c r="G362" s="619" t="s">
        <v>1368</v>
      </c>
      <c r="H362" s="102"/>
      <c r="I362" s="102"/>
      <c r="J362" s="102"/>
    </row>
    <row r="363" spans="1:10" x14ac:dyDescent="0.2">
      <c r="C363" s="102"/>
      <c r="D363" s="102"/>
      <c r="E363" s="102"/>
      <c r="F363" s="102"/>
      <c r="G363" s="102"/>
      <c r="H363" s="102"/>
      <c r="I363" s="102"/>
      <c r="J363" s="102"/>
    </row>
    <row r="364" spans="1:10" x14ac:dyDescent="0.2">
      <c r="C364" s="435" t="s">
        <v>1242</v>
      </c>
      <c r="D364" s="102"/>
      <c r="E364" s="102"/>
      <c r="F364" s="102"/>
      <c r="G364" s="204" t="s">
        <v>1232</v>
      </c>
      <c r="H364" s="102"/>
      <c r="I364" s="102"/>
      <c r="J364" s="102"/>
    </row>
    <row r="365" spans="1:10" x14ac:dyDescent="0.2">
      <c r="A365" s="609">
        <f>A362+1</f>
        <v>219</v>
      </c>
      <c r="C365" s="617" t="s">
        <v>247</v>
      </c>
      <c r="D365" s="102"/>
      <c r="E365" s="102"/>
      <c r="F365" s="102"/>
      <c r="G365" s="102"/>
      <c r="H365" s="102"/>
      <c r="I365" s="102"/>
      <c r="J365" s="102"/>
    </row>
    <row r="366" spans="1:10" x14ac:dyDescent="0.2">
      <c r="A366" s="609">
        <f>A365+1</f>
        <v>220</v>
      </c>
      <c r="C366" s="431" t="s">
        <v>249</v>
      </c>
      <c r="D366" s="102"/>
      <c r="E366" s="102"/>
      <c r="F366" s="102"/>
      <c r="G366" s="102"/>
      <c r="H366" s="102"/>
      <c r="I366" s="102"/>
      <c r="J366" s="102"/>
    </row>
    <row r="367" spans="1:10" x14ac:dyDescent="0.2">
      <c r="A367" s="609">
        <f>A366+1</f>
        <v>221</v>
      </c>
      <c r="C367" s="431" t="s">
        <v>1229</v>
      </c>
      <c r="D367" s="102"/>
      <c r="E367" s="102"/>
      <c r="F367" s="102"/>
      <c r="G367" s="102"/>
      <c r="H367" s="102"/>
      <c r="I367" s="102"/>
      <c r="J367" s="102"/>
    </row>
    <row r="368" spans="1:10" x14ac:dyDescent="0.2">
      <c r="C368" s="436" t="s">
        <v>567</v>
      </c>
    </row>
    <row r="370" spans="2:3" x14ac:dyDescent="0.2">
      <c r="B370" s="437" t="s">
        <v>422</v>
      </c>
    </row>
    <row r="371" spans="2:3" x14ac:dyDescent="0.2">
      <c r="C371" s="548" t="s">
        <v>1343</v>
      </c>
    </row>
    <row r="372" spans="2:3" x14ac:dyDescent="0.2">
      <c r="C372" t="s">
        <v>1243</v>
      </c>
    </row>
  </sheetData>
  <phoneticPr fontId="12" type="noConversion"/>
  <pageMargins left="0.75" right="0.75" top="1" bottom="1" header="0.5" footer="0.5"/>
  <pageSetup scale="70" orientation="portrait" cellComments="asDisplayed" r:id="rId1"/>
  <headerFooter alignWithMargins="0">
    <oddHeader>&amp;CSchedule 14
Incentive Plant
&amp;RTO8 Annual Update (Revised)
Attachment  1</oddHeader>
    <oddFooter>&amp;R&amp;A</oddFooter>
  </headerFooter>
  <rowBreaks count="5" manualBreakCount="5">
    <brk id="66" max="16383" man="1"/>
    <brk id="131" max="16383" man="1"/>
    <brk id="189" max="16383" man="1"/>
    <brk id="246" max="16383" man="1"/>
    <brk id="30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Layout" zoomScaleNormal="85" workbookViewId="0">
      <selection activeCell="O59" sqref="O59"/>
    </sheetView>
  </sheetViews>
  <sheetFormatPr defaultRowHeight="12.75" x14ac:dyDescent="0.2"/>
  <cols>
    <col min="1" max="2" width="4.7109375" customWidth="1"/>
    <col min="3" max="4" width="10.7109375" customWidth="1"/>
    <col min="5" max="9" width="15.7109375" customWidth="1"/>
  </cols>
  <sheetData>
    <row r="1" spans="1:9" x14ac:dyDescent="0.2">
      <c r="A1" s="1" t="s">
        <v>169</v>
      </c>
      <c r="B1" s="1"/>
    </row>
    <row r="2" spans="1:9" x14ac:dyDescent="0.2">
      <c r="A2" s="1"/>
      <c r="B2" s="1"/>
      <c r="G2" s="100" t="s">
        <v>274</v>
      </c>
      <c r="H2" s="100"/>
    </row>
    <row r="3" spans="1:9" x14ac:dyDescent="0.2">
      <c r="A3" s="1"/>
      <c r="B3" s="12" t="s">
        <v>1080</v>
      </c>
    </row>
    <row r="4" spans="1:9" x14ac:dyDescent="0.2">
      <c r="A4" s="1"/>
      <c r="B4" s="13" t="s">
        <v>1081</v>
      </c>
    </row>
    <row r="5" spans="1:9" x14ac:dyDescent="0.2">
      <c r="A5" s="1"/>
      <c r="B5" s="552" t="s">
        <v>1727</v>
      </c>
    </row>
    <row r="7" spans="1:9" ht="13.5" customHeight="1" x14ac:dyDescent="0.2">
      <c r="B7" s="1" t="s">
        <v>302</v>
      </c>
    </row>
    <row r="8" spans="1:9" x14ac:dyDescent="0.2">
      <c r="A8" s="1"/>
      <c r="B8" s="1"/>
    </row>
    <row r="9" spans="1:9" x14ac:dyDescent="0.2">
      <c r="A9" s="1"/>
      <c r="B9" s="1"/>
      <c r="C9" s="12" t="s">
        <v>328</v>
      </c>
    </row>
    <row r="10" spans="1:9" x14ac:dyDescent="0.2">
      <c r="A10" s="1"/>
      <c r="B10" s="1"/>
      <c r="C10" s="12" t="s">
        <v>1256</v>
      </c>
    </row>
    <row r="11" spans="1:9" x14ac:dyDescent="0.2">
      <c r="A11" s="1"/>
      <c r="B11" s="1"/>
      <c r="C11" s="12"/>
    </row>
    <row r="12" spans="1:9" x14ac:dyDescent="0.2">
      <c r="A12" s="1"/>
      <c r="B12" s="1"/>
      <c r="C12" s="548" t="s">
        <v>1695</v>
      </c>
    </row>
    <row r="13" spans="1:9" x14ac:dyDescent="0.2">
      <c r="A13" s="1"/>
      <c r="B13" s="1"/>
    </row>
    <row r="14" spans="1:9" x14ac:dyDescent="0.2">
      <c r="A14" s="52" t="s">
        <v>362</v>
      </c>
      <c r="B14" s="1"/>
      <c r="C14" s="12" t="s">
        <v>401</v>
      </c>
      <c r="G14" s="125" t="s">
        <v>192</v>
      </c>
      <c r="I14" s="3" t="s">
        <v>200</v>
      </c>
    </row>
    <row r="15" spans="1:9" x14ac:dyDescent="0.2">
      <c r="A15" s="117">
        <v>1</v>
      </c>
      <c r="B15" s="44"/>
      <c r="C15" s="46" t="s">
        <v>402</v>
      </c>
      <c r="D15" s="14"/>
      <c r="E15" s="14"/>
      <c r="F15" s="14"/>
      <c r="G15" s="71">
        <f>'1-BaseTRR'!K80</f>
        <v>0.47107417075599878</v>
      </c>
      <c r="H15" s="14"/>
      <c r="I15" s="15" t="str">
        <f>"1-BaseTRR, L "&amp;'1-BaseTRR'!A80&amp;""</f>
        <v>1-BaseTRR, L 46</v>
      </c>
    </row>
    <row r="16" spans="1:9" x14ac:dyDescent="0.2">
      <c r="A16" s="117">
        <v>2</v>
      </c>
      <c r="B16" s="44"/>
      <c r="C16" s="46" t="s">
        <v>244</v>
      </c>
      <c r="D16" s="14"/>
      <c r="E16" s="14"/>
      <c r="F16" s="14"/>
      <c r="G16" s="71">
        <f>'1-BaseTRR'!K102</f>
        <v>0.39936028204298801</v>
      </c>
      <c r="H16" s="14"/>
      <c r="I16" s="15" t="str">
        <f>"1-BaseTRR, L "&amp;'1-BaseTRR'!A102&amp;""</f>
        <v>1-BaseTRR, L 58</v>
      </c>
    </row>
    <row r="17" spans="1:9" x14ac:dyDescent="0.2">
      <c r="A17" s="117">
        <v>3</v>
      </c>
      <c r="B17" s="44"/>
      <c r="C17" s="14"/>
      <c r="D17" s="14"/>
      <c r="E17" s="14"/>
      <c r="F17" s="389" t="s">
        <v>548</v>
      </c>
      <c r="G17" s="64">
        <f>G15*(1/(1-G16))* 10000</f>
        <v>7842.8741335702634</v>
      </c>
      <c r="H17" s="14"/>
      <c r="I17" s="15" t="s">
        <v>403</v>
      </c>
    </row>
    <row r="18" spans="1:9" x14ac:dyDescent="0.2">
      <c r="A18" s="14"/>
      <c r="B18" s="14"/>
      <c r="C18" s="14"/>
      <c r="D18" s="14"/>
      <c r="E18" s="14"/>
      <c r="F18" s="14"/>
      <c r="G18" s="14"/>
      <c r="H18" s="14"/>
      <c r="I18" s="14"/>
    </row>
    <row r="19" spans="1:9" x14ac:dyDescent="0.2">
      <c r="A19" s="14"/>
      <c r="B19" s="44" t="s">
        <v>303</v>
      </c>
      <c r="C19" s="14"/>
      <c r="D19" s="14"/>
      <c r="E19" s="14"/>
      <c r="F19" s="14"/>
      <c r="G19" s="14"/>
      <c r="H19" s="14"/>
      <c r="I19" s="14"/>
    </row>
    <row r="20" spans="1:9" x14ac:dyDescent="0.2">
      <c r="A20" s="44"/>
      <c r="B20" s="44"/>
      <c r="C20" s="15" t="s">
        <v>333</v>
      </c>
      <c r="D20" s="14"/>
      <c r="E20" s="14"/>
      <c r="F20" s="14"/>
      <c r="G20" s="14"/>
      <c r="H20" s="14"/>
      <c r="I20" s="14"/>
    </row>
    <row r="21" spans="1:9" x14ac:dyDescent="0.2">
      <c r="A21" s="44"/>
      <c r="B21" s="44"/>
      <c r="C21" s="15" t="s">
        <v>549</v>
      </c>
      <c r="D21" s="14"/>
      <c r="E21" s="14"/>
      <c r="F21" s="14"/>
      <c r="G21" s="14"/>
      <c r="H21" s="14"/>
      <c r="I21" s="14"/>
    </row>
    <row r="22" spans="1:9" x14ac:dyDescent="0.2">
      <c r="A22" s="44"/>
      <c r="B22" s="44"/>
      <c r="C22" s="14"/>
      <c r="D22" s="14"/>
      <c r="E22" s="14"/>
      <c r="F22" s="14"/>
      <c r="G22" s="14"/>
      <c r="H22" s="14"/>
      <c r="I22" s="14"/>
    </row>
    <row r="23" spans="1:9" x14ac:dyDescent="0.2">
      <c r="A23" s="44"/>
      <c r="B23" s="44"/>
      <c r="C23" s="14"/>
      <c r="D23" s="14"/>
      <c r="E23" s="14"/>
      <c r="F23" s="117" t="s">
        <v>305</v>
      </c>
      <c r="G23" s="14"/>
      <c r="H23" s="14"/>
      <c r="I23" s="14"/>
    </row>
    <row r="24" spans="1:9" x14ac:dyDescent="0.2">
      <c r="A24" s="1114" t="s">
        <v>362</v>
      </c>
      <c r="B24" s="1114"/>
      <c r="C24" s="14"/>
      <c r="D24" s="14"/>
      <c r="E24" s="131" t="s">
        <v>10</v>
      </c>
      <c r="F24" s="131" t="s">
        <v>38</v>
      </c>
      <c r="G24" s="131" t="s">
        <v>200</v>
      </c>
      <c r="H24" s="14"/>
      <c r="I24" s="14"/>
    </row>
    <row r="25" spans="1:9" x14ac:dyDescent="0.2">
      <c r="A25" s="117">
        <f>A17+1</f>
        <v>4</v>
      </c>
      <c r="B25" s="117"/>
      <c r="C25" s="14" t="s">
        <v>253</v>
      </c>
      <c r="D25" s="14"/>
      <c r="E25" s="83">
        <f>'14-IncentivePlant'!F308</f>
        <v>7.4999999999999997E-3</v>
      </c>
      <c r="F25" s="1165">
        <f>E25/0.01</f>
        <v>0.75</v>
      </c>
      <c r="G25" s="46" t="str">
        <f>"14-IncentivePlant, L "&amp;'14-IncentivePlant'!A308&amp;""</f>
        <v>14-IncentivePlant, L 184</v>
      </c>
      <c r="H25" s="14"/>
      <c r="I25" s="14"/>
    </row>
    <row r="26" spans="1:9" x14ac:dyDescent="0.2">
      <c r="A26" s="117">
        <f>A25+1</f>
        <v>5</v>
      </c>
      <c r="B26" s="117"/>
      <c r="C26" s="14" t="s">
        <v>254</v>
      </c>
      <c r="D26" s="14"/>
      <c r="E26" s="83">
        <f>'14-IncentivePlant'!F313</f>
        <v>1.2500000000000001E-2</v>
      </c>
      <c r="F26" s="1165">
        <f>E26/0.01</f>
        <v>1.25</v>
      </c>
      <c r="G26" s="46" t="str">
        <f>"14-IncentivePlant, L "&amp;'14-IncentivePlant'!A313&amp;""</f>
        <v>14-IncentivePlant, L 187</v>
      </c>
      <c r="H26" s="14"/>
      <c r="I26" s="14"/>
    </row>
    <row r="27" spans="1:9" x14ac:dyDescent="0.2">
      <c r="A27" s="117">
        <f>A26+1</f>
        <v>6</v>
      </c>
      <c r="B27" s="117"/>
      <c r="C27" s="550" t="s">
        <v>2937</v>
      </c>
      <c r="D27" s="14"/>
      <c r="E27" s="83">
        <f>'14-IncentivePlant'!F318</f>
        <v>0.01</v>
      </c>
      <c r="F27" s="1165">
        <f>E27/0.01</f>
        <v>1</v>
      </c>
      <c r="G27" s="46" t="str">
        <f>"14-IncentivePlant, L "&amp;'14-IncentivePlant'!A318&amp;""</f>
        <v>14-IncentivePlant, L 190</v>
      </c>
      <c r="H27" s="14"/>
      <c r="I27" s="14"/>
    </row>
    <row r="28" spans="1:9" x14ac:dyDescent="0.2">
      <c r="A28" s="2">
        <f>A27+1</f>
        <v>7</v>
      </c>
      <c r="B28" s="2"/>
      <c r="C28" s="122"/>
      <c r="D28" s="102"/>
      <c r="E28" s="42"/>
      <c r="F28" s="103"/>
    </row>
    <row r="29" spans="1:9" x14ac:dyDescent="0.2">
      <c r="A29" s="2">
        <f>A28+1</f>
        <v>8</v>
      </c>
      <c r="B29" s="2"/>
      <c r="C29" s="202" t="s">
        <v>567</v>
      </c>
      <c r="E29" s="42"/>
      <c r="F29" s="103"/>
    </row>
    <row r="31" spans="1:9" x14ac:dyDescent="0.2">
      <c r="B31" s="1" t="s">
        <v>304</v>
      </c>
    </row>
    <row r="32" spans="1:9" x14ac:dyDescent="0.2">
      <c r="A32" s="1"/>
      <c r="B32" s="1"/>
      <c r="C32" s="12" t="s">
        <v>1641</v>
      </c>
    </row>
    <row r="33" spans="1:9" x14ac:dyDescent="0.2">
      <c r="A33" s="1"/>
      <c r="B33" s="1"/>
      <c r="C33" s="12" t="s">
        <v>550</v>
      </c>
    </row>
    <row r="34" spans="1:9" x14ac:dyDescent="0.2">
      <c r="A34" s="1"/>
      <c r="B34" s="1"/>
      <c r="C34" s="12" t="s">
        <v>551</v>
      </c>
    </row>
    <row r="35" spans="1:9" x14ac:dyDescent="0.2">
      <c r="E35" s="2"/>
      <c r="G35" s="2"/>
    </row>
    <row r="36" spans="1:9" x14ac:dyDescent="0.2">
      <c r="E36" s="2" t="s">
        <v>75</v>
      </c>
      <c r="G36" s="2" t="s">
        <v>75</v>
      </c>
    </row>
    <row r="37" spans="1:9" x14ac:dyDescent="0.2">
      <c r="E37" s="2" t="s">
        <v>9</v>
      </c>
      <c r="F37" s="2" t="s">
        <v>305</v>
      </c>
      <c r="G37" s="2" t="s">
        <v>9</v>
      </c>
    </row>
    <row r="38" spans="1:9" x14ac:dyDescent="0.2">
      <c r="A38" s="52" t="s">
        <v>362</v>
      </c>
      <c r="B38" s="52"/>
      <c r="E38" s="3" t="s">
        <v>194</v>
      </c>
      <c r="F38" s="3" t="s">
        <v>38</v>
      </c>
      <c r="G38" s="3" t="s">
        <v>306</v>
      </c>
      <c r="H38" s="3" t="s">
        <v>200</v>
      </c>
    </row>
    <row r="39" spans="1:9" x14ac:dyDescent="0.2">
      <c r="A39" s="2">
        <f>A29+1</f>
        <v>9</v>
      </c>
      <c r="B39" s="2"/>
      <c r="C39" t="s">
        <v>253</v>
      </c>
      <c r="E39" s="1350">
        <f>'14-IncentivePlant'!E46</f>
        <v>173951897.72665322</v>
      </c>
      <c r="F39" s="103">
        <f>F25</f>
        <v>0.75</v>
      </c>
      <c r="G39" s="1350">
        <f>(E39/1000000)*(F39*$G$17)</f>
        <v>1023212.1293743713</v>
      </c>
      <c r="H39" s="46" t="str">
        <f>"14-IncentivePlant, L "&amp;'14-IncentivePlant'!A46&amp;", Col. 1"</f>
        <v>14-IncentivePlant, L 13, Col. 1</v>
      </c>
    </row>
    <row r="40" spans="1:9" x14ac:dyDescent="0.2">
      <c r="A40" s="2">
        <f>A39+1</f>
        <v>10</v>
      </c>
      <c r="B40" s="2"/>
      <c r="C40" t="s">
        <v>254</v>
      </c>
      <c r="E40" s="1350">
        <f>'14-IncentivePlant'!E47</f>
        <v>1815583377.729681</v>
      </c>
      <c r="F40" s="103">
        <f>F26</f>
        <v>1.25</v>
      </c>
      <c r="G40" s="1350">
        <f>(E40/1000000)*(F40*$G$17)</f>
        <v>17799239.888170306</v>
      </c>
      <c r="H40" s="46" t="str">
        <f>"14-IncentivePlant, L "&amp;'14-IncentivePlant'!A47&amp;", Col. 1"</f>
        <v>14-IncentivePlant, L 14, Col. 1</v>
      </c>
    </row>
    <row r="41" spans="1:9" x14ac:dyDescent="0.2">
      <c r="A41" s="2">
        <f>A40+1</f>
        <v>11</v>
      </c>
      <c r="B41" s="2"/>
      <c r="C41" s="548" t="s">
        <v>2937</v>
      </c>
      <c r="E41" s="1350">
        <f>'14-IncentivePlant'!E48</f>
        <v>536335938.83999997</v>
      </c>
      <c r="F41" s="103">
        <f>F27</f>
        <v>1</v>
      </c>
      <c r="G41" s="1350">
        <f>(E41/1000000)*(F41*$G$17)</f>
        <v>4206415.2616323587</v>
      </c>
      <c r="H41" s="46" t="str">
        <f>"14-IncentivePlant, L "&amp;'14-IncentivePlant'!A48&amp;", Col. 1"</f>
        <v>14-IncentivePlant, L 15, Col. 1</v>
      </c>
    </row>
    <row r="42" spans="1:9" x14ac:dyDescent="0.2">
      <c r="A42" s="2">
        <f>A41+1</f>
        <v>12</v>
      </c>
      <c r="B42" s="2"/>
      <c r="C42" s="122"/>
      <c r="D42" s="102"/>
      <c r="H42" s="14"/>
    </row>
    <row r="43" spans="1:9" x14ac:dyDescent="0.2">
      <c r="A43" s="2">
        <f>A42+1</f>
        <v>13</v>
      </c>
      <c r="B43" s="2"/>
      <c r="C43" s="202" t="s">
        <v>567</v>
      </c>
      <c r="H43" s="14"/>
    </row>
    <row r="44" spans="1:9" x14ac:dyDescent="0.2">
      <c r="A44" s="2">
        <f>A43+1</f>
        <v>14</v>
      </c>
      <c r="F44" s="36" t="s">
        <v>90</v>
      </c>
      <c r="G44" s="7">
        <f>SUM(G39:G42)</f>
        <v>23028867.279177032</v>
      </c>
      <c r="H44" s="547" t="s">
        <v>1932</v>
      </c>
    </row>
    <row r="45" spans="1:9" x14ac:dyDescent="0.2">
      <c r="H45" s="547" t="s">
        <v>1933</v>
      </c>
      <c r="I45" s="7"/>
    </row>
    <row r="46" spans="1:9" x14ac:dyDescent="0.2">
      <c r="B46" s="1" t="s">
        <v>1678</v>
      </c>
      <c r="H46" s="14"/>
    </row>
    <row r="47" spans="1:9" x14ac:dyDescent="0.2">
      <c r="A47" s="1"/>
      <c r="B47" s="1"/>
      <c r="C47" s="548" t="s">
        <v>1679</v>
      </c>
      <c r="H47" s="14"/>
    </row>
    <row r="48" spans="1:9" x14ac:dyDescent="0.2">
      <c r="A48" s="1"/>
      <c r="B48" s="1"/>
      <c r="C48" s="548" t="s">
        <v>1728</v>
      </c>
      <c r="H48" s="14"/>
    </row>
    <row r="49" spans="1:9" x14ac:dyDescent="0.2">
      <c r="A49" s="1"/>
      <c r="B49" s="1"/>
      <c r="C49" s="548" t="s">
        <v>1931</v>
      </c>
      <c r="H49" s="14"/>
    </row>
    <row r="50" spans="1:9" x14ac:dyDescent="0.2">
      <c r="H50" s="14"/>
    </row>
    <row r="51" spans="1:9" x14ac:dyDescent="0.2">
      <c r="E51" s="2" t="s">
        <v>1</v>
      </c>
      <c r="G51" s="2" t="s">
        <v>1</v>
      </c>
      <c r="H51" s="14"/>
    </row>
    <row r="52" spans="1:9" x14ac:dyDescent="0.2">
      <c r="E52" s="2" t="s">
        <v>9</v>
      </c>
      <c r="F52" s="2" t="s">
        <v>305</v>
      </c>
      <c r="G52" s="2" t="s">
        <v>9</v>
      </c>
      <c r="H52" s="14"/>
    </row>
    <row r="53" spans="1:9" x14ac:dyDescent="0.2">
      <c r="A53" s="52" t="s">
        <v>362</v>
      </c>
      <c r="B53" s="52"/>
      <c r="E53" s="3" t="s">
        <v>1095</v>
      </c>
      <c r="F53" s="3" t="s">
        <v>38</v>
      </c>
      <c r="G53" s="3" t="s">
        <v>306</v>
      </c>
      <c r="H53" s="131" t="s">
        <v>200</v>
      </c>
    </row>
    <row r="54" spans="1:9" x14ac:dyDescent="0.2">
      <c r="A54" s="2">
        <f>A44+1</f>
        <v>15</v>
      </c>
      <c r="B54" s="2"/>
      <c r="C54" t="s">
        <v>253</v>
      </c>
      <c r="E54" s="1350">
        <f>'14-IncentivePlant'!E60</f>
        <v>176762200.63803381</v>
      </c>
      <c r="F54" s="103">
        <f>F25</f>
        <v>0.75</v>
      </c>
      <c r="G54" s="1350">
        <f>(E54/1000000)*(F54*$G$17)</f>
        <v>1039742.7683827443</v>
      </c>
      <c r="H54" s="46" t="str">
        <f>"14-IncentivePlant, L "&amp;'14-IncentivePlant'!A60&amp;", Col. 1"</f>
        <v>14-IncentivePlant, L 19, Col. 1</v>
      </c>
    </row>
    <row r="55" spans="1:9" x14ac:dyDescent="0.2">
      <c r="A55" s="2">
        <f>A54+1</f>
        <v>16</v>
      </c>
      <c r="B55" s="2"/>
      <c r="C55" t="s">
        <v>254</v>
      </c>
      <c r="E55" s="1350">
        <f>'14-IncentivePlant'!E61</f>
        <v>1609829850.4907672</v>
      </c>
      <c r="F55" s="103">
        <f>F26</f>
        <v>1.25</v>
      </c>
      <c r="G55" s="1350">
        <f>(E55/1000000)*(F55*$G$17)</f>
        <v>15782116.117329154</v>
      </c>
      <c r="H55" s="46" t="str">
        <f>"14-IncentivePlant, L "&amp;'14-IncentivePlant'!A61&amp;", Col. 1"</f>
        <v>14-IncentivePlant, L 20, Col. 1</v>
      </c>
    </row>
    <row r="56" spans="1:9" x14ac:dyDescent="0.2">
      <c r="A56" s="2">
        <f>A55+1</f>
        <v>17</v>
      </c>
      <c r="B56" s="2"/>
      <c r="C56" s="548" t="s">
        <v>2937</v>
      </c>
      <c r="E56" s="1350">
        <f>'14-IncentivePlant'!E62</f>
        <v>305353304.31020802</v>
      </c>
      <c r="F56" s="103">
        <f>F27</f>
        <v>1</v>
      </c>
      <c r="G56" s="1350">
        <f>(E56/1000000)*(F56*$G$17)</f>
        <v>2394847.5319747399</v>
      </c>
      <c r="H56" s="46" t="str">
        <f>"14-IncentivePlant, L "&amp;'14-IncentivePlant'!A62&amp;", Col. 1"</f>
        <v>14-IncentivePlant, L 21, Col. 1</v>
      </c>
    </row>
    <row r="57" spans="1:9" x14ac:dyDescent="0.2">
      <c r="A57" s="2">
        <f>A56+1</f>
        <v>18</v>
      </c>
      <c r="B57" s="2"/>
      <c r="C57" s="122"/>
      <c r="D57" s="102"/>
    </row>
    <row r="58" spans="1:9" x14ac:dyDescent="0.2">
      <c r="A58" s="2">
        <f>A57+1</f>
        <v>19</v>
      </c>
      <c r="B58" s="2"/>
      <c r="C58" s="202" t="s">
        <v>567</v>
      </c>
    </row>
    <row r="59" spans="1:9" x14ac:dyDescent="0.2">
      <c r="A59" s="2">
        <f>A58+1</f>
        <v>20</v>
      </c>
      <c r="F59" s="546" t="s">
        <v>1680</v>
      </c>
      <c r="G59" s="1350">
        <f>SUM(G54:G57)</f>
        <v>19216706.417686637</v>
      </c>
      <c r="H59" s="552" t="s">
        <v>1932</v>
      </c>
    </row>
    <row r="60" spans="1:9" x14ac:dyDescent="0.2">
      <c r="H60" s="552" t="s">
        <v>1933</v>
      </c>
      <c r="I60" s="7"/>
    </row>
    <row r="61" spans="1:9" x14ac:dyDescent="0.2">
      <c r="B61" s="1" t="s">
        <v>1743</v>
      </c>
    </row>
    <row r="63" spans="1:9" x14ac:dyDescent="0.2">
      <c r="C63" s="1" t="s">
        <v>1744</v>
      </c>
    </row>
    <row r="65" spans="1:7" x14ac:dyDescent="0.2">
      <c r="E65" s="579" t="s">
        <v>11</v>
      </c>
    </row>
    <row r="66" spans="1:7" x14ac:dyDescent="0.2">
      <c r="C66" s="579" t="s">
        <v>9</v>
      </c>
      <c r="E66" s="579" t="s">
        <v>331</v>
      </c>
    </row>
    <row r="67" spans="1:7" x14ac:dyDescent="0.2">
      <c r="A67" s="52" t="s">
        <v>362</v>
      </c>
      <c r="C67" s="3" t="s">
        <v>252</v>
      </c>
      <c r="E67" s="3" t="s">
        <v>4</v>
      </c>
      <c r="F67" s="3" t="s">
        <v>200</v>
      </c>
    </row>
    <row r="68" spans="1:7" x14ac:dyDescent="0.2">
      <c r="A68" s="579">
        <f>A59+1</f>
        <v>21</v>
      </c>
      <c r="C68" t="s">
        <v>253</v>
      </c>
      <c r="E68" s="1350">
        <f>'14-IncentivePlant'!G60</f>
        <v>176762200.63803381</v>
      </c>
      <c r="F68" s="547" t="str">
        <f>"14-IncentivePlant, L "&amp;'14-IncentivePlant'!A60&amp;", Col. 3"</f>
        <v>14-IncentivePlant, L 19, Col. 3</v>
      </c>
      <c r="G68" s="14"/>
    </row>
    <row r="69" spans="1:7" x14ac:dyDescent="0.2">
      <c r="A69" s="579">
        <f t="shared" ref="A69:A71" si="0">A68+1</f>
        <v>22</v>
      </c>
      <c r="C69" t="s">
        <v>254</v>
      </c>
      <c r="E69" s="1350">
        <f>'14-IncentivePlant'!G61</f>
        <v>685062485.87267685</v>
      </c>
      <c r="F69" s="547" t="str">
        <f>"14-IncentivePlant, L "&amp;'14-IncentivePlant'!A61&amp;", Col. 3"</f>
        <v>14-IncentivePlant, L 20, Col. 3</v>
      </c>
      <c r="G69" s="14"/>
    </row>
    <row r="70" spans="1:7" x14ac:dyDescent="0.2">
      <c r="A70" s="579">
        <f t="shared" si="0"/>
        <v>23</v>
      </c>
      <c r="C70" s="548" t="s">
        <v>2937</v>
      </c>
      <c r="E70" s="7">
        <f>'14-IncentivePlant'!G62</f>
        <v>0</v>
      </c>
      <c r="F70" s="547" t="str">
        <f>"14-IncentivePlant, L "&amp;'14-IncentivePlant'!A62&amp;", Col. 3"</f>
        <v>14-IncentivePlant, L 21, Col. 3</v>
      </c>
      <c r="G70" s="14"/>
    </row>
    <row r="71" spans="1:7" x14ac:dyDescent="0.2">
      <c r="A71" s="579">
        <f t="shared" si="0"/>
        <v>24</v>
      </c>
      <c r="C71" s="122"/>
      <c r="F71" s="547"/>
      <c r="G71" s="14"/>
    </row>
    <row r="72" spans="1:7" x14ac:dyDescent="0.2">
      <c r="C72" s="580" t="s">
        <v>567</v>
      </c>
      <c r="F72" s="14"/>
      <c r="G72" s="14"/>
    </row>
    <row r="73" spans="1:7" x14ac:dyDescent="0.2">
      <c r="C73" s="580"/>
      <c r="F73" s="14"/>
      <c r="G73" s="14"/>
    </row>
    <row r="74" spans="1:7" x14ac:dyDescent="0.2">
      <c r="C74" s="1" t="s">
        <v>1745</v>
      </c>
      <c r="F74" s="14"/>
      <c r="G74" s="14"/>
    </row>
    <row r="75" spans="1:7" x14ac:dyDescent="0.2">
      <c r="C75" s="1"/>
      <c r="F75" s="14"/>
      <c r="G75" s="14"/>
    </row>
    <row r="76" spans="1:7" x14ac:dyDescent="0.2">
      <c r="E76" s="3" t="s">
        <v>396</v>
      </c>
      <c r="F76" s="131" t="s">
        <v>380</v>
      </c>
      <c r="G76" s="14"/>
    </row>
    <row r="77" spans="1:7" x14ac:dyDescent="0.2">
      <c r="E77" s="3"/>
      <c r="F77" s="117" t="s">
        <v>1746</v>
      </c>
      <c r="G77" s="14"/>
    </row>
    <row r="78" spans="1:7" x14ac:dyDescent="0.2">
      <c r="E78" s="579" t="s">
        <v>309</v>
      </c>
      <c r="F78" s="117" t="s">
        <v>309</v>
      </c>
      <c r="G78" s="14"/>
    </row>
    <row r="79" spans="1:7" x14ac:dyDescent="0.2">
      <c r="C79" s="579" t="s">
        <v>9</v>
      </c>
      <c r="E79" s="579" t="s">
        <v>9</v>
      </c>
      <c r="F79" s="117" t="s">
        <v>9</v>
      </c>
      <c r="G79" s="14"/>
    </row>
    <row r="80" spans="1:7" x14ac:dyDescent="0.2">
      <c r="A80" s="52" t="s">
        <v>362</v>
      </c>
      <c r="C80" s="3" t="s">
        <v>252</v>
      </c>
      <c r="E80" s="3" t="s">
        <v>306</v>
      </c>
      <c r="F80" s="131" t="s">
        <v>306</v>
      </c>
      <c r="G80" s="131" t="s">
        <v>200</v>
      </c>
    </row>
    <row r="81" spans="1:7" x14ac:dyDescent="0.2">
      <c r="A81" s="579">
        <f>A71+1</f>
        <v>25</v>
      </c>
      <c r="C81" t="s">
        <v>253</v>
      </c>
      <c r="E81" s="1350">
        <f>(E68/1000000)*(F54*$G$17)</f>
        <v>1039742.7683827443</v>
      </c>
      <c r="F81" s="64">
        <f>E81*(1-$G$16)</f>
        <v>624510.80314925441</v>
      </c>
      <c r="G81" s="547" t="s">
        <v>238</v>
      </c>
    </row>
    <row r="82" spans="1:7" x14ac:dyDescent="0.2">
      <c r="A82" s="579">
        <f t="shared" ref="A82:A86" si="1">A81+1</f>
        <v>26</v>
      </c>
      <c r="C82" t="s">
        <v>254</v>
      </c>
      <c r="E82" s="1350">
        <f>(E69/1000000)*(F55*$G$17)</f>
        <v>6716073.5629127016</v>
      </c>
      <c r="F82" s="64">
        <f>E82*(1-$G$16)</f>
        <v>4033940.5306064296</v>
      </c>
      <c r="G82" s="547" t="s">
        <v>238</v>
      </c>
    </row>
    <row r="83" spans="1:7" x14ac:dyDescent="0.2">
      <c r="A83" s="579">
        <f t="shared" si="1"/>
        <v>27</v>
      </c>
      <c r="C83" s="548" t="s">
        <v>2937</v>
      </c>
      <c r="E83" s="7">
        <f>(E70/1000000)*(F56*$G$17)</f>
        <v>0</v>
      </c>
      <c r="F83" s="64">
        <f>E83*(1-$G$16)</f>
        <v>0</v>
      </c>
      <c r="G83" s="547" t="s">
        <v>238</v>
      </c>
    </row>
    <row r="84" spans="1:7" x14ac:dyDescent="0.2">
      <c r="A84" s="579">
        <f t="shared" si="1"/>
        <v>28</v>
      </c>
      <c r="C84" s="122"/>
      <c r="E84" s="7"/>
      <c r="F84" s="64"/>
      <c r="G84" s="547" t="s">
        <v>238</v>
      </c>
    </row>
    <row r="85" spans="1:7" x14ac:dyDescent="0.2">
      <c r="A85" s="579">
        <f t="shared" si="1"/>
        <v>29</v>
      </c>
      <c r="C85" s="580" t="s">
        <v>567</v>
      </c>
      <c r="E85" s="7"/>
      <c r="F85" s="64"/>
      <c r="G85" s="14"/>
    </row>
    <row r="86" spans="1:7" x14ac:dyDescent="0.2">
      <c r="A86" s="579">
        <f t="shared" si="1"/>
        <v>30</v>
      </c>
      <c r="E86" s="546" t="s">
        <v>5</v>
      </c>
      <c r="F86" s="64">
        <f>SUM(F81:F85)</f>
        <v>4658451.3337556841</v>
      </c>
      <c r="G86" s="14"/>
    </row>
    <row r="87" spans="1:7" x14ac:dyDescent="0.2">
      <c r="F87" s="14"/>
      <c r="G87" s="14"/>
    </row>
    <row r="88" spans="1:7" x14ac:dyDescent="0.2">
      <c r="C88" s="1" t="s">
        <v>1747</v>
      </c>
      <c r="F88" s="14"/>
      <c r="G88" s="14"/>
    </row>
    <row r="89" spans="1:7" x14ac:dyDescent="0.2">
      <c r="A89" s="52" t="s">
        <v>362</v>
      </c>
      <c r="F89" s="131" t="s">
        <v>196</v>
      </c>
      <c r="G89" s="131" t="s">
        <v>200</v>
      </c>
    </row>
    <row r="90" spans="1:7" x14ac:dyDescent="0.2">
      <c r="A90" s="579">
        <f>A86+1</f>
        <v>31</v>
      </c>
      <c r="E90" s="546" t="s">
        <v>1748</v>
      </c>
      <c r="F90" s="1350">
        <f>'4-TUTRR'!J29</f>
        <v>3592740158.1200676</v>
      </c>
      <c r="G90" s="547" t="str">
        <f>"4-TUTRR, Line "&amp;'4-TUTRR'!A29&amp;""</f>
        <v>4-TUTRR, Line 17</v>
      </c>
    </row>
    <row r="91" spans="1:7" x14ac:dyDescent="0.2">
      <c r="A91" s="579">
        <f t="shared" ref="A91:A94" si="2">A90+1</f>
        <v>32</v>
      </c>
      <c r="E91" s="546" t="s">
        <v>1749</v>
      </c>
      <c r="F91" s="1349">
        <f>'4-TUTRR'!J24</f>
        <v>1414509946.9398568</v>
      </c>
      <c r="G91" s="547" t="str">
        <f>"4-TUTRR, Line "&amp;'4-TUTRR'!A24&amp;""</f>
        <v>4-TUTRR, Line 14</v>
      </c>
    </row>
    <row r="92" spans="1:7" x14ac:dyDescent="0.2">
      <c r="A92" s="579">
        <f t="shared" si="2"/>
        <v>33</v>
      </c>
      <c r="E92" s="546" t="s">
        <v>1750</v>
      </c>
      <c r="F92" s="1350">
        <f>F90-F91</f>
        <v>2178230211.1802111</v>
      </c>
      <c r="G92" s="120" t="str">
        <f>"Line "&amp;A90&amp;" - Line "&amp;A91&amp;""</f>
        <v>Line 31 - Line 32</v>
      </c>
    </row>
    <row r="93" spans="1:7" x14ac:dyDescent="0.2">
      <c r="A93" s="579">
        <f t="shared" si="2"/>
        <v>34</v>
      </c>
      <c r="E93" s="546" t="s">
        <v>1751</v>
      </c>
      <c r="F93" s="71">
        <f>'1-BaseTRR'!K80</f>
        <v>0.47107417075599878</v>
      </c>
      <c r="G93" s="547" t="str">
        <f>"1-BaseTRR, Line "&amp;'1-BaseTRR'!A80&amp;""</f>
        <v>1-BaseTRR, Line 46</v>
      </c>
    </row>
    <row r="94" spans="1:7" x14ac:dyDescent="0.2">
      <c r="A94" s="579">
        <f t="shared" si="2"/>
        <v>35</v>
      </c>
      <c r="E94" s="546" t="s">
        <v>1752</v>
      </c>
      <c r="F94" s="1350">
        <f>F92*F93</f>
        <v>1026107990.447382</v>
      </c>
      <c r="G94" s="16" t="str">
        <f>"Line "&amp;A92&amp;" * Line "&amp;A93&amp;""</f>
        <v>Line 33 * Line 34</v>
      </c>
    </row>
    <row r="96" spans="1:7" x14ac:dyDescent="0.2">
      <c r="C96" s="1" t="s">
        <v>1753</v>
      </c>
    </row>
    <row r="97" spans="1:8" x14ac:dyDescent="0.2">
      <c r="A97" s="52" t="s">
        <v>362</v>
      </c>
    </row>
    <row r="98" spans="1:8" x14ac:dyDescent="0.2">
      <c r="A98" s="579">
        <f>A94+1</f>
        <v>36</v>
      </c>
      <c r="E98" s="546" t="s">
        <v>1754</v>
      </c>
      <c r="F98" s="42">
        <f>F86/F94</f>
        <v>4.5399230657239154E-3</v>
      </c>
      <c r="G98" s="120" t="str">
        <f>"Line "&amp;A86&amp;" / Line "&amp;A94&amp;""</f>
        <v>Line 30 / Line 35</v>
      </c>
      <c r="H98" s="14"/>
    </row>
    <row r="99" spans="1:8" x14ac:dyDescent="0.2">
      <c r="A99" s="579">
        <f t="shared" ref="A99:A101" si="3">A98+1</f>
        <v>37</v>
      </c>
      <c r="E99" s="546" t="s">
        <v>1755</v>
      </c>
      <c r="G99" s="14"/>
      <c r="H99" s="14"/>
    </row>
    <row r="100" spans="1:8" x14ac:dyDescent="0.2">
      <c r="A100" s="579">
        <f t="shared" si="3"/>
        <v>38</v>
      </c>
      <c r="E100" s="546" t="s">
        <v>1756</v>
      </c>
      <c r="F100" s="581">
        <f>'1-BaseTRR'!K85</f>
        <v>9.8000000000000004E-2</v>
      </c>
      <c r="G100" s="547" t="str">
        <f>"1-BaseTRR, Line "&amp;'1-BaseTRR'!A85&amp;""</f>
        <v>1-BaseTRR, Line 49</v>
      </c>
      <c r="H100" s="14"/>
    </row>
    <row r="101" spans="1:8" x14ac:dyDescent="0.2">
      <c r="A101" s="579">
        <f t="shared" si="3"/>
        <v>39</v>
      </c>
      <c r="E101" s="546" t="s">
        <v>1757</v>
      </c>
      <c r="F101" s="42">
        <f>F98+F100</f>
        <v>0.10253992306572392</v>
      </c>
      <c r="G101" s="120" t="str">
        <f>"Line "&amp;A98&amp;" + Line "&amp;A100&amp;""</f>
        <v>Line 36 + Line 38</v>
      </c>
      <c r="H101" s="14"/>
    </row>
    <row r="103" spans="1:8" x14ac:dyDescent="0.2">
      <c r="B103" s="1" t="s">
        <v>422</v>
      </c>
    </row>
    <row r="104" spans="1:8" x14ac:dyDescent="0.2">
      <c r="B104" s="548" t="s">
        <v>591</v>
      </c>
    </row>
    <row r="105" spans="1:8" x14ac:dyDescent="0.2">
      <c r="B105" s="548" t="s">
        <v>592</v>
      </c>
    </row>
    <row r="107" spans="1:8" x14ac:dyDescent="0.2">
      <c r="B107" s="1" t="s">
        <v>258</v>
      </c>
    </row>
    <row r="108" spans="1:8" x14ac:dyDescent="0.2">
      <c r="B108" s="548" t="str">
        <f>"1) Column 1: The True Up Incentive Adder for each Incentive Project equals the IREF on Line "&amp;A17&amp;","</f>
        <v>1) Column 1: The True Up Incentive Adder for each Incentive Project equals the IREF on Line 3,</v>
      </c>
    </row>
    <row r="109" spans="1:8" x14ac:dyDescent="0.2">
      <c r="B109" s="548" t="str">
        <f>"times the applicable Multiplicative Factor on Lines "&amp;A54&amp;" to "&amp;A57&amp;", times the million $ of"</f>
        <v>times the applicable Multiplicative Factor on Lines 15 to 18, times the million $ of</v>
      </c>
    </row>
    <row r="110" spans="1:8" x14ac:dyDescent="0.2">
      <c r="B110" s="548" t="str">
        <f>"TIP Net Plant In Service on Lines "&amp;A68&amp;" to "&amp;A71&amp;"."</f>
        <v>TIP Net Plant In Service on Lines 21 to 24.</v>
      </c>
    </row>
    <row r="111" spans="1:8" x14ac:dyDescent="0.2">
      <c r="B111" s="548" t="s">
        <v>1758</v>
      </c>
    </row>
    <row r="112" spans="1:8" x14ac:dyDescent="0.2">
      <c r="B112" s="548" t="str">
        <f>"Column 1 by (1 - CTR) (Where the CTR is on Line "&amp;A16&amp;")."</f>
        <v>Column 1 by (1 - CTR) (Where the CTR is on Line 2).</v>
      </c>
    </row>
  </sheetData>
  <phoneticPr fontId="12" type="noConversion"/>
  <pageMargins left="0.75" right="0.75" top="1" bottom="1" header="0.5" footer="0.5"/>
  <pageSetup scale="75" orientation="portrait" cellComments="asDisplayed" r:id="rId1"/>
  <headerFooter alignWithMargins="0">
    <oddHeader>&amp;CSchedule 15
Incentive Adders
&amp;RTO8 Annual Update (Revised)
Attachment  1</oddHeader>
    <oddFooter>&amp;R&amp;A</odd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view="pageLayout" zoomScaleNormal="100" workbookViewId="0">
      <selection activeCell="D3" sqref="D3"/>
    </sheetView>
  </sheetViews>
  <sheetFormatPr defaultRowHeight="12.75" x14ac:dyDescent="0.2"/>
  <cols>
    <col min="1" max="1" width="2.7109375" customWidth="1"/>
    <col min="2" max="2" width="18.7109375" customWidth="1"/>
    <col min="3" max="3" width="10.7109375" customWidth="1"/>
    <col min="4" max="4" width="66.7109375" customWidth="1"/>
  </cols>
  <sheetData>
    <row r="1" spans="1:4" x14ac:dyDescent="0.2">
      <c r="A1" s="1" t="s">
        <v>1266</v>
      </c>
      <c r="C1" s="1"/>
    </row>
    <row r="3" spans="1:4" x14ac:dyDescent="0.2">
      <c r="B3" s="3" t="s">
        <v>1267</v>
      </c>
      <c r="C3" s="3" t="s">
        <v>1347</v>
      </c>
      <c r="D3" s="439" t="s">
        <v>583</v>
      </c>
    </row>
    <row r="4" spans="1:4" x14ac:dyDescent="0.2">
      <c r="B4" s="402" t="s">
        <v>1206</v>
      </c>
      <c r="C4" s="62"/>
      <c r="D4" s="12" t="s">
        <v>1269</v>
      </c>
    </row>
    <row r="5" spans="1:4" x14ac:dyDescent="0.2">
      <c r="B5" s="703" t="s">
        <v>1268</v>
      </c>
      <c r="C5" s="62">
        <v>1</v>
      </c>
      <c r="D5" s="548" t="s">
        <v>2929</v>
      </c>
    </row>
    <row r="6" spans="1:4" x14ac:dyDescent="0.2">
      <c r="B6" s="703" t="s">
        <v>1217</v>
      </c>
      <c r="C6" s="62">
        <v>2</v>
      </c>
      <c r="D6" s="12" t="s">
        <v>1276</v>
      </c>
    </row>
    <row r="7" spans="1:4" x14ac:dyDescent="0.2">
      <c r="B7" s="703" t="s">
        <v>1218</v>
      </c>
      <c r="C7" s="62">
        <v>3</v>
      </c>
      <c r="D7" s="12" t="s">
        <v>1277</v>
      </c>
    </row>
    <row r="8" spans="1:4" x14ac:dyDescent="0.2">
      <c r="B8" s="703" t="s">
        <v>1717</v>
      </c>
      <c r="C8" s="62">
        <v>4</v>
      </c>
      <c r="D8" s="548" t="s">
        <v>1718</v>
      </c>
    </row>
    <row r="9" spans="1:4" x14ac:dyDescent="0.2">
      <c r="B9" s="703" t="s">
        <v>1207</v>
      </c>
      <c r="C9" s="62">
        <v>5</v>
      </c>
      <c r="D9" s="12" t="s">
        <v>1270</v>
      </c>
    </row>
    <row r="10" spans="1:4" x14ac:dyDescent="0.2">
      <c r="B10" s="703" t="s">
        <v>1210</v>
      </c>
      <c r="C10" s="62">
        <v>6</v>
      </c>
      <c r="D10" s="12" t="s">
        <v>1273</v>
      </c>
    </row>
    <row r="11" spans="1:4" x14ac:dyDescent="0.2">
      <c r="B11" s="703" t="s">
        <v>1211</v>
      </c>
      <c r="C11" s="62">
        <v>7</v>
      </c>
      <c r="D11" s="12" t="s">
        <v>1653</v>
      </c>
    </row>
    <row r="12" spans="1:4" x14ac:dyDescent="0.2">
      <c r="B12" s="703" t="s">
        <v>1220</v>
      </c>
      <c r="C12" s="62">
        <v>8</v>
      </c>
      <c r="D12" s="12" t="s">
        <v>1278</v>
      </c>
    </row>
    <row r="13" spans="1:4" x14ac:dyDescent="0.2">
      <c r="B13" s="703" t="s">
        <v>222</v>
      </c>
      <c r="C13" s="62">
        <v>9</v>
      </c>
      <c r="D13" s="12" t="s">
        <v>111</v>
      </c>
    </row>
    <row r="14" spans="1:4" x14ac:dyDescent="0.2">
      <c r="B14" s="703" t="s">
        <v>2</v>
      </c>
      <c r="C14" s="62">
        <v>10</v>
      </c>
      <c r="D14" s="548" t="s">
        <v>2930</v>
      </c>
    </row>
    <row r="15" spans="1:4" x14ac:dyDescent="0.2">
      <c r="B15" s="703" t="s">
        <v>1212</v>
      </c>
      <c r="C15" s="62">
        <v>11</v>
      </c>
      <c r="D15" s="12" t="s">
        <v>1328</v>
      </c>
    </row>
    <row r="16" spans="1:4" x14ac:dyDescent="0.2">
      <c r="B16" s="703" t="s">
        <v>1213</v>
      </c>
      <c r="C16" s="62">
        <v>12</v>
      </c>
      <c r="D16" s="12" t="s">
        <v>1274</v>
      </c>
    </row>
    <row r="17" spans="2:4" x14ac:dyDescent="0.2">
      <c r="B17" s="703" t="s">
        <v>1219</v>
      </c>
      <c r="C17" s="62">
        <v>13</v>
      </c>
      <c r="D17" s="12" t="s">
        <v>1288</v>
      </c>
    </row>
    <row r="18" spans="2:4" x14ac:dyDescent="0.2">
      <c r="B18" s="703" t="s">
        <v>1214</v>
      </c>
      <c r="C18" s="62">
        <v>14</v>
      </c>
      <c r="D18" s="12" t="s">
        <v>1275</v>
      </c>
    </row>
    <row r="19" spans="2:4" x14ac:dyDescent="0.2">
      <c r="B19" s="703" t="s">
        <v>1215</v>
      </c>
      <c r="C19" s="62">
        <v>15</v>
      </c>
      <c r="D19" s="548" t="s">
        <v>1978</v>
      </c>
    </row>
    <row r="20" spans="2:4" x14ac:dyDescent="0.2">
      <c r="B20" s="703" t="s">
        <v>1216</v>
      </c>
      <c r="C20" s="62">
        <v>16</v>
      </c>
      <c r="D20" s="12" t="s">
        <v>1340</v>
      </c>
    </row>
    <row r="21" spans="2:4" x14ac:dyDescent="0.2">
      <c r="B21" s="703" t="s">
        <v>1208</v>
      </c>
      <c r="C21" s="62">
        <v>17</v>
      </c>
      <c r="D21" s="12" t="s">
        <v>1271</v>
      </c>
    </row>
    <row r="22" spans="2:4" x14ac:dyDescent="0.2">
      <c r="B22" s="703" t="s">
        <v>1209</v>
      </c>
      <c r="C22" s="62">
        <v>18</v>
      </c>
      <c r="D22" s="12" t="s">
        <v>1272</v>
      </c>
    </row>
    <row r="23" spans="2:4" x14ac:dyDescent="0.2">
      <c r="B23" s="703" t="s">
        <v>1221</v>
      </c>
      <c r="C23" s="62">
        <v>19</v>
      </c>
      <c r="D23" s="12" t="s">
        <v>1279</v>
      </c>
    </row>
    <row r="24" spans="2:4" x14ac:dyDescent="0.2">
      <c r="B24" s="703" t="s">
        <v>1222</v>
      </c>
      <c r="C24" s="62">
        <v>20</v>
      </c>
      <c r="D24" s="548" t="s">
        <v>310</v>
      </c>
    </row>
    <row r="25" spans="2:4" x14ac:dyDescent="0.2">
      <c r="B25" s="703" t="s">
        <v>1245</v>
      </c>
      <c r="C25" s="62">
        <v>21</v>
      </c>
      <c r="D25" s="12" t="s">
        <v>1280</v>
      </c>
    </row>
    <row r="26" spans="2:4" x14ac:dyDescent="0.2">
      <c r="B26" s="703" t="s">
        <v>1246</v>
      </c>
      <c r="C26" s="62">
        <v>22</v>
      </c>
      <c r="D26" s="12" t="s">
        <v>1339</v>
      </c>
    </row>
    <row r="27" spans="2:4" x14ac:dyDescent="0.2">
      <c r="B27" s="703" t="s">
        <v>1247</v>
      </c>
      <c r="C27" s="62">
        <v>23</v>
      </c>
      <c r="D27" s="12" t="s">
        <v>1281</v>
      </c>
    </row>
    <row r="28" spans="2:4" ht="12.75" customHeight="1" x14ac:dyDescent="0.2">
      <c r="B28" s="703" t="s">
        <v>1633</v>
      </c>
      <c r="C28" s="62">
        <v>24</v>
      </c>
      <c r="D28" s="12" t="s">
        <v>1634</v>
      </c>
    </row>
    <row r="29" spans="2:4" x14ac:dyDescent="0.2">
      <c r="B29" s="703" t="s">
        <v>1571</v>
      </c>
      <c r="C29" s="62">
        <v>25</v>
      </c>
      <c r="D29" s="12" t="s">
        <v>1572</v>
      </c>
    </row>
    <row r="30" spans="2:4" x14ac:dyDescent="0.2">
      <c r="B30" s="703" t="s">
        <v>1250</v>
      </c>
      <c r="C30" s="62">
        <v>26</v>
      </c>
      <c r="D30" s="12" t="s">
        <v>1282</v>
      </c>
    </row>
    <row r="31" spans="2:4" x14ac:dyDescent="0.2">
      <c r="B31" s="703" t="s">
        <v>1249</v>
      </c>
      <c r="C31" s="62">
        <v>27</v>
      </c>
      <c r="D31" s="12" t="s">
        <v>223</v>
      </c>
    </row>
    <row r="32" spans="2:4" x14ac:dyDescent="0.2">
      <c r="B32" s="703" t="s">
        <v>1248</v>
      </c>
      <c r="C32" s="62">
        <v>28</v>
      </c>
      <c r="D32" s="12" t="s">
        <v>1283</v>
      </c>
    </row>
    <row r="33" spans="2:4" x14ac:dyDescent="0.2">
      <c r="B33" s="703" t="s">
        <v>1251</v>
      </c>
      <c r="C33" s="62">
        <v>29</v>
      </c>
      <c r="D33" s="12" t="s">
        <v>1284</v>
      </c>
    </row>
    <row r="34" spans="2:4" x14ac:dyDescent="0.2">
      <c r="B34" s="703" t="s">
        <v>1252</v>
      </c>
      <c r="C34" s="62">
        <v>30</v>
      </c>
      <c r="D34" s="12" t="s">
        <v>1341</v>
      </c>
    </row>
    <row r="35" spans="2:4" x14ac:dyDescent="0.2">
      <c r="B35" s="703" t="s">
        <v>1253</v>
      </c>
      <c r="C35" s="62">
        <v>31</v>
      </c>
      <c r="D35" s="12" t="s">
        <v>1285</v>
      </c>
    </row>
    <row r="36" spans="2:4" x14ac:dyDescent="0.2">
      <c r="B36" s="703" t="s">
        <v>1254</v>
      </c>
      <c r="C36" s="62">
        <v>32</v>
      </c>
      <c r="D36" s="12" t="s">
        <v>1286</v>
      </c>
    </row>
    <row r="37" spans="2:4" x14ac:dyDescent="0.2">
      <c r="B37" s="703" t="s">
        <v>1255</v>
      </c>
      <c r="C37" s="535">
        <v>33</v>
      </c>
      <c r="D37" s="12" t="s">
        <v>1287</v>
      </c>
    </row>
    <row r="38" spans="2:4" x14ac:dyDescent="0.2">
      <c r="B38" s="1121" t="s">
        <v>2490</v>
      </c>
      <c r="C38" s="1122">
        <v>34</v>
      </c>
      <c r="D38" s="550" t="s">
        <v>2549</v>
      </c>
    </row>
    <row r="39" spans="2:4" x14ac:dyDescent="0.2">
      <c r="B39" s="1121" t="s">
        <v>537</v>
      </c>
      <c r="C39" s="1122">
        <v>35</v>
      </c>
      <c r="D39" s="550" t="s">
        <v>2480</v>
      </c>
    </row>
    <row r="40" spans="2:4" x14ac:dyDescent="0.2">
      <c r="B40" s="12"/>
    </row>
    <row r="41" spans="2:4" x14ac:dyDescent="0.2">
      <c r="B41" s="12"/>
    </row>
    <row r="42" spans="2:4" x14ac:dyDescent="0.2">
      <c r="B42" s="12"/>
    </row>
    <row r="43" spans="2:4" x14ac:dyDescent="0.2">
      <c r="B43" s="12"/>
    </row>
  </sheetData>
  <hyperlinks>
    <hyperlink ref="B9" location="'5-ROR-1'!A1" display="ROR"/>
    <hyperlink ref="B4" location="Overview!A1" display="Overview"/>
    <hyperlink ref="B5" location="'1-BaseTRR'!A1" display="BaseTRR"/>
    <hyperlink ref="B21" location="'17-Depreciation'!A1" display="Depreciation"/>
    <hyperlink ref="B22" location="'18-DepRates'!A1" display="DepRates"/>
    <hyperlink ref="B10" location="'6-PlantInService'!A1" display="PlantInService"/>
    <hyperlink ref="B11" location="'7-PlantStudy'!A1" display="PlantStudy"/>
    <hyperlink ref="B15" location="'11-PHFU'!A1" display="PHFU"/>
    <hyperlink ref="B16" location="'12-AbandonedPlant'!A1" display="AbandonedPlant"/>
    <hyperlink ref="B18" location="'14-IncentivePlant'!A1" display="IncentivePlant"/>
    <hyperlink ref="B19" location="'15-IncentiveAdder'!A1" display="IncentiveAdder"/>
    <hyperlink ref="B20" location="'16-PlantAdditions'!A1" display="PlantAdditions"/>
    <hyperlink ref="B14" location="'10-CWIP'!A1" display="CWIP"/>
    <hyperlink ref="B6" location="'2-IFPTRR'!A1" display="IFPTRR"/>
    <hyperlink ref="B8" location="'4-TUTRR'!A1" display="TUTRR"/>
    <hyperlink ref="B7" location="'3-TrueUpAdjust'!A1" display="TrueUpAdjust"/>
    <hyperlink ref="B17" location="'13-WorkCap'!A1" display="WorkCap"/>
    <hyperlink ref="B12" location="'8-AccDep'!A1" display="AccDep"/>
    <hyperlink ref="B23" location="'19-OandM'!A1" display="OandM"/>
    <hyperlink ref="B24" location="'20-AandG'!A1" display="AandG"/>
    <hyperlink ref="B13" location="'9-ADIT'!A1" display="ADIT"/>
    <hyperlink ref="B25" location="'21-RevenueCredits'!A1" display="RevenueCredits"/>
    <hyperlink ref="B26" location="'22-NUCs'!A1" display="NUCs"/>
    <hyperlink ref="B27" location="'23-RegAssets'!A1" display="RegAssets"/>
    <hyperlink ref="B29" location="'25-WholesaleDifference'!A1" display="WholesaleDifference"/>
    <hyperlink ref="B30" location="'26-TaxRates'!A1" display="TaxRates"/>
    <hyperlink ref="B31" location="'27-Allocators'!A1" display="Allocators"/>
    <hyperlink ref="B32" location="'28-FFU'!A1" display="FFU"/>
    <hyperlink ref="B33" location="'29-WholesaleTRRs'!A1" display="WholesaleTRRs"/>
    <hyperlink ref="B34" location="'30-WholesaleRates'!A1" display="Wholesale Rates"/>
    <hyperlink ref="B35" location="'31-HVLV'!A1" display="HVLV"/>
    <hyperlink ref="B36" location="'32-GrossLoad'!A1" display="GrossLoad"/>
    <hyperlink ref="B37" location="'33-RetailRates'!A1" display="RetailRates"/>
    <hyperlink ref="B28" location="'24-CWIPTRR'!A1" display="CWIPTRR"/>
    <hyperlink ref="B39" location="'35-PBOPs'!A1" display="PBOPs"/>
    <hyperlink ref="B38" location="'34-UnfundedReserves'!A1" display="Unfunded Reserves"/>
  </hyperlinks>
  <pageMargins left="0.7" right="0.7" top="0.75" bottom="0.75" header="0.3" footer="0.3"/>
  <pageSetup scale="90" orientation="portrait" cellComments="asDisplayed" r:id="rId1"/>
  <headerFooter>
    <oddHeader>&amp;RTO8 Annual Update (Revised)
Attachment  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4"/>
  <sheetViews>
    <sheetView view="pageLayout" topLeftCell="D1" zoomScaleNormal="85" workbookViewId="0">
      <selection activeCell="L27" sqref="L27"/>
    </sheetView>
  </sheetViews>
  <sheetFormatPr defaultColWidth="9.140625" defaultRowHeight="12.75" x14ac:dyDescent="0.2"/>
  <cols>
    <col min="1" max="1" width="4.7109375" style="765" customWidth="1"/>
    <col min="2" max="2" width="6" style="765" customWidth="1"/>
    <col min="3" max="3" width="15.7109375" style="765" customWidth="1"/>
    <col min="4" max="4" width="9.140625" style="765" customWidth="1"/>
    <col min="5" max="6" width="14.7109375" style="765" customWidth="1"/>
    <col min="7" max="7" width="16" style="765" bestFit="1" customWidth="1"/>
    <col min="8" max="8" width="18.28515625" style="765" customWidth="1"/>
    <col min="9" max="10" width="15.7109375" style="765" customWidth="1"/>
    <col min="11" max="11" width="16.85546875" style="765" customWidth="1"/>
    <col min="12" max="16" width="15.7109375" style="765" customWidth="1"/>
    <col min="17" max="17" width="2.85546875" style="765" customWidth="1"/>
    <col min="18" max="21" width="18.7109375" style="765" customWidth="1"/>
    <col min="22" max="22" width="15.7109375" style="765" customWidth="1"/>
    <col min="23" max="23" width="20.85546875" style="765" bestFit="1" customWidth="1"/>
    <col min="24" max="40" width="15.7109375" style="765" customWidth="1"/>
    <col min="41" max="16384" width="9.140625" style="765"/>
  </cols>
  <sheetData>
    <row r="1" spans="1:40" x14ac:dyDescent="0.2">
      <c r="A1" s="719" t="s">
        <v>1642</v>
      </c>
    </row>
    <row r="2" spans="1:40" x14ac:dyDescent="0.2">
      <c r="F2" s="766" t="s">
        <v>386</v>
      </c>
      <c r="G2" s="766"/>
    </row>
    <row r="3" spans="1:40" x14ac:dyDescent="0.2">
      <c r="B3" s="720" t="s">
        <v>1643</v>
      </c>
    </row>
    <row r="4" spans="1:40" x14ac:dyDescent="0.2">
      <c r="B4" s="720" t="s">
        <v>2421</v>
      </c>
    </row>
    <row r="5" spans="1:40" x14ac:dyDescent="0.2">
      <c r="B5" s="720" t="s">
        <v>2422</v>
      </c>
    </row>
    <row r="6" spans="1:40" x14ac:dyDescent="0.2">
      <c r="B6" s="720"/>
    </row>
    <row r="7" spans="1:40" x14ac:dyDescent="0.2">
      <c r="B7" s="719" t="s">
        <v>2423</v>
      </c>
      <c r="H7" s="720"/>
      <c r="I7" s="720"/>
    </row>
    <row r="8" spans="1:40" x14ac:dyDescent="0.2">
      <c r="B8" s="720"/>
      <c r="E8" s="767" t="s">
        <v>396</v>
      </c>
      <c r="F8" s="767" t="s">
        <v>380</v>
      </c>
      <c r="G8" s="767" t="s">
        <v>381</v>
      </c>
      <c r="H8" s="767" t="s">
        <v>382</v>
      </c>
      <c r="I8" s="767" t="s">
        <v>383</v>
      </c>
      <c r="J8" s="767" t="s">
        <v>384</v>
      </c>
      <c r="K8" s="767" t="s">
        <v>385</v>
      </c>
      <c r="L8" s="767" t="s">
        <v>599</v>
      </c>
      <c r="M8" s="767" t="s">
        <v>1048</v>
      </c>
      <c r="N8" s="767" t="s">
        <v>1064</v>
      </c>
      <c r="O8" s="767" t="s">
        <v>1067</v>
      </c>
      <c r="P8" s="767" t="s">
        <v>1085</v>
      </c>
      <c r="T8" s="767"/>
      <c r="U8" s="767"/>
      <c r="X8" s="768"/>
      <c r="Y8" s="768"/>
      <c r="Z8" s="768"/>
      <c r="AA8" s="768"/>
      <c r="AB8" s="768"/>
      <c r="AC8" s="768"/>
      <c r="AD8" s="768"/>
      <c r="AE8" s="768"/>
      <c r="AF8" s="768"/>
      <c r="AG8" s="768"/>
      <c r="AH8" s="768"/>
      <c r="AI8" s="768"/>
      <c r="AJ8" s="768"/>
      <c r="AK8" s="768"/>
      <c r="AL8" s="768"/>
      <c r="AM8" s="768"/>
      <c r="AN8" s="768"/>
    </row>
    <row r="9" spans="1:40" x14ac:dyDescent="0.2">
      <c r="B9" s="720"/>
      <c r="E9" s="769" t="s">
        <v>237</v>
      </c>
      <c r="F9" s="769" t="s">
        <v>237</v>
      </c>
      <c r="G9" s="769" t="s">
        <v>237</v>
      </c>
      <c r="H9" s="769" t="s">
        <v>237</v>
      </c>
      <c r="I9" s="769" t="s">
        <v>237</v>
      </c>
      <c r="J9" s="769" t="s">
        <v>237</v>
      </c>
      <c r="K9" s="769" t="s">
        <v>237</v>
      </c>
      <c r="L9" s="769" t="s">
        <v>237</v>
      </c>
      <c r="M9" s="769" t="s">
        <v>237</v>
      </c>
      <c r="N9" s="769" t="s">
        <v>237</v>
      </c>
      <c r="O9" s="769" t="s">
        <v>237</v>
      </c>
      <c r="P9" s="769" t="s">
        <v>237</v>
      </c>
      <c r="Q9" s="771"/>
    </row>
    <row r="10" spans="1:40" x14ac:dyDescent="0.2">
      <c r="C10" s="772" t="s">
        <v>219</v>
      </c>
      <c r="E10" s="772" t="s">
        <v>2386</v>
      </c>
      <c r="F10" s="772"/>
      <c r="G10" s="772"/>
      <c r="H10" s="773"/>
      <c r="I10" s="773" t="s">
        <v>2371</v>
      </c>
      <c r="J10" s="773"/>
      <c r="K10" s="773"/>
      <c r="L10" s="773"/>
      <c r="M10" s="773"/>
      <c r="O10" s="772" t="s">
        <v>2386</v>
      </c>
      <c r="P10" s="772" t="s">
        <v>2424</v>
      </c>
      <c r="T10" s="773"/>
      <c r="U10" s="773"/>
      <c r="X10" s="773"/>
      <c r="Y10" s="773"/>
      <c r="Z10" s="773"/>
      <c r="AA10" s="773"/>
      <c r="AB10" s="773"/>
      <c r="AC10" s="773"/>
      <c r="AD10" s="773"/>
      <c r="AE10" s="773"/>
      <c r="AF10" s="773"/>
      <c r="AG10" s="773"/>
      <c r="AH10" s="773"/>
      <c r="AI10" s="773"/>
      <c r="AJ10" s="773"/>
      <c r="AK10" s="773"/>
      <c r="AL10" s="773"/>
      <c r="AM10" s="773"/>
      <c r="AN10" s="773"/>
    </row>
    <row r="11" spans="1:40" x14ac:dyDescent="0.2">
      <c r="B11" s="719"/>
      <c r="C11" s="772" t="s">
        <v>220</v>
      </c>
      <c r="E11" s="772" t="s">
        <v>217</v>
      </c>
      <c r="F11" s="772" t="s">
        <v>2388</v>
      </c>
      <c r="G11" s="773" t="s">
        <v>2389</v>
      </c>
      <c r="H11" s="773" t="s">
        <v>2372</v>
      </c>
      <c r="I11" s="773" t="s">
        <v>2425</v>
      </c>
      <c r="J11" s="773"/>
      <c r="K11" s="773" t="s">
        <v>329</v>
      </c>
      <c r="L11" s="773" t="s">
        <v>1208</v>
      </c>
      <c r="M11" s="773" t="s">
        <v>329</v>
      </c>
      <c r="O11" s="773" t="s">
        <v>1866</v>
      </c>
      <c r="P11" s="773" t="s">
        <v>1866</v>
      </c>
      <c r="T11" s="773"/>
      <c r="U11" s="773"/>
      <c r="X11" s="773"/>
      <c r="Y11" s="773"/>
      <c r="Z11" s="773"/>
      <c r="AA11" s="773"/>
      <c r="AB11" s="773"/>
      <c r="AC11" s="773"/>
      <c r="AD11" s="773"/>
      <c r="AE11" s="773"/>
      <c r="AF11" s="773"/>
      <c r="AG11" s="773"/>
      <c r="AH11" s="773"/>
      <c r="AI11" s="773"/>
      <c r="AJ11" s="773"/>
      <c r="AK11" s="773"/>
      <c r="AL11" s="773"/>
      <c r="AM11" s="773"/>
      <c r="AN11" s="773"/>
    </row>
    <row r="12" spans="1:40" x14ac:dyDescent="0.2">
      <c r="A12" s="774" t="s">
        <v>362</v>
      </c>
      <c r="C12" s="755" t="s">
        <v>213</v>
      </c>
      <c r="D12" s="755" t="s">
        <v>214</v>
      </c>
      <c r="E12" s="768" t="s">
        <v>2392</v>
      </c>
      <c r="F12" s="768" t="s">
        <v>2393</v>
      </c>
      <c r="G12" s="775" t="s">
        <v>2394</v>
      </c>
      <c r="H12" s="775" t="s">
        <v>1120</v>
      </c>
      <c r="I12" s="775" t="s">
        <v>1106</v>
      </c>
      <c r="J12" s="775" t="s">
        <v>2371</v>
      </c>
      <c r="K12" s="775" t="s">
        <v>510</v>
      </c>
      <c r="L12" s="775" t="s">
        <v>2377</v>
      </c>
      <c r="M12" s="775" t="s">
        <v>1526</v>
      </c>
      <c r="N12" s="775" t="s">
        <v>1095</v>
      </c>
      <c r="O12" s="775" t="s">
        <v>1106</v>
      </c>
      <c r="P12" s="775" t="s">
        <v>1106</v>
      </c>
      <c r="T12" s="775"/>
      <c r="U12" s="775"/>
      <c r="V12" s="775"/>
      <c r="W12" s="775"/>
      <c r="X12" s="775"/>
      <c r="Y12" s="775"/>
      <c r="Z12" s="775"/>
      <c r="AA12" s="775"/>
      <c r="AB12" s="775"/>
      <c r="AC12" s="775"/>
      <c r="AD12" s="775"/>
      <c r="AE12" s="775"/>
      <c r="AF12" s="775"/>
      <c r="AG12" s="775"/>
      <c r="AH12" s="775"/>
      <c r="AI12" s="775"/>
      <c r="AJ12" s="775"/>
      <c r="AK12" s="775"/>
      <c r="AL12" s="775"/>
      <c r="AM12" s="775"/>
      <c r="AN12" s="775"/>
    </row>
    <row r="13" spans="1:40" x14ac:dyDescent="0.2">
      <c r="A13" s="772">
        <v>1</v>
      </c>
      <c r="C13" s="765" t="str">
        <f>C45</f>
        <v>January</v>
      </c>
      <c r="D13" s="1120">
        <f>D45</f>
        <v>2013</v>
      </c>
      <c r="E13" s="717">
        <f t="shared" ref="E13:P13" si="0">E45+E76</f>
        <v>149898114.77707523</v>
      </c>
      <c r="F13" s="717">
        <f t="shared" si="0"/>
        <v>295022532.56000024</v>
      </c>
      <c r="G13" s="717">
        <f t="shared" si="0"/>
        <v>-10884331.333719375</v>
      </c>
      <c r="H13" s="717">
        <f t="shared" si="0"/>
        <v>410125.49950845714</v>
      </c>
      <c r="I13" s="717">
        <f t="shared" si="0"/>
        <v>4716443.2443472566</v>
      </c>
      <c r="J13" s="717">
        <f t="shared" si="0"/>
        <v>141493.2973304177</v>
      </c>
      <c r="K13" s="717">
        <f t="shared" si="0"/>
        <v>138745151.24117783</v>
      </c>
      <c r="L13" s="717">
        <f t="shared" si="0"/>
        <v>0</v>
      </c>
      <c r="M13" s="717">
        <f t="shared" si="0"/>
        <v>0</v>
      </c>
      <c r="N13" s="717">
        <f t="shared" si="0"/>
        <v>138745151.24117783</v>
      </c>
      <c r="O13" s="717">
        <f t="shared" si="0"/>
        <v>0</v>
      </c>
      <c r="P13" s="717">
        <f t="shared" si="0"/>
        <v>0</v>
      </c>
      <c r="T13" s="776"/>
      <c r="U13" s="776"/>
      <c r="V13" s="777"/>
      <c r="W13" s="776"/>
      <c r="X13" s="778"/>
      <c r="Y13" s="560"/>
      <c r="Z13" s="776"/>
      <c r="AA13" s="776"/>
      <c r="AB13" s="776"/>
      <c r="AC13" s="776"/>
      <c r="AD13" s="776"/>
      <c r="AE13" s="776"/>
      <c r="AF13" s="776"/>
      <c r="AG13" s="776"/>
      <c r="AH13" s="776"/>
      <c r="AI13" s="776"/>
      <c r="AJ13" s="776"/>
      <c r="AK13" s="776"/>
      <c r="AL13" s="776"/>
      <c r="AM13" s="776"/>
      <c r="AN13" s="776"/>
    </row>
    <row r="14" spans="1:40" x14ac:dyDescent="0.2">
      <c r="A14" s="772">
        <f>A13+1</f>
        <v>2</v>
      </c>
      <c r="C14" s="765" t="str">
        <f t="shared" ref="C14:D29" si="1">C46</f>
        <v>February</v>
      </c>
      <c r="D14" s="1120">
        <f t="shared" si="1"/>
        <v>2013</v>
      </c>
      <c r="E14" s="717">
        <f t="shared" ref="E14:P14" si="2">E46+E77</f>
        <v>29778201.914475039</v>
      </c>
      <c r="F14" s="717">
        <f t="shared" si="2"/>
        <v>24149746.577399962</v>
      </c>
      <c r="G14" s="717">
        <f t="shared" si="2"/>
        <v>422134.15028063086</v>
      </c>
      <c r="H14" s="717">
        <f t="shared" si="2"/>
        <v>481256.13820845674</v>
      </c>
      <c r="I14" s="717">
        <f t="shared" si="2"/>
        <v>5534445.5893972525</v>
      </c>
      <c r="J14" s="717">
        <f t="shared" si="2"/>
        <v>166033.36768191756</v>
      </c>
      <c r="K14" s="717">
        <f t="shared" si="2"/>
        <v>168630264.53540695</v>
      </c>
      <c r="L14" s="717">
        <f t="shared" si="2"/>
        <v>290024.30425587558</v>
      </c>
      <c r="M14" s="717">
        <f t="shared" si="2"/>
        <v>290024.30425587558</v>
      </c>
      <c r="N14" s="717">
        <f t="shared" si="2"/>
        <v>168340240.23115107</v>
      </c>
      <c r="O14" s="717">
        <f t="shared" si="2"/>
        <v>0</v>
      </c>
      <c r="P14" s="717">
        <f t="shared" si="2"/>
        <v>0</v>
      </c>
      <c r="T14" s="776"/>
      <c r="U14" s="776"/>
      <c r="V14" s="777"/>
      <c r="W14" s="776"/>
      <c r="X14" s="778"/>
      <c r="Y14" s="560"/>
      <c r="Z14" s="776"/>
      <c r="AA14" s="776"/>
      <c r="AB14" s="776"/>
      <c r="AC14" s="776"/>
      <c r="AD14" s="776"/>
      <c r="AE14" s="776"/>
      <c r="AF14" s="776"/>
      <c r="AG14" s="776"/>
      <c r="AH14" s="776"/>
      <c r="AI14" s="776"/>
      <c r="AJ14" s="776"/>
      <c r="AK14" s="776"/>
      <c r="AL14" s="776"/>
      <c r="AM14" s="776"/>
      <c r="AN14" s="776"/>
    </row>
    <row r="15" spans="1:40" x14ac:dyDescent="0.2">
      <c r="A15" s="772">
        <f t="shared" ref="A15:A37" si="3">A14+1</f>
        <v>3</v>
      </c>
      <c r="C15" s="765" t="str">
        <f t="shared" si="1"/>
        <v>March</v>
      </c>
      <c r="D15" s="1120">
        <f t="shared" si="1"/>
        <v>2013</v>
      </c>
      <c r="E15" s="717">
        <f t="shared" ref="E15:P15" si="4">E47+E78</f>
        <v>6757128.6170750819</v>
      </c>
      <c r="F15" s="717">
        <f t="shared" si="4"/>
        <v>1822508.7900000007</v>
      </c>
      <c r="G15" s="717">
        <f t="shared" si="4"/>
        <v>370096.48703063105</v>
      </c>
      <c r="H15" s="717">
        <f t="shared" si="4"/>
        <v>410125.49950845697</v>
      </c>
      <c r="I15" s="717">
        <f t="shared" si="4"/>
        <v>4716443.2443472547</v>
      </c>
      <c r="J15" s="717">
        <f t="shared" si="4"/>
        <v>141493.29733041764</v>
      </c>
      <c r="K15" s="717">
        <f t="shared" si="4"/>
        <v>175488857.43733463</v>
      </c>
      <c r="L15" s="717">
        <f t="shared" si="4"/>
        <v>352494.30132049689</v>
      </c>
      <c r="M15" s="717">
        <f t="shared" si="4"/>
        <v>642518.60557637247</v>
      </c>
      <c r="N15" s="717">
        <f t="shared" si="4"/>
        <v>174846338.83175826</v>
      </c>
      <c r="O15" s="717">
        <f t="shared" si="4"/>
        <v>0</v>
      </c>
      <c r="P15" s="717">
        <f t="shared" si="4"/>
        <v>0</v>
      </c>
      <c r="T15" s="776"/>
      <c r="U15" s="776"/>
      <c r="V15" s="777"/>
      <c r="W15" s="776"/>
      <c r="X15" s="778"/>
      <c r="Y15" s="560"/>
      <c r="Z15" s="776"/>
      <c r="AA15" s="776"/>
      <c r="AB15" s="776"/>
      <c r="AC15" s="776"/>
      <c r="AD15" s="776"/>
      <c r="AE15" s="776"/>
      <c r="AF15" s="776"/>
      <c r="AG15" s="776"/>
      <c r="AH15" s="776"/>
      <c r="AI15" s="776"/>
      <c r="AJ15" s="776"/>
      <c r="AK15" s="776"/>
      <c r="AL15" s="776"/>
      <c r="AM15" s="776"/>
      <c r="AN15" s="776"/>
    </row>
    <row r="16" spans="1:40" x14ac:dyDescent="0.2">
      <c r="A16" s="772">
        <f t="shared" si="3"/>
        <v>4</v>
      </c>
      <c r="C16" s="765" t="str">
        <f t="shared" si="1"/>
        <v>April</v>
      </c>
      <c r="D16" s="1120">
        <f t="shared" si="1"/>
        <v>2013</v>
      </c>
      <c r="E16" s="717">
        <f t="shared" ref="E16:P16" si="5">E48+E79</f>
        <v>26815631.40374846</v>
      </c>
      <c r="F16" s="717">
        <f t="shared" si="5"/>
        <v>12162469.13288</v>
      </c>
      <c r="G16" s="717">
        <f t="shared" si="5"/>
        <v>1098987.1703151346</v>
      </c>
      <c r="H16" s="717">
        <f t="shared" si="5"/>
        <v>1254455.4395084577</v>
      </c>
      <c r="I16" s="717">
        <f t="shared" si="5"/>
        <v>14426237.554347262</v>
      </c>
      <c r="J16" s="717">
        <f t="shared" si="5"/>
        <v>432787.12663041783</v>
      </c>
      <c r="K16" s="717">
        <f t="shared" si="5"/>
        <v>202581807.69852018</v>
      </c>
      <c r="L16" s="717">
        <f t="shared" si="5"/>
        <v>366831.08078097802</v>
      </c>
      <c r="M16" s="717">
        <f t="shared" si="5"/>
        <v>1009349.6863573506</v>
      </c>
      <c r="N16" s="717">
        <f t="shared" si="5"/>
        <v>201572458.01216283</v>
      </c>
      <c r="O16" s="717">
        <f t="shared" si="5"/>
        <v>0</v>
      </c>
      <c r="P16" s="717">
        <f t="shared" si="5"/>
        <v>0</v>
      </c>
      <c r="T16" s="776"/>
      <c r="U16" s="776"/>
      <c r="V16" s="777"/>
      <c r="W16" s="776"/>
      <c r="X16" s="778"/>
      <c r="Y16" s="560"/>
      <c r="Z16" s="776"/>
      <c r="AA16" s="776"/>
      <c r="AB16" s="776"/>
      <c r="AC16" s="776"/>
      <c r="AD16" s="776"/>
      <c r="AE16" s="776"/>
      <c r="AF16" s="776"/>
      <c r="AG16" s="776"/>
      <c r="AH16" s="776"/>
      <c r="AI16" s="776"/>
      <c r="AJ16" s="776"/>
      <c r="AK16" s="776"/>
      <c r="AL16" s="776"/>
      <c r="AM16" s="776"/>
      <c r="AN16" s="776"/>
    </row>
    <row r="17" spans="1:40" x14ac:dyDescent="0.2">
      <c r="A17" s="772">
        <f t="shared" si="3"/>
        <v>5</v>
      </c>
      <c r="C17" s="765" t="str">
        <f t="shared" si="1"/>
        <v>May</v>
      </c>
      <c r="D17" s="1120">
        <f t="shared" si="1"/>
        <v>2013</v>
      </c>
      <c r="E17" s="717">
        <f t="shared" ref="E17:P17" si="6">E49+E80</f>
        <v>608501034.47590506</v>
      </c>
      <c r="F17" s="717">
        <f t="shared" si="6"/>
        <v>405770140.99440044</v>
      </c>
      <c r="G17" s="717">
        <f t="shared" si="6"/>
        <v>15204817.011112845</v>
      </c>
      <c r="H17" s="717">
        <f t="shared" si="6"/>
        <v>966259.20550845703</v>
      </c>
      <c r="I17" s="717">
        <f t="shared" si="6"/>
        <v>11111980.863347255</v>
      </c>
      <c r="J17" s="717">
        <f t="shared" si="6"/>
        <v>333359.42590041761</v>
      </c>
      <c r="K17" s="717">
        <f t="shared" si="6"/>
        <v>825654759.40593004</v>
      </c>
      <c r="L17" s="717">
        <f t="shared" si="6"/>
        <v>423464.51250415691</v>
      </c>
      <c r="M17" s="717">
        <f t="shared" si="6"/>
        <v>1432814.1988615075</v>
      </c>
      <c r="N17" s="717">
        <f t="shared" si="6"/>
        <v>824221945.20706856</v>
      </c>
      <c r="O17" s="717">
        <f t="shared" si="6"/>
        <v>0</v>
      </c>
      <c r="P17" s="717">
        <f t="shared" si="6"/>
        <v>0</v>
      </c>
      <c r="T17" s="776"/>
      <c r="U17" s="776"/>
      <c r="V17" s="777"/>
      <c r="W17" s="776"/>
      <c r="X17" s="778"/>
      <c r="Y17" s="560"/>
      <c r="Z17" s="776"/>
      <c r="AA17" s="776"/>
      <c r="AB17" s="776"/>
      <c r="AC17" s="776"/>
      <c r="AD17" s="776"/>
      <c r="AE17" s="776"/>
      <c r="AF17" s="776"/>
      <c r="AG17" s="776"/>
      <c r="AH17" s="776"/>
      <c r="AI17" s="776"/>
      <c r="AJ17" s="776"/>
      <c r="AK17" s="776"/>
      <c r="AL17" s="776"/>
      <c r="AM17" s="776"/>
      <c r="AN17" s="776"/>
    </row>
    <row r="18" spans="1:40" x14ac:dyDescent="0.2">
      <c r="A18" s="772">
        <f t="shared" si="3"/>
        <v>6</v>
      </c>
      <c r="C18" s="765" t="str">
        <f t="shared" si="1"/>
        <v xml:space="preserve">June </v>
      </c>
      <c r="D18" s="1120">
        <f t="shared" si="1"/>
        <v>2013</v>
      </c>
      <c r="E18" s="717">
        <f t="shared" ref="E18:P18" si="7">E50+E81</f>
        <v>322426199.64442885</v>
      </c>
      <c r="F18" s="717">
        <f t="shared" si="7"/>
        <v>212693310.63799998</v>
      </c>
      <c r="G18" s="717">
        <f t="shared" si="7"/>
        <v>8229966.6754821679</v>
      </c>
      <c r="H18" s="717">
        <f t="shared" si="7"/>
        <v>1296485.1875084583</v>
      </c>
      <c r="I18" s="717">
        <f t="shared" si="7"/>
        <v>14909579.656347271</v>
      </c>
      <c r="J18" s="717">
        <f t="shared" si="7"/>
        <v>447287.38969041809</v>
      </c>
      <c r="K18" s="717">
        <f t="shared" si="7"/>
        <v>1155461727.9280231</v>
      </c>
      <c r="L18" s="717">
        <f t="shared" si="7"/>
        <v>1725897.7701931284</v>
      </c>
      <c r="M18" s="717">
        <f t="shared" si="7"/>
        <v>3158711.9690546361</v>
      </c>
      <c r="N18" s="717">
        <f>N50+N81</f>
        <v>1152303015.9589684</v>
      </c>
      <c r="O18" s="717">
        <f t="shared" si="7"/>
        <v>3222820.86</v>
      </c>
      <c r="P18" s="717">
        <f t="shared" si="7"/>
        <v>3276319.686276</v>
      </c>
      <c r="T18" s="776"/>
      <c r="U18" s="776"/>
      <c r="V18" s="777"/>
      <c r="W18" s="776"/>
      <c r="X18" s="778"/>
      <c r="Y18" s="560"/>
      <c r="Z18" s="776"/>
      <c r="AA18" s="776"/>
      <c r="AB18" s="776"/>
      <c r="AC18" s="776"/>
      <c r="AD18" s="776"/>
      <c r="AE18" s="776"/>
      <c r="AF18" s="776"/>
      <c r="AG18" s="776"/>
      <c r="AH18" s="776"/>
      <c r="AI18" s="776"/>
      <c r="AJ18" s="776"/>
      <c r="AK18" s="776"/>
      <c r="AL18" s="776"/>
      <c r="AM18" s="776"/>
      <c r="AN18" s="776"/>
    </row>
    <row r="19" spans="1:40" x14ac:dyDescent="0.2">
      <c r="A19" s="772">
        <f t="shared" si="3"/>
        <v>7</v>
      </c>
      <c r="C19" s="765" t="str">
        <f t="shared" si="1"/>
        <v>July</v>
      </c>
      <c r="D19" s="1120">
        <f t="shared" si="1"/>
        <v>2013</v>
      </c>
      <c r="E19" s="717">
        <f t="shared" ref="E19:P19" si="8">E51+E82</f>
        <v>213714434.75142249</v>
      </c>
      <c r="F19" s="717">
        <f t="shared" si="8"/>
        <v>136564610.29300007</v>
      </c>
      <c r="G19" s="717">
        <f t="shared" si="8"/>
        <v>5786236.8343816819</v>
      </c>
      <c r="H19" s="717">
        <f t="shared" si="8"/>
        <v>638025.49950845551</v>
      </c>
      <c r="I19" s="717">
        <f t="shared" si="8"/>
        <v>7337293.2443472389</v>
      </c>
      <c r="J19" s="717">
        <f t="shared" si="8"/>
        <v>220118.79733041715</v>
      </c>
      <c r="K19" s="717">
        <f t="shared" si="8"/>
        <v>1374544492.8116491</v>
      </c>
      <c r="L19" s="717">
        <f t="shared" si="8"/>
        <v>2415305.9097113851</v>
      </c>
      <c r="M19" s="717">
        <f t="shared" si="8"/>
        <v>5574017.8787660208</v>
      </c>
      <c r="N19" s="717">
        <f t="shared" si="8"/>
        <v>1368970474.9328833</v>
      </c>
      <c r="O19" s="717">
        <f t="shared" si="8"/>
        <v>3472820.86</v>
      </c>
      <c r="P19" s="717">
        <f t="shared" si="8"/>
        <v>3530469.686276</v>
      </c>
      <c r="T19" s="776"/>
      <c r="U19" s="776"/>
      <c r="V19" s="777"/>
      <c r="W19" s="776"/>
      <c r="X19" s="778"/>
      <c r="Y19" s="560"/>
      <c r="Z19" s="776"/>
      <c r="AA19" s="776"/>
      <c r="AB19" s="776"/>
      <c r="AC19" s="776"/>
      <c r="AD19" s="776"/>
      <c r="AE19" s="776"/>
      <c r="AF19" s="776"/>
      <c r="AG19" s="776"/>
      <c r="AH19" s="776"/>
      <c r="AI19" s="776"/>
      <c r="AJ19" s="776"/>
      <c r="AK19" s="776"/>
      <c r="AL19" s="776"/>
      <c r="AM19" s="776"/>
      <c r="AN19" s="776"/>
    </row>
    <row r="20" spans="1:40" x14ac:dyDescent="0.2">
      <c r="A20" s="772">
        <f t="shared" si="3"/>
        <v>8</v>
      </c>
      <c r="C20" s="765" t="str">
        <f t="shared" si="1"/>
        <v>August</v>
      </c>
      <c r="D20" s="1120">
        <f t="shared" si="1"/>
        <v>2013</v>
      </c>
      <c r="E20" s="717">
        <f t="shared" ref="E20:P20" si="9">E52+E83</f>
        <v>34999960.426524162</v>
      </c>
      <c r="F20" s="717">
        <f t="shared" si="9"/>
        <v>16311156.609999999</v>
      </c>
      <c r="G20" s="717">
        <f t="shared" si="9"/>
        <v>1401660.2862393127</v>
      </c>
      <c r="H20" s="717">
        <f t="shared" si="9"/>
        <v>585659.15350845887</v>
      </c>
      <c r="I20" s="717">
        <f t="shared" si="9"/>
        <v>6735080.2653472759</v>
      </c>
      <c r="J20" s="717">
        <f t="shared" si="9"/>
        <v>202052.40796041826</v>
      </c>
      <c r="K20" s="717">
        <f t="shared" si="9"/>
        <v>1410562506.7788646</v>
      </c>
      <c r="L20" s="717">
        <f t="shared" si="9"/>
        <v>2873263.0050867624</v>
      </c>
      <c r="M20" s="717">
        <f t="shared" si="9"/>
        <v>8447280.8838527836</v>
      </c>
      <c r="N20" s="717">
        <f t="shared" si="9"/>
        <v>1402115225.8950119</v>
      </c>
      <c r="O20" s="717">
        <f t="shared" si="9"/>
        <v>3472820.86</v>
      </c>
      <c r="P20" s="717">
        <f t="shared" si="9"/>
        <v>3530469.686276</v>
      </c>
      <c r="T20" s="776"/>
      <c r="U20" s="776"/>
      <c r="V20" s="777"/>
      <c r="W20" s="776"/>
      <c r="X20" s="778"/>
      <c r="Y20" s="560"/>
      <c r="Z20" s="776"/>
      <c r="AA20" s="776"/>
      <c r="AB20" s="776"/>
      <c r="AC20" s="776"/>
      <c r="AD20" s="776"/>
      <c r="AE20" s="776"/>
      <c r="AF20" s="776"/>
      <c r="AG20" s="776"/>
      <c r="AH20" s="776"/>
      <c r="AI20" s="776"/>
      <c r="AJ20" s="776"/>
      <c r="AK20" s="776"/>
      <c r="AL20" s="776"/>
      <c r="AM20" s="776"/>
      <c r="AN20" s="776"/>
    </row>
    <row r="21" spans="1:40" x14ac:dyDescent="0.2">
      <c r="A21" s="772">
        <f t="shared" si="3"/>
        <v>9</v>
      </c>
      <c r="C21" s="765" t="str">
        <f t="shared" si="1"/>
        <v>September</v>
      </c>
      <c r="D21" s="1120">
        <f t="shared" si="1"/>
        <v>2013</v>
      </c>
      <c r="E21" s="717">
        <f t="shared" ref="E21:P21" si="10">E53+E84</f>
        <v>238701512.52540872</v>
      </c>
      <c r="F21" s="717">
        <f t="shared" si="10"/>
        <v>169831199.51800036</v>
      </c>
      <c r="G21" s="717">
        <f t="shared" si="10"/>
        <v>5165273.4755556267</v>
      </c>
      <c r="H21" s="717">
        <f t="shared" si="10"/>
        <v>410125.49950845668</v>
      </c>
      <c r="I21" s="717">
        <f t="shared" si="10"/>
        <v>4716443.244347252</v>
      </c>
      <c r="J21" s="717">
        <f t="shared" si="10"/>
        <v>141493.29733041755</v>
      </c>
      <c r="K21" s="717">
        <f t="shared" si="10"/>
        <v>1654160660.577651</v>
      </c>
      <c r="L21" s="717">
        <f t="shared" si="10"/>
        <v>2948552.8393481546</v>
      </c>
      <c r="M21" s="717">
        <f t="shared" si="10"/>
        <v>11395833.723200938</v>
      </c>
      <c r="N21" s="717">
        <f t="shared" si="10"/>
        <v>1642764826.8544502</v>
      </c>
      <c r="O21" s="717">
        <f t="shared" si="10"/>
        <v>3472820.86</v>
      </c>
      <c r="P21" s="717">
        <f t="shared" si="10"/>
        <v>3530469.686276</v>
      </c>
      <c r="T21" s="776"/>
      <c r="U21" s="776"/>
      <c r="V21" s="777"/>
      <c r="W21" s="776"/>
      <c r="X21" s="778"/>
      <c r="Y21" s="560"/>
      <c r="Z21" s="776"/>
      <c r="AA21" s="776"/>
      <c r="AB21" s="776"/>
      <c r="AC21" s="776"/>
      <c r="AD21" s="776"/>
      <c r="AE21" s="776"/>
      <c r="AF21" s="776"/>
      <c r="AG21" s="776"/>
      <c r="AH21" s="776"/>
      <c r="AI21" s="776"/>
      <c r="AJ21" s="776"/>
      <c r="AK21" s="776"/>
      <c r="AL21" s="776"/>
      <c r="AM21" s="776"/>
      <c r="AN21" s="776"/>
    </row>
    <row r="22" spans="1:40" x14ac:dyDescent="0.2">
      <c r="A22" s="772">
        <f t="shared" si="3"/>
        <v>10</v>
      </c>
      <c r="C22" s="765" t="str">
        <f t="shared" si="1"/>
        <v xml:space="preserve">October </v>
      </c>
      <c r="D22" s="1120">
        <f t="shared" si="1"/>
        <v>2013</v>
      </c>
      <c r="E22" s="717">
        <f t="shared" ref="E22:P22" si="11">E54+E85</f>
        <v>24062859.310335368</v>
      </c>
      <c r="F22" s="717">
        <f t="shared" si="11"/>
        <v>9060699.5400000028</v>
      </c>
      <c r="G22" s="717">
        <f t="shared" si="11"/>
        <v>1125161.9827751524</v>
      </c>
      <c r="H22" s="717">
        <f t="shared" si="11"/>
        <v>435065.499508459</v>
      </c>
      <c r="I22" s="717">
        <f t="shared" si="11"/>
        <v>5003253.244347278</v>
      </c>
      <c r="J22" s="717">
        <f t="shared" si="11"/>
        <v>150097.59733041833</v>
      </c>
      <c r="K22" s="717">
        <f t="shared" si="11"/>
        <v>1679063713.9685833</v>
      </c>
      <c r="L22" s="717">
        <f t="shared" si="11"/>
        <v>3457755.3912319345</v>
      </c>
      <c r="M22" s="717">
        <f t="shared" si="11"/>
        <v>14853589.114432873</v>
      </c>
      <c r="N22" s="717">
        <f t="shared" si="11"/>
        <v>1664210124.8541505</v>
      </c>
      <c r="O22" s="717">
        <f t="shared" si="11"/>
        <v>3472820.86</v>
      </c>
      <c r="P22" s="717">
        <f t="shared" si="11"/>
        <v>3530469.686276</v>
      </c>
      <c r="T22" s="776"/>
      <c r="U22" s="776"/>
      <c r="V22" s="777"/>
      <c r="W22" s="776"/>
      <c r="X22" s="778"/>
      <c r="Y22" s="560"/>
      <c r="Z22" s="776"/>
      <c r="AA22" s="776"/>
      <c r="AB22" s="776"/>
      <c r="AC22" s="776"/>
      <c r="AD22" s="776"/>
      <c r="AE22" s="776"/>
      <c r="AF22" s="776"/>
      <c r="AG22" s="776"/>
      <c r="AH22" s="776"/>
      <c r="AI22" s="776"/>
      <c r="AJ22" s="776"/>
      <c r="AK22" s="776"/>
      <c r="AL22" s="776"/>
      <c r="AM22" s="776"/>
      <c r="AN22" s="776"/>
    </row>
    <row r="23" spans="1:40" x14ac:dyDescent="0.2">
      <c r="A23" s="772">
        <f t="shared" si="3"/>
        <v>11</v>
      </c>
      <c r="C23" s="765" t="str">
        <f t="shared" si="1"/>
        <v>November</v>
      </c>
      <c r="D23" s="1120">
        <f t="shared" si="1"/>
        <v>2013</v>
      </c>
      <c r="E23" s="717">
        <f t="shared" ref="E23:P23" si="12">E55+E86</f>
        <v>224977361.97708914</v>
      </c>
      <c r="F23" s="717">
        <f t="shared" si="12"/>
        <v>111091694.4000003</v>
      </c>
      <c r="G23" s="717">
        <f t="shared" si="12"/>
        <v>8541425.0682816617</v>
      </c>
      <c r="H23" s="717">
        <f t="shared" si="12"/>
        <v>410125.49950845406</v>
      </c>
      <c r="I23" s="717">
        <f t="shared" si="12"/>
        <v>4716443.2443472212</v>
      </c>
      <c r="J23" s="717">
        <f t="shared" si="12"/>
        <v>141493.29733041662</v>
      </c>
      <c r="K23" s="717">
        <f t="shared" si="12"/>
        <v>1912313868.8117762</v>
      </c>
      <c r="L23" s="717">
        <f t="shared" si="12"/>
        <v>3509811.1976434854</v>
      </c>
      <c r="M23" s="717">
        <f t="shared" si="12"/>
        <v>18363400.31207636</v>
      </c>
      <c r="N23" s="717">
        <f t="shared" si="12"/>
        <v>1893950468.4996996</v>
      </c>
      <c r="O23" s="717">
        <f t="shared" si="12"/>
        <v>3472820.86</v>
      </c>
      <c r="P23" s="717">
        <f t="shared" si="12"/>
        <v>3530469.686276</v>
      </c>
      <c r="T23" s="776"/>
      <c r="U23" s="776"/>
      <c r="V23" s="777"/>
      <c r="W23" s="776"/>
      <c r="X23" s="778"/>
      <c r="Y23" s="560"/>
      <c r="Z23" s="776"/>
      <c r="AA23" s="776"/>
      <c r="AB23" s="776"/>
      <c r="AC23" s="776"/>
      <c r="AD23" s="776"/>
      <c r="AE23" s="776"/>
      <c r="AF23" s="776"/>
      <c r="AG23" s="776"/>
      <c r="AH23" s="776"/>
      <c r="AI23" s="776"/>
      <c r="AJ23" s="776"/>
      <c r="AK23" s="776"/>
      <c r="AL23" s="776"/>
      <c r="AM23" s="776"/>
      <c r="AN23" s="776"/>
    </row>
    <row r="24" spans="1:40" x14ac:dyDescent="0.2">
      <c r="A24" s="772">
        <f t="shared" si="3"/>
        <v>12</v>
      </c>
      <c r="C24" s="765" t="str">
        <f t="shared" si="1"/>
        <v>December</v>
      </c>
      <c r="D24" s="1120">
        <f t="shared" si="1"/>
        <v>2013</v>
      </c>
      <c r="E24" s="717">
        <f t="shared" ref="E24:P24" si="13">E56+E87</f>
        <v>179095737.96186888</v>
      </c>
      <c r="F24" s="717">
        <f t="shared" si="13"/>
        <v>93741660.790100753</v>
      </c>
      <c r="G24" s="717">
        <f t="shared" si="13"/>
        <v>6401555.7878826074</v>
      </c>
      <c r="H24" s="717">
        <f t="shared" si="13"/>
        <v>1117463.6272084573</v>
      </c>
      <c r="I24" s="717">
        <f t="shared" si="13"/>
        <v>12850831.71289726</v>
      </c>
      <c r="J24" s="717">
        <f t="shared" si="13"/>
        <v>385524.95138691779</v>
      </c>
      <c r="K24" s="717">
        <f t="shared" si="13"/>
        <v>2097079223.8857062</v>
      </c>
      <c r="L24" s="717">
        <f t="shared" si="13"/>
        <v>3997382.9309315248</v>
      </c>
      <c r="M24" s="717">
        <f t="shared" si="13"/>
        <v>22360783.243007883</v>
      </c>
      <c r="N24" s="717">
        <f t="shared" si="13"/>
        <v>2074718440.642698</v>
      </c>
      <c r="O24" s="717">
        <f t="shared" si="13"/>
        <v>3472820.86</v>
      </c>
      <c r="P24" s="717">
        <f t="shared" si="13"/>
        <v>3530469.686276</v>
      </c>
      <c r="T24" s="776"/>
      <c r="U24" s="776"/>
      <c r="V24" s="777"/>
      <c r="W24" s="776"/>
      <c r="X24" s="778"/>
      <c r="Y24" s="560"/>
      <c r="Z24" s="776"/>
      <c r="AA24" s="776"/>
      <c r="AB24" s="776"/>
      <c r="AC24" s="776"/>
      <c r="AD24" s="776"/>
      <c r="AE24" s="776"/>
      <c r="AF24" s="776"/>
      <c r="AG24" s="776"/>
      <c r="AH24" s="776"/>
      <c r="AI24" s="776"/>
      <c r="AJ24" s="776"/>
      <c r="AK24" s="776"/>
      <c r="AL24" s="776"/>
      <c r="AM24" s="776"/>
      <c r="AN24" s="776"/>
    </row>
    <row r="25" spans="1:40" x14ac:dyDescent="0.2">
      <c r="A25" s="772">
        <f t="shared" si="3"/>
        <v>13</v>
      </c>
      <c r="C25" s="765" t="str">
        <f t="shared" si="1"/>
        <v>January</v>
      </c>
      <c r="D25" s="1120">
        <f t="shared" si="1"/>
        <v>2014</v>
      </c>
      <c r="E25" s="717">
        <f t="shared" ref="E25:P25" si="14">E57+E88</f>
        <v>19345283.695607759</v>
      </c>
      <c r="F25" s="717">
        <f t="shared" si="14"/>
        <v>311404.80000000005</v>
      </c>
      <c r="G25" s="717">
        <f t="shared" si="14"/>
        <v>1427540.9171705819</v>
      </c>
      <c r="H25" s="717">
        <f t="shared" si="14"/>
        <v>376226.78988493374</v>
      </c>
      <c r="I25" s="717">
        <f t="shared" si="14"/>
        <v>4326608.0836767387</v>
      </c>
      <c r="J25" s="717">
        <f t="shared" si="14"/>
        <v>129798.24251030215</v>
      </c>
      <c r="K25" s="717">
        <f t="shared" si="14"/>
        <v>2117605619.9511099</v>
      </c>
      <c r="L25" s="717">
        <f t="shared" si="14"/>
        <v>4383605.0300574116</v>
      </c>
      <c r="M25" s="717">
        <f t="shared" si="14"/>
        <v>26744388.273065295</v>
      </c>
      <c r="N25" s="717">
        <f t="shared" si="14"/>
        <v>2090861231.6780446</v>
      </c>
      <c r="O25" s="717">
        <f t="shared" si="14"/>
        <v>3472820.86</v>
      </c>
      <c r="P25" s="717">
        <f t="shared" si="14"/>
        <v>3530469.686276</v>
      </c>
      <c r="T25" s="776"/>
      <c r="U25" s="776"/>
      <c r="V25" s="777"/>
      <c r="W25" s="776"/>
      <c r="X25" s="778"/>
      <c r="Y25" s="560"/>
      <c r="Z25" s="776"/>
      <c r="AA25" s="776"/>
      <c r="AB25" s="776"/>
      <c r="AC25" s="776"/>
      <c r="AD25" s="776"/>
      <c r="AE25" s="776"/>
      <c r="AF25" s="776"/>
      <c r="AG25" s="776"/>
      <c r="AH25" s="776"/>
      <c r="AI25" s="776"/>
      <c r="AJ25" s="776"/>
      <c r="AK25" s="776"/>
      <c r="AL25" s="776"/>
      <c r="AM25" s="776"/>
      <c r="AN25" s="776"/>
    </row>
    <row r="26" spans="1:40" x14ac:dyDescent="0.2">
      <c r="A26" s="772">
        <f t="shared" si="3"/>
        <v>14</v>
      </c>
      <c r="C26" s="765" t="str">
        <f t="shared" si="1"/>
        <v>February</v>
      </c>
      <c r="D26" s="1120">
        <f t="shared" si="1"/>
        <v>2014</v>
      </c>
      <c r="E26" s="717">
        <f t="shared" ref="E26:P26" si="15">E58+E89</f>
        <v>16190986.655607758</v>
      </c>
      <c r="F26" s="717">
        <f t="shared" si="15"/>
        <v>370817.76</v>
      </c>
      <c r="G26" s="717">
        <f t="shared" si="15"/>
        <v>1186512.6671705816</v>
      </c>
      <c r="H26" s="717">
        <f t="shared" si="15"/>
        <v>376226.78988493374</v>
      </c>
      <c r="I26" s="717">
        <f t="shared" si="15"/>
        <v>4326608.0836767387</v>
      </c>
      <c r="J26" s="717">
        <f t="shared" si="15"/>
        <v>129798.24251030215</v>
      </c>
      <c r="K26" s="717">
        <f t="shared" si="15"/>
        <v>2134736690.7265136</v>
      </c>
      <c r="L26" s="717">
        <f t="shared" si="15"/>
        <v>4426512.1420140741</v>
      </c>
      <c r="M26" s="717">
        <f t="shared" si="15"/>
        <v>31170900.41507937</v>
      </c>
      <c r="N26" s="717">
        <f t="shared" si="15"/>
        <v>2103565790.311434</v>
      </c>
      <c r="O26" s="717">
        <f t="shared" si="15"/>
        <v>3472820.86</v>
      </c>
      <c r="P26" s="717">
        <f t="shared" si="15"/>
        <v>3530469.686276</v>
      </c>
      <c r="T26" s="776"/>
      <c r="U26" s="776"/>
      <c r="V26" s="777"/>
      <c r="W26" s="776"/>
      <c r="X26" s="778"/>
      <c r="Y26" s="560"/>
      <c r="Z26" s="776"/>
      <c r="AA26" s="776"/>
      <c r="AB26" s="776"/>
      <c r="AC26" s="776"/>
      <c r="AD26" s="776"/>
      <c r="AE26" s="776"/>
      <c r="AF26" s="776"/>
      <c r="AG26" s="776"/>
      <c r="AH26" s="776"/>
      <c r="AI26" s="776"/>
      <c r="AJ26" s="776"/>
      <c r="AK26" s="776"/>
      <c r="AL26" s="776"/>
      <c r="AM26" s="776"/>
      <c r="AN26" s="776"/>
    </row>
    <row r="27" spans="1:40" x14ac:dyDescent="0.2">
      <c r="A27" s="772">
        <f t="shared" si="3"/>
        <v>15</v>
      </c>
      <c r="C27" s="765" t="str">
        <f t="shared" si="1"/>
        <v>March</v>
      </c>
      <c r="D27" s="1120">
        <f t="shared" si="1"/>
        <v>2014</v>
      </c>
      <c r="E27" s="717">
        <f t="shared" ref="E27:P27" si="16">E59+E90</f>
        <v>204217119.19793475</v>
      </c>
      <c r="F27" s="717">
        <f t="shared" si="16"/>
        <v>61049236.769999988</v>
      </c>
      <c r="G27" s="717">
        <f t="shared" si="16"/>
        <v>10737591.182095107</v>
      </c>
      <c r="H27" s="717">
        <f t="shared" si="16"/>
        <v>11391451.093665056</v>
      </c>
      <c r="I27" s="717">
        <f t="shared" si="16"/>
        <v>131001687.57714814</v>
      </c>
      <c r="J27" s="717">
        <f t="shared" si="16"/>
        <v>3930050.6273144442</v>
      </c>
      <c r="K27" s="717">
        <f t="shared" si="16"/>
        <v>2342230000.640193</v>
      </c>
      <c r="L27" s="717">
        <f t="shared" si="16"/>
        <v>4462321.8754595192</v>
      </c>
      <c r="M27" s="717">
        <f t="shared" si="16"/>
        <v>35633222.290538885</v>
      </c>
      <c r="N27" s="717">
        <f t="shared" si="16"/>
        <v>2306596778.3496542</v>
      </c>
      <c r="O27" s="717">
        <f t="shared" si="16"/>
        <v>3472820.86</v>
      </c>
      <c r="P27" s="717">
        <f t="shared" si="16"/>
        <v>3530469.686276</v>
      </c>
      <c r="T27" s="776"/>
      <c r="U27" s="776"/>
      <c r="V27" s="777"/>
      <c r="W27" s="776"/>
      <c r="X27" s="778"/>
      <c r="Y27" s="560"/>
      <c r="Z27" s="776"/>
      <c r="AA27" s="776"/>
      <c r="AB27" s="776"/>
      <c r="AC27" s="776"/>
      <c r="AD27" s="776"/>
      <c r="AE27" s="776"/>
      <c r="AF27" s="776"/>
      <c r="AG27" s="776"/>
      <c r="AH27" s="776"/>
      <c r="AI27" s="776"/>
      <c r="AJ27" s="776"/>
      <c r="AK27" s="776"/>
      <c r="AL27" s="776"/>
      <c r="AM27" s="776"/>
      <c r="AN27" s="776"/>
    </row>
    <row r="28" spans="1:40" x14ac:dyDescent="0.2">
      <c r="A28" s="772">
        <f t="shared" si="3"/>
        <v>16</v>
      </c>
      <c r="C28" s="765" t="str">
        <f t="shared" si="1"/>
        <v>April</v>
      </c>
      <c r="D28" s="1120">
        <f t="shared" si="1"/>
        <v>2014</v>
      </c>
      <c r="E28" s="717">
        <f t="shared" ref="E28:P28" si="17">E60+E91</f>
        <v>59881569.278274439</v>
      </c>
      <c r="F28" s="717">
        <f t="shared" si="17"/>
        <v>2584156.5799999977</v>
      </c>
      <c r="G28" s="717">
        <f t="shared" si="17"/>
        <v>4297305.9523705821</v>
      </c>
      <c r="H28" s="717">
        <f t="shared" si="17"/>
        <v>4458635.6098849354</v>
      </c>
      <c r="I28" s="717">
        <f t="shared" si="17"/>
        <v>51274309.513676755</v>
      </c>
      <c r="J28" s="717">
        <f t="shared" si="17"/>
        <v>1538229.2854103027</v>
      </c>
      <c r="K28" s="717">
        <f t="shared" si="17"/>
        <v>2403488469.5463629</v>
      </c>
      <c r="L28" s="717">
        <f t="shared" si="17"/>
        <v>4896053.0891785296</v>
      </c>
      <c r="M28" s="717">
        <f t="shared" si="17"/>
        <v>40529275.379717417</v>
      </c>
      <c r="N28" s="717">
        <f t="shared" si="17"/>
        <v>2362959194.1666455</v>
      </c>
      <c r="O28" s="717">
        <f t="shared" si="17"/>
        <v>3472820.86</v>
      </c>
      <c r="P28" s="717">
        <f t="shared" si="17"/>
        <v>3530469.686276</v>
      </c>
      <c r="T28" s="776"/>
      <c r="U28" s="776"/>
      <c r="V28" s="777"/>
      <c r="W28" s="776"/>
      <c r="X28" s="778"/>
      <c r="Y28" s="560"/>
      <c r="Z28" s="776"/>
      <c r="AA28" s="776"/>
      <c r="AB28" s="776"/>
      <c r="AC28" s="776"/>
      <c r="AD28" s="776"/>
      <c r="AE28" s="776"/>
      <c r="AF28" s="776"/>
      <c r="AG28" s="776"/>
      <c r="AH28" s="776"/>
      <c r="AI28" s="776"/>
      <c r="AJ28" s="776"/>
      <c r="AK28" s="776"/>
      <c r="AL28" s="776"/>
      <c r="AM28" s="776"/>
      <c r="AN28" s="776"/>
    </row>
    <row r="29" spans="1:40" x14ac:dyDescent="0.2">
      <c r="A29" s="772">
        <f t="shared" si="3"/>
        <v>17</v>
      </c>
      <c r="C29" s="765" t="str">
        <f t="shared" si="1"/>
        <v>May</v>
      </c>
      <c r="D29" s="1120">
        <f t="shared" si="1"/>
        <v>2014</v>
      </c>
      <c r="E29" s="717">
        <f t="shared" ref="E29:P29" si="18">E61+E92</f>
        <v>8502542.6982743945</v>
      </c>
      <c r="F29" s="717">
        <f t="shared" si="18"/>
        <v>300000</v>
      </c>
      <c r="G29" s="717">
        <f t="shared" si="18"/>
        <v>615190.70237057959</v>
      </c>
      <c r="H29" s="717">
        <f t="shared" si="18"/>
        <v>376226.78988493123</v>
      </c>
      <c r="I29" s="717">
        <f t="shared" si="18"/>
        <v>4326608.0836767089</v>
      </c>
      <c r="J29" s="717">
        <f t="shared" si="18"/>
        <v>129798.24251030126</v>
      </c>
      <c r="K29" s="717">
        <f t="shared" si="18"/>
        <v>2412359774.3996334</v>
      </c>
      <c r="L29" s="717">
        <f t="shared" si="18"/>
        <v>5024104.0132314293</v>
      </c>
      <c r="M29" s="717">
        <f t="shared" si="18"/>
        <v>45553379.392948836</v>
      </c>
      <c r="N29" s="717">
        <f t="shared" si="18"/>
        <v>2366806395.0066843</v>
      </c>
      <c r="O29" s="717">
        <f t="shared" si="18"/>
        <v>3472820.86</v>
      </c>
      <c r="P29" s="717">
        <f t="shared" si="18"/>
        <v>3530469.686276</v>
      </c>
      <c r="T29" s="776"/>
      <c r="U29" s="776"/>
      <c r="V29" s="777"/>
      <c r="W29" s="776"/>
      <c r="X29" s="778"/>
      <c r="Y29" s="560"/>
      <c r="Z29" s="776"/>
      <c r="AA29" s="776"/>
      <c r="AB29" s="776"/>
      <c r="AC29" s="776"/>
      <c r="AD29" s="776"/>
      <c r="AE29" s="776"/>
      <c r="AF29" s="776"/>
      <c r="AG29" s="776"/>
      <c r="AH29" s="776"/>
      <c r="AI29" s="776"/>
      <c r="AJ29" s="776"/>
      <c r="AK29" s="776"/>
      <c r="AL29" s="776"/>
      <c r="AM29" s="776"/>
      <c r="AN29" s="776"/>
    </row>
    <row r="30" spans="1:40" x14ac:dyDescent="0.2">
      <c r="A30" s="772">
        <f t="shared" si="3"/>
        <v>18</v>
      </c>
      <c r="C30" s="765" t="str">
        <f t="shared" ref="C30:D33" si="19">C62</f>
        <v xml:space="preserve">June </v>
      </c>
      <c r="D30" s="1120">
        <f t="shared" si="19"/>
        <v>2014</v>
      </c>
      <c r="E30" s="717">
        <f t="shared" ref="E30:P30" si="20">E62+E93</f>
        <v>13559881.341618437</v>
      </c>
      <c r="F30" s="717">
        <f t="shared" si="20"/>
        <v>1294086.4639999995</v>
      </c>
      <c r="G30" s="717">
        <f t="shared" si="20"/>
        <v>919934.61582138285</v>
      </c>
      <c r="H30" s="717">
        <f t="shared" si="20"/>
        <v>725219.277308519</v>
      </c>
      <c r="I30" s="717">
        <f t="shared" si="20"/>
        <v>8340021.6890479689</v>
      </c>
      <c r="J30" s="717">
        <f t="shared" si="20"/>
        <v>250200.65067143907</v>
      </c>
      <c r="K30" s="717">
        <f t="shared" si="20"/>
        <v>2426364571.7304358</v>
      </c>
      <c r="L30" s="717">
        <f t="shared" si="20"/>
        <v>5042648.0415804926</v>
      </c>
      <c r="M30" s="717">
        <f t="shared" si="20"/>
        <v>50596027.434529334</v>
      </c>
      <c r="N30" s="717">
        <f t="shared" si="20"/>
        <v>2375768544.2959065</v>
      </c>
      <c r="O30" s="717">
        <f t="shared" si="20"/>
        <v>5659596.4633439835</v>
      </c>
      <c r="P30" s="717">
        <f t="shared" si="20"/>
        <v>5753545.764635494</v>
      </c>
      <c r="T30" s="776"/>
      <c r="U30" s="776"/>
      <c r="V30" s="777"/>
      <c r="W30" s="776"/>
      <c r="X30" s="778"/>
      <c r="Y30" s="560"/>
      <c r="Z30" s="776"/>
      <c r="AA30" s="776"/>
      <c r="AB30" s="776"/>
      <c r="AC30" s="776"/>
      <c r="AD30" s="776"/>
      <c r="AE30" s="776"/>
      <c r="AF30" s="776"/>
      <c r="AG30" s="776"/>
      <c r="AH30" s="776"/>
      <c r="AI30" s="776"/>
      <c r="AJ30" s="776"/>
      <c r="AK30" s="776"/>
      <c r="AL30" s="776"/>
      <c r="AM30" s="776"/>
      <c r="AN30" s="776"/>
    </row>
    <row r="31" spans="1:40" x14ac:dyDescent="0.2">
      <c r="A31" s="772">
        <f t="shared" si="3"/>
        <v>19</v>
      </c>
      <c r="C31" s="765" t="str">
        <f t="shared" si="19"/>
        <v>July</v>
      </c>
      <c r="D31" s="1120">
        <f t="shared" si="19"/>
        <v>2014</v>
      </c>
      <c r="E31" s="717">
        <f t="shared" ref="E31:P31" si="21">E63+E94</f>
        <v>8839585.0166077409</v>
      </c>
      <c r="F31" s="717">
        <f t="shared" si="21"/>
        <v>490424.9850000001</v>
      </c>
      <c r="G31" s="717">
        <f t="shared" si="21"/>
        <v>626187.00237058057</v>
      </c>
      <c r="H31" s="717">
        <f t="shared" si="21"/>
        <v>591226.78988493246</v>
      </c>
      <c r="I31" s="717">
        <f t="shared" si="21"/>
        <v>6799108.0836767228</v>
      </c>
      <c r="J31" s="717">
        <f t="shared" si="21"/>
        <v>203973.24251030167</v>
      </c>
      <c r="K31" s="717">
        <f t="shared" si="21"/>
        <v>2435443090.2020397</v>
      </c>
      <c r="L31" s="717">
        <f t="shared" si="21"/>
        <v>5071922.8058931576</v>
      </c>
      <c r="M31" s="717">
        <f t="shared" si="21"/>
        <v>55667950.240422487</v>
      </c>
      <c r="N31" s="717">
        <f t="shared" si="21"/>
        <v>2379775139.961617</v>
      </c>
      <c r="O31" s="717">
        <f t="shared" si="21"/>
        <v>5659596.4633439835</v>
      </c>
      <c r="P31" s="717">
        <f t="shared" si="21"/>
        <v>5753545.764635494</v>
      </c>
      <c r="T31" s="776"/>
      <c r="U31" s="776"/>
      <c r="V31" s="777"/>
      <c r="W31" s="776"/>
      <c r="X31" s="778"/>
      <c r="Y31" s="560"/>
      <c r="Z31" s="776"/>
      <c r="AA31" s="776"/>
      <c r="AB31" s="776"/>
      <c r="AC31" s="776"/>
      <c r="AD31" s="776"/>
      <c r="AE31" s="776"/>
      <c r="AF31" s="776"/>
      <c r="AG31" s="776"/>
      <c r="AH31" s="776"/>
      <c r="AI31" s="776"/>
      <c r="AJ31" s="776"/>
      <c r="AK31" s="776"/>
      <c r="AL31" s="776"/>
      <c r="AM31" s="776"/>
      <c r="AN31" s="776"/>
    </row>
    <row r="32" spans="1:40" x14ac:dyDescent="0.2">
      <c r="A32" s="772">
        <f t="shared" si="3"/>
        <v>20</v>
      </c>
      <c r="C32" s="765" t="str">
        <f t="shared" si="19"/>
        <v>August</v>
      </c>
      <c r="D32" s="1120">
        <f t="shared" si="19"/>
        <v>2014</v>
      </c>
      <c r="E32" s="717">
        <f t="shared" ref="E32:P32" si="22">E64+E95</f>
        <v>6624684.5316077266</v>
      </c>
      <c r="F32" s="717">
        <f t="shared" si="22"/>
        <v>15424.499999999998</v>
      </c>
      <c r="G32" s="717">
        <f t="shared" si="22"/>
        <v>495694.50237057952</v>
      </c>
      <c r="H32" s="717">
        <f t="shared" si="22"/>
        <v>445026.78988493123</v>
      </c>
      <c r="I32" s="717">
        <f t="shared" si="22"/>
        <v>5117808.0836767089</v>
      </c>
      <c r="J32" s="717">
        <f t="shared" si="22"/>
        <v>153534.24251030126</v>
      </c>
      <c r="K32" s="717">
        <f t="shared" si="22"/>
        <v>2442271976.6886435</v>
      </c>
      <c r="L32" s="717">
        <f t="shared" si="22"/>
        <v>5090899.9808059167</v>
      </c>
      <c r="M32" s="717">
        <f t="shared" si="22"/>
        <v>60758850.221228406</v>
      </c>
      <c r="N32" s="717">
        <f t="shared" si="22"/>
        <v>2381513126.4674153</v>
      </c>
      <c r="O32" s="717">
        <f t="shared" si="22"/>
        <v>5659596.4633439835</v>
      </c>
      <c r="P32" s="717">
        <f t="shared" si="22"/>
        <v>5753545.764635494</v>
      </c>
      <c r="T32" s="776"/>
      <c r="U32" s="776"/>
      <c r="V32" s="777"/>
      <c r="W32" s="776"/>
      <c r="X32" s="778"/>
      <c r="Y32" s="560"/>
      <c r="Z32" s="776"/>
      <c r="AA32" s="776"/>
      <c r="AB32" s="776"/>
      <c r="AC32" s="776"/>
      <c r="AD32" s="776"/>
      <c r="AE32" s="776"/>
      <c r="AF32" s="776"/>
      <c r="AG32" s="776"/>
      <c r="AH32" s="776"/>
      <c r="AI32" s="776"/>
      <c r="AJ32" s="776"/>
      <c r="AK32" s="776"/>
      <c r="AL32" s="776"/>
      <c r="AM32" s="776"/>
      <c r="AN32" s="776"/>
    </row>
    <row r="33" spans="1:40" x14ac:dyDescent="0.2">
      <c r="A33" s="772">
        <f t="shared" si="3"/>
        <v>21</v>
      </c>
      <c r="C33" s="765" t="str">
        <f t="shared" si="19"/>
        <v>September</v>
      </c>
      <c r="D33" s="1120">
        <f t="shared" si="19"/>
        <v>2014</v>
      </c>
      <c r="E33" s="717">
        <f t="shared" ref="E33:P33" si="23">E65+E96</f>
        <v>5967210.0316077266</v>
      </c>
      <c r="F33" s="717">
        <f t="shared" si="23"/>
        <v>157950</v>
      </c>
      <c r="G33" s="717">
        <f t="shared" si="23"/>
        <v>435694.50237057952</v>
      </c>
      <c r="H33" s="717">
        <f t="shared" si="23"/>
        <v>376226.78988493123</v>
      </c>
      <c r="I33" s="717">
        <f t="shared" si="23"/>
        <v>4326608.0836767089</v>
      </c>
      <c r="J33" s="717">
        <f t="shared" si="23"/>
        <v>129798.24251030126</v>
      </c>
      <c r="K33" s="735">
        <f t="shared" si="23"/>
        <v>2448428452.6752472</v>
      </c>
      <c r="L33" s="735">
        <f t="shared" si="23"/>
        <v>5105174.6638085451</v>
      </c>
      <c r="M33" s="735">
        <f t="shared" si="23"/>
        <v>65864024.885036945</v>
      </c>
      <c r="N33" s="735">
        <f t="shared" si="23"/>
        <v>2382564427.7902102</v>
      </c>
      <c r="O33" s="735">
        <f t="shared" si="23"/>
        <v>5659596.4633439835</v>
      </c>
      <c r="P33" s="735">
        <f t="shared" si="23"/>
        <v>5753545.764635494</v>
      </c>
      <c r="T33" s="776"/>
      <c r="U33" s="776"/>
      <c r="V33" s="777"/>
      <c r="W33" s="776"/>
      <c r="X33" s="778"/>
      <c r="Y33" s="560"/>
      <c r="Z33" s="776"/>
      <c r="AA33" s="776"/>
      <c r="AB33" s="776"/>
      <c r="AC33" s="776"/>
      <c r="AD33" s="776"/>
      <c r="AE33" s="776"/>
      <c r="AF33" s="776"/>
      <c r="AG33" s="776"/>
      <c r="AH33" s="776"/>
      <c r="AI33" s="776"/>
      <c r="AJ33" s="776"/>
      <c r="AK33" s="776"/>
      <c r="AL33" s="776"/>
      <c r="AM33" s="776"/>
      <c r="AN33" s="776"/>
    </row>
    <row r="34" spans="1:40" x14ac:dyDescent="0.2">
      <c r="A34" s="773">
        <f t="shared" si="3"/>
        <v>22</v>
      </c>
      <c r="C34" s="765" t="str">
        <f t="shared" ref="C34:D34" si="24">C66</f>
        <v>October</v>
      </c>
      <c r="D34" s="1120">
        <f t="shared" si="24"/>
        <v>2014</v>
      </c>
      <c r="E34" s="717">
        <f t="shared" ref="E34:P34" si="25">E66+E97</f>
        <v>5806260.0316077266</v>
      </c>
      <c r="F34" s="717">
        <f t="shared" si="25"/>
        <v>0</v>
      </c>
      <c r="G34" s="717">
        <f t="shared" si="25"/>
        <v>435469.50237057952</v>
      </c>
      <c r="H34" s="717">
        <f t="shared" si="25"/>
        <v>376226.78988493123</v>
      </c>
      <c r="I34" s="717">
        <f t="shared" si="25"/>
        <v>4326608.0836767089</v>
      </c>
      <c r="J34" s="717">
        <f t="shared" si="25"/>
        <v>129798.24251030126</v>
      </c>
      <c r="K34" s="735">
        <f t="shared" si="25"/>
        <v>2454423753.6618509</v>
      </c>
      <c r="L34" s="735">
        <f t="shared" si="25"/>
        <v>5118043.7813864201</v>
      </c>
      <c r="M34" s="735">
        <f t="shared" si="25"/>
        <v>70982068.666423365</v>
      </c>
      <c r="N34" s="735">
        <f t="shared" si="25"/>
        <v>2383441684.9954276</v>
      </c>
      <c r="O34" s="735">
        <f t="shared" si="25"/>
        <v>5659596.4633439835</v>
      </c>
      <c r="P34" s="735">
        <f t="shared" si="25"/>
        <v>5753545.764635494</v>
      </c>
      <c r="T34" s="776"/>
      <c r="U34" s="776"/>
      <c r="V34" s="777"/>
      <c r="W34" s="776"/>
      <c r="X34" s="778"/>
      <c r="Y34" s="560"/>
      <c r="Z34" s="776"/>
      <c r="AA34" s="776"/>
      <c r="AB34" s="776"/>
      <c r="AC34" s="776"/>
      <c r="AD34" s="776"/>
      <c r="AE34" s="776"/>
      <c r="AF34" s="776"/>
      <c r="AG34" s="776"/>
      <c r="AH34" s="776"/>
      <c r="AI34" s="776"/>
      <c r="AJ34" s="776"/>
      <c r="AK34" s="776"/>
      <c r="AL34" s="776"/>
      <c r="AM34" s="776"/>
      <c r="AN34" s="776"/>
    </row>
    <row r="35" spans="1:40" x14ac:dyDescent="0.2">
      <c r="A35" s="773">
        <f t="shared" si="3"/>
        <v>23</v>
      </c>
      <c r="C35" s="765" t="str">
        <f t="shared" ref="C35:D35" si="26">C67</f>
        <v>November</v>
      </c>
      <c r="D35" s="1120">
        <f t="shared" si="26"/>
        <v>2014</v>
      </c>
      <c r="E35" s="717">
        <f t="shared" ref="E35:P35" si="27">E67+E98</f>
        <v>5964260.0316077862</v>
      </c>
      <c r="F35" s="717">
        <f t="shared" si="27"/>
        <v>0</v>
      </c>
      <c r="G35" s="717">
        <f t="shared" si="27"/>
        <v>447319.50237058394</v>
      </c>
      <c r="H35" s="717">
        <f t="shared" si="27"/>
        <v>376226.78988493636</v>
      </c>
      <c r="I35" s="717">
        <f t="shared" si="27"/>
        <v>4326608.0836767685</v>
      </c>
      <c r="J35" s="717">
        <f t="shared" si="27"/>
        <v>129798.24251030305</v>
      </c>
      <c r="K35" s="735">
        <f t="shared" si="27"/>
        <v>2460588904.6484551</v>
      </c>
      <c r="L35" s="735">
        <f t="shared" si="27"/>
        <v>5130575.988688007</v>
      </c>
      <c r="M35" s="735">
        <f t="shared" si="27"/>
        <v>76112644.655111372</v>
      </c>
      <c r="N35" s="735">
        <f t="shared" si="27"/>
        <v>2384476259.9933438</v>
      </c>
      <c r="O35" s="735">
        <f t="shared" si="27"/>
        <v>5659596.4633439835</v>
      </c>
      <c r="P35" s="735">
        <f t="shared" si="27"/>
        <v>5753545.764635494</v>
      </c>
      <c r="T35" s="776"/>
      <c r="U35" s="776"/>
      <c r="V35" s="777"/>
      <c r="W35" s="776"/>
      <c r="X35" s="778"/>
      <c r="Y35" s="560"/>
      <c r="Z35" s="776"/>
      <c r="AA35" s="776"/>
      <c r="AB35" s="776"/>
      <c r="AC35" s="776"/>
      <c r="AD35" s="776"/>
      <c r="AE35" s="776"/>
      <c r="AF35" s="776"/>
      <c r="AG35" s="776"/>
      <c r="AH35" s="776"/>
      <c r="AI35" s="776"/>
      <c r="AJ35" s="776"/>
      <c r="AK35" s="776"/>
      <c r="AL35" s="776"/>
      <c r="AM35" s="776"/>
      <c r="AN35" s="776"/>
    </row>
    <row r="36" spans="1:40" x14ac:dyDescent="0.2">
      <c r="A36" s="773">
        <f t="shared" si="3"/>
        <v>24</v>
      </c>
      <c r="C36" s="765" t="str">
        <f t="shared" ref="C36:D36" si="28">C68</f>
        <v>December</v>
      </c>
      <c r="D36" s="1120">
        <f t="shared" si="28"/>
        <v>2014</v>
      </c>
      <c r="E36" s="717">
        <f t="shared" ref="E36:P36" si="29">E68+E99</f>
        <v>65214693.98160772</v>
      </c>
      <c r="F36" s="717">
        <f t="shared" si="29"/>
        <v>15217238.950000001</v>
      </c>
      <c r="G36" s="717">
        <f t="shared" si="29"/>
        <v>3749809.1273705792</v>
      </c>
      <c r="H36" s="717">
        <f t="shared" si="29"/>
        <v>376226.78988493123</v>
      </c>
      <c r="I36" s="717">
        <f t="shared" si="29"/>
        <v>4326608.0836767089</v>
      </c>
      <c r="J36" s="717">
        <f t="shared" si="29"/>
        <v>129798.24251030126</v>
      </c>
      <c r="K36" s="779">
        <f t="shared" si="29"/>
        <v>2529306979.2100587</v>
      </c>
      <c r="L36" s="735">
        <f t="shared" si="29"/>
        <v>5143463.2399506764</v>
      </c>
      <c r="M36" s="735">
        <f t="shared" si="29"/>
        <v>81256107.895062044</v>
      </c>
      <c r="N36" s="779">
        <f t="shared" si="29"/>
        <v>2448050871.3149967</v>
      </c>
      <c r="O36" s="735">
        <f t="shared" si="29"/>
        <v>5659596.4633439835</v>
      </c>
      <c r="P36" s="779">
        <f t="shared" si="29"/>
        <v>5753545.764635494</v>
      </c>
      <c r="T36" s="776"/>
      <c r="U36" s="776"/>
      <c r="V36" s="777"/>
      <c r="W36" s="776"/>
      <c r="X36" s="778"/>
      <c r="Y36" s="560"/>
      <c r="Z36" s="776"/>
      <c r="AA36" s="776"/>
      <c r="AB36" s="776"/>
      <c r="AC36" s="776"/>
      <c r="AD36" s="776"/>
      <c r="AE36" s="776"/>
      <c r="AF36" s="776"/>
      <c r="AG36" s="776"/>
      <c r="AH36" s="776"/>
      <c r="AI36" s="776"/>
      <c r="AJ36" s="776"/>
      <c r="AK36" s="776"/>
      <c r="AL36" s="776"/>
      <c r="AM36" s="776"/>
      <c r="AN36" s="776"/>
    </row>
    <row r="37" spans="1:40" s="719" customFormat="1" x14ac:dyDescent="0.2">
      <c r="A37" s="773">
        <f t="shared" si="3"/>
        <v>25</v>
      </c>
      <c r="D37" s="811" t="s">
        <v>1867</v>
      </c>
      <c r="K37" s="1166">
        <f>AVERAGE(K24:K36)</f>
        <v>2361871346.7666349</v>
      </c>
      <c r="M37" s="812"/>
      <c r="N37" s="812">
        <f>AVERAGE(N24:N36)</f>
        <v>2310853683.4595442</v>
      </c>
      <c r="O37" s="812"/>
      <c r="P37" s="812">
        <f>AVERAGE(P24:P36)</f>
        <v>4727510.6515464978</v>
      </c>
      <c r="Q37" s="813"/>
      <c r="T37" s="790"/>
      <c r="U37" s="790"/>
    </row>
    <row r="38" spans="1:40" x14ac:dyDescent="0.2">
      <c r="A38" s="772"/>
      <c r="T38" s="717"/>
      <c r="U38" s="717"/>
      <c r="Z38" s="717"/>
    </row>
    <row r="39" spans="1:40" x14ac:dyDescent="0.2">
      <c r="A39" s="772"/>
      <c r="B39" s="719" t="s">
        <v>2426</v>
      </c>
      <c r="G39" s="772"/>
      <c r="K39" s="560"/>
      <c r="M39" s="560"/>
      <c r="N39" s="560"/>
      <c r="O39" s="560"/>
      <c r="P39" s="560"/>
    </row>
    <row r="40" spans="1:40" x14ac:dyDescent="0.2">
      <c r="A40" s="772"/>
      <c r="B40" s="719"/>
      <c r="E40" s="768" t="s">
        <v>396</v>
      </c>
      <c r="F40" s="768" t="s">
        <v>380</v>
      </c>
      <c r="G40" s="768" t="s">
        <v>381</v>
      </c>
      <c r="H40" s="768" t="s">
        <v>382</v>
      </c>
      <c r="I40" s="768" t="s">
        <v>383</v>
      </c>
      <c r="J40" s="768" t="s">
        <v>384</v>
      </c>
      <c r="K40" s="814" t="s">
        <v>385</v>
      </c>
      <c r="L40" s="768" t="s">
        <v>599</v>
      </c>
      <c r="M40" s="814" t="s">
        <v>1048</v>
      </c>
      <c r="N40" s="814" t="s">
        <v>1064</v>
      </c>
      <c r="O40" s="814" t="s">
        <v>1067</v>
      </c>
      <c r="P40" s="814" t="s">
        <v>1085</v>
      </c>
    </row>
    <row r="41" spans="1:40" ht="25.5" x14ac:dyDescent="0.2">
      <c r="A41" s="772"/>
      <c r="B41" s="719"/>
      <c r="E41" s="815" t="s">
        <v>2764</v>
      </c>
      <c r="F41" s="815" t="s">
        <v>2765</v>
      </c>
      <c r="G41" s="815" t="s">
        <v>2766</v>
      </c>
      <c r="H41" s="816" t="s">
        <v>2427</v>
      </c>
      <c r="I41" s="816" t="s">
        <v>2427</v>
      </c>
      <c r="J41" s="771" t="s">
        <v>2427</v>
      </c>
      <c r="K41" s="817" t="s">
        <v>2428</v>
      </c>
      <c r="L41" s="818" t="s">
        <v>2767</v>
      </c>
      <c r="M41" s="819" t="s">
        <v>2429</v>
      </c>
      <c r="N41" s="786" t="s">
        <v>2368</v>
      </c>
      <c r="O41" s="786"/>
      <c r="P41" s="819" t="s">
        <v>2768</v>
      </c>
    </row>
    <row r="42" spans="1:40" x14ac:dyDescent="0.2">
      <c r="A42" s="772"/>
      <c r="C42" s="772" t="str">
        <f>C10</f>
        <v>Forecast</v>
      </c>
      <c r="E42" s="772" t="str">
        <f>E10</f>
        <v>Unloaded</v>
      </c>
      <c r="F42" s="772"/>
      <c r="G42" s="772"/>
      <c r="I42" s="773" t="str">
        <f>I10</f>
        <v>AFUDC</v>
      </c>
      <c r="J42" s="773"/>
      <c r="K42" s="773"/>
      <c r="L42" s="773"/>
      <c r="M42" s="773"/>
      <c r="N42" s="773"/>
      <c r="O42" s="772" t="str">
        <f t="shared" ref="O42:P44" si="30">O10</f>
        <v>Unloaded</v>
      </c>
      <c r="P42" s="772" t="str">
        <f t="shared" si="30"/>
        <v>Loaded</v>
      </c>
    </row>
    <row r="43" spans="1:40" x14ac:dyDescent="0.2">
      <c r="A43" s="772"/>
      <c r="B43" s="719"/>
      <c r="C43" s="772" t="str">
        <f>C11</f>
        <v>Period</v>
      </c>
      <c r="E43" s="772" t="str">
        <f>E11</f>
        <v>Total</v>
      </c>
      <c r="F43" s="772" t="str">
        <f t="shared" ref="F43:H44" si="31">F11</f>
        <v>Prior Period</v>
      </c>
      <c r="G43" s="773" t="str">
        <f t="shared" si="31"/>
        <v>Over Heads</v>
      </c>
      <c r="H43" s="773" t="str">
        <f t="shared" si="31"/>
        <v xml:space="preserve">Cost of </v>
      </c>
      <c r="I43" s="773" t="str">
        <f>I11</f>
        <v>Eligible Plant</v>
      </c>
      <c r="J43" s="773"/>
      <c r="K43" s="773" t="str">
        <f>K11</f>
        <v>Incremental</v>
      </c>
      <c r="L43" s="773" t="str">
        <f>L11</f>
        <v>Depreciation</v>
      </c>
      <c r="M43" s="773"/>
      <c r="N43" s="773"/>
      <c r="O43" s="773" t="str">
        <f t="shared" si="30"/>
        <v>Low Voltage</v>
      </c>
      <c r="P43" s="773" t="str">
        <f t="shared" si="30"/>
        <v>Low Voltage</v>
      </c>
    </row>
    <row r="44" spans="1:40" x14ac:dyDescent="0.2">
      <c r="A44" s="774" t="s">
        <v>362</v>
      </c>
      <c r="C44" s="755" t="str">
        <f t="shared" ref="C44:D44" si="32">C12</f>
        <v>Month</v>
      </c>
      <c r="D44" s="755" t="str">
        <f t="shared" si="32"/>
        <v>Year</v>
      </c>
      <c r="E44" s="768" t="str">
        <f>E12</f>
        <v>Plant Adds</v>
      </c>
      <c r="F44" s="768" t="str">
        <f t="shared" si="31"/>
        <v>CWIP Closed</v>
      </c>
      <c r="G44" s="775" t="str">
        <f t="shared" si="31"/>
        <v>Closed to PIS</v>
      </c>
      <c r="H44" s="775" t="str">
        <f t="shared" si="31"/>
        <v>Removal</v>
      </c>
      <c r="I44" s="775" t="str">
        <f>I12</f>
        <v>Additions</v>
      </c>
      <c r="J44" s="775" t="str">
        <f>J12</f>
        <v>AFUDC</v>
      </c>
      <c r="K44" s="775" t="str">
        <f>K12</f>
        <v>Gross Plant</v>
      </c>
      <c r="L44" s="775" t="str">
        <f>L12</f>
        <v>Accrual</v>
      </c>
      <c r="M44" s="775" t="str">
        <f>M12</f>
        <v>Reserve</v>
      </c>
      <c r="N44" s="775" t="str">
        <f>N12</f>
        <v>Net Plant</v>
      </c>
      <c r="O44" s="775" t="str">
        <f t="shared" si="30"/>
        <v>Additions</v>
      </c>
      <c r="P44" s="775" t="str">
        <f t="shared" si="30"/>
        <v>Additions</v>
      </c>
      <c r="T44" s="775"/>
      <c r="U44" s="775"/>
      <c r="V44" s="775"/>
      <c r="W44" s="775"/>
      <c r="X44" s="775"/>
      <c r="Y44" s="775"/>
    </row>
    <row r="45" spans="1:40" x14ac:dyDescent="0.2">
      <c r="A45" s="772">
        <f>A37+1</f>
        <v>26</v>
      </c>
      <c r="C45" s="756" t="s">
        <v>202</v>
      </c>
      <c r="D45" s="757">
        <v>2013</v>
      </c>
      <c r="E45" s="783">
        <f>'10-CWIP'!G55</f>
        <v>145129213.62000015</v>
      </c>
      <c r="F45" s="783">
        <f>'10-CWIP'!H55</f>
        <v>295022532.56000024</v>
      </c>
      <c r="G45" s="783">
        <f>'10-CWIP'!I55</f>
        <v>-11241998.920500007</v>
      </c>
      <c r="H45" s="820">
        <v>0</v>
      </c>
      <c r="I45" s="776">
        <v>0</v>
      </c>
      <c r="J45" s="821">
        <v>0</v>
      </c>
      <c r="K45" s="717">
        <f>0+E45+G45</f>
        <v>133887214.69950014</v>
      </c>
      <c r="L45" s="717">
        <v>0</v>
      </c>
      <c r="M45" s="717">
        <f>L45</f>
        <v>0</v>
      </c>
      <c r="N45" s="717">
        <f t="shared" ref="N45:N65" si="33">K45-M45</f>
        <v>133887214.69950014</v>
      </c>
      <c r="O45" s="822">
        <v>0</v>
      </c>
      <c r="P45" s="821">
        <f t="shared" ref="P45:P68" si="34">O45*(1-$E$107)*(1+$E$103+$E$111)</f>
        <v>0</v>
      </c>
      <c r="S45" s="717"/>
      <c r="T45" s="782"/>
      <c r="U45" s="778"/>
      <c r="V45" s="560"/>
      <c r="W45" s="782"/>
      <c r="X45" s="778"/>
      <c r="Y45" s="560"/>
    </row>
    <row r="46" spans="1:40" x14ac:dyDescent="0.2">
      <c r="A46" s="772">
        <f t="shared" ref="A46:A99" si="35">A45+1</f>
        <v>27</v>
      </c>
      <c r="C46" s="759" t="s">
        <v>203</v>
      </c>
      <c r="D46" s="757">
        <v>2013</v>
      </c>
      <c r="E46" s="783">
        <f>'10-CWIP'!G56</f>
        <v>9078877.8600000013</v>
      </c>
      <c r="F46" s="783">
        <f>'10-CWIP'!H56</f>
        <v>9046424.1300000008</v>
      </c>
      <c r="G46" s="783">
        <f>'10-CWIP'!I56</f>
        <v>2434.0297500000001</v>
      </c>
      <c r="H46" s="820">
        <v>0</v>
      </c>
      <c r="I46" s="776">
        <v>0</v>
      </c>
      <c r="J46" s="821">
        <v>0</v>
      </c>
      <c r="K46" s="717">
        <f>K45+E46+G46</f>
        <v>142968526.58925015</v>
      </c>
      <c r="L46" s="717">
        <f t="shared" ref="L46:L68" si="36">K45*$E$133/12</f>
        <v>279869.57342012791</v>
      </c>
      <c r="M46" s="717">
        <f>M45+L46</f>
        <v>279869.57342012791</v>
      </c>
      <c r="N46" s="717">
        <f t="shared" si="33"/>
        <v>142688657.01583001</v>
      </c>
      <c r="O46" s="822">
        <v>0</v>
      </c>
      <c r="P46" s="821">
        <f t="shared" si="34"/>
        <v>0</v>
      </c>
      <c r="S46" s="717"/>
      <c r="T46" s="782"/>
      <c r="U46" s="778"/>
      <c r="V46" s="560"/>
      <c r="W46" s="782"/>
      <c r="X46" s="778"/>
      <c r="Y46" s="560"/>
    </row>
    <row r="47" spans="1:40" x14ac:dyDescent="0.2">
      <c r="A47" s="772">
        <f t="shared" si="35"/>
        <v>28</v>
      </c>
      <c r="C47" s="759" t="s">
        <v>216</v>
      </c>
      <c r="D47" s="757">
        <v>2013</v>
      </c>
      <c r="E47" s="783">
        <f>'10-CWIP'!G57</f>
        <v>1988227.4600000007</v>
      </c>
      <c r="F47" s="783">
        <f>'10-CWIP'!H57</f>
        <v>1822508.7900000007</v>
      </c>
      <c r="G47" s="783">
        <f>'10-CWIP'!I57</f>
        <v>12428.900250000001</v>
      </c>
      <c r="H47" s="820">
        <v>0</v>
      </c>
      <c r="I47" s="776">
        <v>0</v>
      </c>
      <c r="J47" s="821">
        <v>0</v>
      </c>
      <c r="K47" s="717">
        <f t="shared" ref="K47:K65" si="37">K46+E47+G47</f>
        <v>144969182.94950014</v>
      </c>
      <c r="L47" s="717">
        <f t="shared" si="36"/>
        <v>298852.58752183925</v>
      </c>
      <c r="M47" s="717">
        <f t="shared" ref="M47:M65" si="38">M46+L47</f>
        <v>578722.16094196716</v>
      </c>
      <c r="N47" s="717">
        <f t="shared" si="33"/>
        <v>144390460.78855819</v>
      </c>
      <c r="O47" s="822">
        <v>0</v>
      </c>
      <c r="P47" s="821">
        <f t="shared" si="34"/>
        <v>0</v>
      </c>
      <c r="S47" s="717"/>
      <c r="T47" s="782"/>
      <c r="U47" s="778"/>
      <c r="V47" s="560"/>
      <c r="W47" s="782"/>
      <c r="X47" s="778"/>
      <c r="Y47" s="560"/>
    </row>
    <row r="48" spans="1:40" x14ac:dyDescent="0.2">
      <c r="A48" s="772">
        <f t="shared" si="35"/>
        <v>29</v>
      </c>
      <c r="C48" s="756" t="s">
        <v>204</v>
      </c>
      <c r="D48" s="757">
        <v>2013</v>
      </c>
      <c r="E48" s="783">
        <f>'10-CWIP'!G58</f>
        <v>9250949.846673375</v>
      </c>
      <c r="F48" s="783">
        <f>'10-CWIP'!H58</f>
        <v>9184478.7328800019</v>
      </c>
      <c r="G48" s="783">
        <f>'10-CWIP'!I58</f>
        <v>4985.3335345029618</v>
      </c>
      <c r="H48" s="820">
        <v>0</v>
      </c>
      <c r="I48" s="776">
        <v>0</v>
      </c>
      <c r="J48" s="821">
        <v>0</v>
      </c>
      <c r="K48" s="717">
        <f t="shared" si="37"/>
        <v>154225118.12970802</v>
      </c>
      <c r="L48" s="717">
        <f t="shared" si="36"/>
        <v>303034.63614657271</v>
      </c>
      <c r="M48" s="717">
        <f t="shared" si="38"/>
        <v>881756.79708853993</v>
      </c>
      <c r="N48" s="717">
        <f t="shared" si="33"/>
        <v>153343361.33261949</v>
      </c>
      <c r="O48" s="822">
        <v>0</v>
      </c>
      <c r="P48" s="821">
        <f t="shared" si="34"/>
        <v>0</v>
      </c>
      <c r="S48" s="717"/>
      <c r="T48" s="782"/>
      <c r="U48" s="778"/>
      <c r="V48" s="560"/>
      <c r="W48" s="782"/>
      <c r="X48" s="778"/>
      <c r="Y48" s="560"/>
    </row>
    <row r="49" spans="1:25" x14ac:dyDescent="0.2">
      <c r="A49" s="772">
        <f t="shared" si="35"/>
        <v>30</v>
      </c>
      <c r="C49" s="759" t="s">
        <v>205</v>
      </c>
      <c r="D49" s="757">
        <v>2013</v>
      </c>
      <c r="E49" s="783">
        <f>'10-CWIP'!G59</f>
        <v>578970764.74242997</v>
      </c>
      <c r="F49" s="783">
        <f>'10-CWIP'!H59</f>
        <v>387475443.41800046</v>
      </c>
      <c r="G49" s="783">
        <f>'10-CWIP'!I59</f>
        <v>14362149.099332213</v>
      </c>
      <c r="H49" s="820">
        <v>0</v>
      </c>
      <c r="I49" s="776">
        <v>0</v>
      </c>
      <c r="J49" s="821">
        <v>0</v>
      </c>
      <c r="K49" s="717">
        <f t="shared" si="37"/>
        <v>747558031.97147024</v>
      </c>
      <c r="L49" s="717">
        <f t="shared" si="36"/>
        <v>322382.67200125242</v>
      </c>
      <c r="M49" s="717">
        <f t="shared" si="38"/>
        <v>1204139.4690897923</v>
      </c>
      <c r="N49" s="717">
        <f t="shared" si="33"/>
        <v>746353892.50238049</v>
      </c>
      <c r="O49" s="822">
        <v>0</v>
      </c>
      <c r="P49" s="821">
        <f t="shared" si="34"/>
        <v>0</v>
      </c>
      <c r="S49" s="717"/>
      <c r="T49" s="782"/>
      <c r="U49" s="778"/>
      <c r="V49" s="560"/>
      <c r="W49" s="782"/>
      <c r="X49" s="778"/>
      <c r="Y49" s="560"/>
    </row>
    <row r="50" spans="1:25" x14ac:dyDescent="0.2">
      <c r="A50" s="772">
        <f t="shared" si="35"/>
        <v>31</v>
      </c>
      <c r="C50" s="759" t="s">
        <v>206</v>
      </c>
      <c r="D50" s="757">
        <v>2013</v>
      </c>
      <c r="E50" s="783">
        <f>'10-CWIP'!G60</f>
        <v>304260491.25735378</v>
      </c>
      <c r="F50" s="783">
        <f>'10-CWIP'!H60</f>
        <v>209603011.40799999</v>
      </c>
      <c r="G50" s="783">
        <f>'10-CWIP'!I60</f>
        <v>7099310.9887015354</v>
      </c>
      <c r="H50" s="820">
        <v>0</v>
      </c>
      <c r="I50" s="776">
        <v>0</v>
      </c>
      <c r="J50" s="821">
        <v>0</v>
      </c>
      <c r="K50" s="717">
        <f>K49+E50+G50</f>
        <v>1058917834.2175256</v>
      </c>
      <c r="L50" s="717">
        <f t="shared" si="36"/>
        <v>1562649.1893510635</v>
      </c>
      <c r="M50" s="717">
        <f t="shared" si="38"/>
        <v>2766788.6584408558</v>
      </c>
      <c r="N50" s="717">
        <f>K50-M50</f>
        <v>1056151045.5590848</v>
      </c>
      <c r="O50" s="822">
        <v>0</v>
      </c>
      <c r="P50" s="821">
        <f t="shared" si="34"/>
        <v>0</v>
      </c>
      <c r="S50" s="717"/>
      <c r="T50" s="782"/>
      <c r="U50" s="778"/>
      <c r="V50" s="560"/>
      <c r="W50" s="782"/>
      <c r="X50" s="778"/>
      <c r="Y50" s="560"/>
    </row>
    <row r="51" spans="1:25" x14ac:dyDescent="0.2">
      <c r="A51" s="772">
        <f t="shared" si="35"/>
        <v>32</v>
      </c>
      <c r="C51" s="756" t="s">
        <v>207</v>
      </c>
      <c r="D51" s="757">
        <v>2013</v>
      </c>
      <c r="E51" s="783">
        <f>'10-CWIP'!G61</f>
        <v>194776904.06134742</v>
      </c>
      <c r="F51" s="783">
        <f>'10-CWIP'!H61</f>
        <v>125045980.76000008</v>
      </c>
      <c r="G51" s="783">
        <f>'10-CWIP'!I61</f>
        <v>5229819.2476010518</v>
      </c>
      <c r="H51" s="820">
        <v>0</v>
      </c>
      <c r="I51" s="776">
        <v>0</v>
      </c>
      <c r="J51" s="821">
        <v>0</v>
      </c>
      <c r="K51" s="717">
        <f t="shared" si="37"/>
        <v>1258924557.526474</v>
      </c>
      <c r="L51" s="717">
        <f t="shared" si="36"/>
        <v>2213496.5105860182</v>
      </c>
      <c r="M51" s="717">
        <f t="shared" si="38"/>
        <v>4980285.169026874</v>
      </c>
      <c r="N51" s="717">
        <f t="shared" si="33"/>
        <v>1253944272.3574471</v>
      </c>
      <c r="O51" s="822">
        <v>0</v>
      </c>
      <c r="P51" s="821">
        <f t="shared" si="34"/>
        <v>0</v>
      </c>
      <c r="S51" s="717"/>
      <c r="T51" s="782"/>
      <c r="U51" s="778"/>
      <c r="V51" s="560"/>
      <c r="W51" s="782"/>
      <c r="X51" s="778"/>
      <c r="Y51" s="560"/>
    </row>
    <row r="52" spans="1:25" x14ac:dyDescent="0.2">
      <c r="A52" s="772">
        <f t="shared" si="35"/>
        <v>33</v>
      </c>
      <c r="C52" s="759" t="s">
        <v>208</v>
      </c>
      <c r="D52" s="757">
        <v>2013</v>
      </c>
      <c r="E52" s="783">
        <f>'10-CWIP'!G62</f>
        <v>28117421.389449064</v>
      </c>
      <c r="F52" s="783">
        <f>'10-CWIP'!H62</f>
        <v>16238607.729999999</v>
      </c>
      <c r="G52" s="783">
        <f>'10-CWIP'!I62</f>
        <v>890911.02445868007</v>
      </c>
      <c r="H52" s="820">
        <v>0</v>
      </c>
      <c r="I52" s="776">
        <v>0</v>
      </c>
      <c r="J52" s="821">
        <v>0</v>
      </c>
      <c r="K52" s="717">
        <f t="shared" si="37"/>
        <v>1287932889.9403818</v>
      </c>
      <c r="L52" s="717">
        <f t="shared" si="36"/>
        <v>2631578.2255523535</v>
      </c>
      <c r="M52" s="717">
        <f t="shared" si="38"/>
        <v>7611863.394579228</v>
      </c>
      <c r="N52" s="717">
        <f t="shared" si="33"/>
        <v>1280321026.5458026</v>
      </c>
      <c r="O52" s="822">
        <v>0</v>
      </c>
      <c r="P52" s="821">
        <f t="shared" si="34"/>
        <v>0</v>
      </c>
      <c r="S52" s="717"/>
      <c r="T52" s="782"/>
      <c r="U52" s="778"/>
      <c r="V52" s="560"/>
      <c r="W52" s="782"/>
      <c r="X52" s="778"/>
      <c r="Y52" s="560"/>
    </row>
    <row r="53" spans="1:25" x14ac:dyDescent="0.2">
      <c r="A53" s="772">
        <f t="shared" si="35"/>
        <v>34</v>
      </c>
      <c r="C53" s="759" t="s">
        <v>209</v>
      </c>
      <c r="D53" s="757">
        <v>2013</v>
      </c>
      <c r="E53" s="783">
        <f>'10-CWIP'!G63</f>
        <v>233932611.36833364</v>
      </c>
      <c r="F53" s="783">
        <f>'10-CWIP'!H63</f>
        <v>169831199.51800036</v>
      </c>
      <c r="G53" s="783">
        <f>'10-CWIP'!I63</f>
        <v>4807605.8887749957</v>
      </c>
      <c r="H53" s="820">
        <v>0</v>
      </c>
      <c r="I53" s="776">
        <v>0</v>
      </c>
      <c r="J53" s="821">
        <v>0</v>
      </c>
      <c r="K53" s="717">
        <f t="shared" si="37"/>
        <v>1526673107.1974905</v>
      </c>
      <c r="L53" s="717">
        <f t="shared" si="36"/>
        <v>2692215.453957852</v>
      </c>
      <c r="M53" s="717">
        <f t="shared" si="38"/>
        <v>10304078.84853708</v>
      </c>
      <c r="N53" s="717">
        <f t="shared" si="33"/>
        <v>1516369028.3489535</v>
      </c>
      <c r="O53" s="822">
        <v>0</v>
      </c>
      <c r="P53" s="821">
        <f t="shared" si="34"/>
        <v>0</v>
      </c>
      <c r="S53" s="717"/>
      <c r="T53" s="782"/>
      <c r="U53" s="778"/>
      <c r="V53" s="560"/>
      <c r="W53" s="782"/>
      <c r="X53" s="778"/>
      <c r="Y53" s="560"/>
    </row>
    <row r="54" spans="1:25" x14ac:dyDescent="0.2">
      <c r="A54" s="772">
        <f t="shared" si="35"/>
        <v>35</v>
      </c>
      <c r="C54" s="756" t="s">
        <v>210</v>
      </c>
      <c r="D54" s="757">
        <v>2013</v>
      </c>
      <c r="E54" s="783">
        <f>'10-CWIP'!G64</f>
        <v>12122758.021260262</v>
      </c>
      <c r="F54" s="783">
        <f>'10-CWIP'!H64</f>
        <v>2179499.4080000003</v>
      </c>
      <c r="G54" s="783">
        <f>'10-CWIP'!I64</f>
        <v>745744.3959945197</v>
      </c>
      <c r="H54" s="820">
        <v>0</v>
      </c>
      <c r="I54" s="776">
        <v>0</v>
      </c>
      <c r="J54" s="821">
        <v>0</v>
      </c>
      <c r="K54" s="717">
        <f t="shared" si="37"/>
        <v>1539541609.6147451</v>
      </c>
      <c r="L54" s="717">
        <f t="shared" si="36"/>
        <v>3191263.2750058845</v>
      </c>
      <c r="M54" s="717">
        <f t="shared" si="38"/>
        <v>13495342.123542964</v>
      </c>
      <c r="N54" s="717">
        <f t="shared" si="33"/>
        <v>1526046267.4912021</v>
      </c>
      <c r="O54" s="822">
        <v>0</v>
      </c>
      <c r="P54" s="821">
        <f t="shared" si="34"/>
        <v>0</v>
      </c>
      <c r="S54" s="717"/>
      <c r="T54" s="782"/>
      <c r="U54" s="778"/>
      <c r="V54" s="560"/>
      <c r="W54" s="782"/>
      <c r="X54" s="778"/>
      <c r="Y54" s="560"/>
    </row>
    <row r="55" spans="1:25" x14ac:dyDescent="0.2">
      <c r="A55" s="772">
        <f t="shared" si="35"/>
        <v>36</v>
      </c>
      <c r="C55" s="756" t="s">
        <v>211</v>
      </c>
      <c r="D55" s="757">
        <v>2013</v>
      </c>
      <c r="E55" s="783">
        <f>'10-CWIP'!G65</f>
        <v>220208460.82001409</v>
      </c>
      <c r="F55" s="783">
        <f>'10-CWIP'!H65</f>
        <v>111091694.4000003</v>
      </c>
      <c r="G55" s="783">
        <f>'10-CWIP'!I65</f>
        <v>8183757.4815010335</v>
      </c>
      <c r="H55" s="820">
        <v>0</v>
      </c>
      <c r="I55" s="776">
        <v>0</v>
      </c>
      <c r="J55" s="821">
        <v>0</v>
      </c>
      <c r="K55" s="717">
        <f t="shared" si="37"/>
        <v>1767933827.9162602</v>
      </c>
      <c r="L55" s="717">
        <f t="shared" si="36"/>
        <v>3218162.7985351197</v>
      </c>
      <c r="M55" s="717">
        <f t="shared" si="38"/>
        <v>16713504.922078084</v>
      </c>
      <c r="N55" s="717">
        <f t="shared" si="33"/>
        <v>1751220322.9941821</v>
      </c>
      <c r="O55" s="822">
        <v>0</v>
      </c>
      <c r="P55" s="821">
        <f t="shared" si="34"/>
        <v>0</v>
      </c>
      <c r="S55" s="717"/>
      <c r="T55" s="782"/>
      <c r="U55" s="778"/>
      <c r="V55" s="560"/>
      <c r="W55" s="782"/>
      <c r="X55" s="778"/>
      <c r="Y55" s="560"/>
    </row>
    <row r="56" spans="1:25" x14ac:dyDescent="0.2">
      <c r="A56" s="772">
        <f t="shared" si="35"/>
        <v>37</v>
      </c>
      <c r="C56" s="756" t="s">
        <v>201</v>
      </c>
      <c r="D56" s="757">
        <v>2013</v>
      </c>
      <c r="E56" s="783">
        <f>'10-CWIP'!G66</f>
        <v>157414691.6953938</v>
      </c>
      <c r="F56" s="783">
        <f>'10-CWIP'!H66</f>
        <v>85054377.630700752</v>
      </c>
      <c r="G56" s="783">
        <f>'10-CWIP'!I66</f>
        <v>5427023.5548519762</v>
      </c>
      <c r="H56" s="820">
        <v>0</v>
      </c>
      <c r="I56" s="776">
        <v>0</v>
      </c>
      <c r="J56" s="821">
        <v>0</v>
      </c>
      <c r="K56" s="717">
        <f t="shared" si="37"/>
        <v>1930775543.1665061</v>
      </c>
      <c r="L56" s="717">
        <f t="shared" si="36"/>
        <v>3695579.8009874113</v>
      </c>
      <c r="M56" s="717">
        <f t="shared" si="38"/>
        <v>20409084.723065495</v>
      </c>
      <c r="N56" s="717">
        <f t="shared" si="33"/>
        <v>1910366458.4434404</v>
      </c>
      <c r="O56" s="822">
        <v>0</v>
      </c>
      <c r="P56" s="821">
        <f t="shared" si="34"/>
        <v>0</v>
      </c>
      <c r="S56" s="717"/>
      <c r="T56" s="782"/>
      <c r="U56" s="778"/>
      <c r="V56" s="560"/>
      <c r="W56" s="782"/>
      <c r="X56" s="778"/>
      <c r="Y56" s="560"/>
    </row>
    <row r="57" spans="1:25" x14ac:dyDescent="0.2">
      <c r="A57" s="772">
        <f t="shared" si="35"/>
        <v>38</v>
      </c>
      <c r="C57" s="756" t="s">
        <v>202</v>
      </c>
      <c r="D57" s="757">
        <v>2014</v>
      </c>
      <c r="E57" s="783">
        <f>'10-CWIP'!G67</f>
        <v>14970553.580666667</v>
      </c>
      <c r="F57" s="783">
        <f>'10-CWIP'!H67</f>
        <v>311404.80000000005</v>
      </c>
      <c r="G57" s="783">
        <f>'10-CWIP'!I67</f>
        <v>1099436.1585500001</v>
      </c>
      <c r="H57" s="820">
        <v>0</v>
      </c>
      <c r="I57" s="776">
        <v>0</v>
      </c>
      <c r="J57" s="821">
        <v>0</v>
      </c>
      <c r="K57" s="717">
        <f t="shared" si="37"/>
        <v>1946845532.9057229</v>
      </c>
      <c r="L57" s="717">
        <f t="shared" si="36"/>
        <v>4035974.0760074467</v>
      </c>
      <c r="M57" s="717">
        <f t="shared" si="38"/>
        <v>24445058.799072944</v>
      </c>
      <c r="N57" s="717">
        <f t="shared" si="33"/>
        <v>1922400474.1066499</v>
      </c>
      <c r="O57" s="822">
        <v>0</v>
      </c>
      <c r="P57" s="821">
        <f t="shared" si="34"/>
        <v>0</v>
      </c>
      <c r="S57" s="717"/>
      <c r="T57" s="782"/>
      <c r="U57" s="778"/>
      <c r="V57" s="560"/>
      <c r="W57" s="782"/>
      <c r="X57" s="778"/>
      <c r="Y57" s="560"/>
    </row>
    <row r="58" spans="1:25" x14ac:dyDescent="0.2">
      <c r="A58" s="772">
        <f t="shared" si="35"/>
        <v>39</v>
      </c>
      <c r="C58" s="759" t="s">
        <v>203</v>
      </c>
      <c r="D58" s="757">
        <v>2014</v>
      </c>
      <c r="E58" s="783">
        <f>'10-CWIP'!G68</f>
        <v>11816256.540666668</v>
      </c>
      <c r="F58" s="783">
        <f>'10-CWIP'!H68</f>
        <v>370817.76</v>
      </c>
      <c r="G58" s="783">
        <f>'10-CWIP'!I68</f>
        <v>858407.90854999993</v>
      </c>
      <c r="H58" s="820">
        <v>0</v>
      </c>
      <c r="I58" s="776">
        <v>0</v>
      </c>
      <c r="J58" s="821">
        <v>0</v>
      </c>
      <c r="K58" s="717">
        <f t="shared" si="37"/>
        <v>1959520197.3549395</v>
      </c>
      <c r="L58" s="717">
        <f t="shared" si="36"/>
        <v>4069565.791118369</v>
      </c>
      <c r="M58" s="717">
        <f t="shared" si="38"/>
        <v>28514624.590191312</v>
      </c>
      <c r="N58" s="717">
        <f t="shared" si="33"/>
        <v>1931005572.7647481</v>
      </c>
      <c r="O58" s="822">
        <v>0</v>
      </c>
      <c r="P58" s="821">
        <f t="shared" si="34"/>
        <v>0</v>
      </c>
      <c r="S58" s="717"/>
      <c r="T58" s="782"/>
      <c r="U58" s="778"/>
      <c r="V58" s="560"/>
      <c r="W58" s="782"/>
      <c r="X58" s="778"/>
      <c r="Y58" s="560"/>
    </row>
    <row r="59" spans="1:25" x14ac:dyDescent="0.2">
      <c r="A59" s="772">
        <f t="shared" si="35"/>
        <v>40</v>
      </c>
      <c r="C59" s="759" t="s">
        <v>216</v>
      </c>
      <c r="D59" s="757">
        <v>2014</v>
      </c>
      <c r="E59" s="783">
        <f>'10-CWIP'!G69</f>
        <v>11147138.220666667</v>
      </c>
      <c r="F59" s="783">
        <f>'10-CWIP'!H69</f>
        <v>437989.44</v>
      </c>
      <c r="G59" s="783">
        <f>'10-CWIP'!I69</f>
        <v>803186.15854999993</v>
      </c>
      <c r="H59" s="820">
        <v>0</v>
      </c>
      <c r="I59" s="776">
        <v>0</v>
      </c>
      <c r="J59" s="821">
        <v>0</v>
      </c>
      <c r="K59" s="717">
        <f t="shared" si="37"/>
        <v>1971470521.7341561</v>
      </c>
      <c r="L59" s="717">
        <f t="shared" si="36"/>
        <v>4096060.1277180738</v>
      </c>
      <c r="M59" s="717">
        <f t="shared" si="38"/>
        <v>32610684.717909385</v>
      </c>
      <c r="N59" s="717">
        <f t="shared" si="33"/>
        <v>1938859837.0162468</v>
      </c>
      <c r="O59" s="822">
        <v>0</v>
      </c>
      <c r="P59" s="821">
        <f t="shared" si="34"/>
        <v>0</v>
      </c>
      <c r="S59" s="717"/>
      <c r="T59" s="782"/>
      <c r="U59" s="778"/>
      <c r="V59" s="560"/>
      <c r="W59" s="782"/>
      <c r="X59" s="778"/>
      <c r="Y59" s="560"/>
    </row>
    <row r="60" spans="1:25" x14ac:dyDescent="0.2">
      <c r="A60" s="772">
        <f t="shared" si="35"/>
        <v>41</v>
      </c>
      <c r="C60" s="756" t="s">
        <v>204</v>
      </c>
      <c r="D60" s="757">
        <v>2014</v>
      </c>
      <c r="E60" s="783">
        <f>'10-CWIP'!G70</f>
        <v>5752812.583333333</v>
      </c>
      <c r="F60" s="783">
        <f>'10-CWIP'!H70</f>
        <v>300000</v>
      </c>
      <c r="G60" s="783">
        <f>'10-CWIP'!I70</f>
        <v>408960.94374999998</v>
      </c>
      <c r="H60" s="820">
        <v>0</v>
      </c>
      <c r="I60" s="776">
        <v>0</v>
      </c>
      <c r="J60" s="821">
        <v>0</v>
      </c>
      <c r="K60" s="717">
        <f t="shared" si="37"/>
        <v>1977632295.2612393</v>
      </c>
      <c r="L60" s="717">
        <f t="shared" si="36"/>
        <v>4121040.3485236983</v>
      </c>
      <c r="M60" s="717">
        <f t="shared" si="38"/>
        <v>36731725.06643308</v>
      </c>
      <c r="N60" s="717">
        <f t="shared" si="33"/>
        <v>1940900570.1948061</v>
      </c>
      <c r="O60" s="822">
        <v>0</v>
      </c>
      <c r="P60" s="821">
        <f t="shared" si="34"/>
        <v>0</v>
      </c>
      <c r="S60" s="717"/>
      <c r="T60" s="782"/>
      <c r="U60" s="778"/>
      <c r="V60" s="560"/>
      <c r="W60" s="782"/>
      <c r="X60" s="778"/>
      <c r="Y60" s="560"/>
    </row>
    <row r="61" spans="1:25" x14ac:dyDescent="0.2">
      <c r="A61" s="772">
        <f t="shared" si="35"/>
        <v>42</v>
      </c>
      <c r="C61" s="759" t="s">
        <v>205</v>
      </c>
      <c r="D61" s="757">
        <v>2014</v>
      </c>
      <c r="E61" s="783">
        <f>'10-CWIP'!G71</f>
        <v>4127812.5833333335</v>
      </c>
      <c r="F61" s="783">
        <f>'10-CWIP'!H71</f>
        <v>300000</v>
      </c>
      <c r="G61" s="783">
        <f>'10-CWIP'!I71</f>
        <v>287085.94374999998</v>
      </c>
      <c r="H61" s="820">
        <v>0</v>
      </c>
      <c r="I61" s="776">
        <v>0</v>
      </c>
      <c r="J61" s="821">
        <v>0</v>
      </c>
      <c r="K61" s="717">
        <f t="shared" si="37"/>
        <v>1982047193.7883224</v>
      </c>
      <c r="L61" s="717">
        <f t="shared" si="36"/>
        <v>4133920.5397533588</v>
      </c>
      <c r="M61" s="717">
        <f t="shared" si="38"/>
        <v>40865645.606186435</v>
      </c>
      <c r="N61" s="717">
        <f t="shared" si="33"/>
        <v>1941181548.1821361</v>
      </c>
      <c r="O61" s="822">
        <v>0</v>
      </c>
      <c r="P61" s="821">
        <f t="shared" si="34"/>
        <v>0</v>
      </c>
      <c r="S61" s="717"/>
      <c r="T61" s="782"/>
      <c r="U61" s="778"/>
      <c r="V61" s="560"/>
      <c r="W61" s="782"/>
      <c r="X61" s="778"/>
      <c r="Y61" s="560"/>
    </row>
    <row r="62" spans="1:25" x14ac:dyDescent="0.2">
      <c r="A62" s="772">
        <f t="shared" si="35"/>
        <v>43</v>
      </c>
      <c r="C62" s="759" t="s">
        <v>206</v>
      </c>
      <c r="D62" s="757">
        <v>2014</v>
      </c>
      <c r="E62" s="783">
        <f>'10-CWIP'!G72</f>
        <v>4018645.583333333</v>
      </c>
      <c r="F62" s="783">
        <f>'10-CWIP'!H72</f>
        <v>185633</v>
      </c>
      <c r="G62" s="783">
        <f>'10-CWIP'!I72</f>
        <v>287475.94374999998</v>
      </c>
      <c r="H62" s="820">
        <v>0</v>
      </c>
      <c r="I62" s="776">
        <v>0</v>
      </c>
      <c r="J62" s="821">
        <v>0</v>
      </c>
      <c r="K62" s="717">
        <f t="shared" si="37"/>
        <v>1986353315.3154056</v>
      </c>
      <c r="L62" s="717">
        <f t="shared" si="36"/>
        <v>4143149.1712566814</v>
      </c>
      <c r="M62" s="717">
        <f t="shared" si="38"/>
        <v>45008794.777443118</v>
      </c>
      <c r="N62" s="717">
        <f t="shared" si="33"/>
        <v>1941344520.5379624</v>
      </c>
      <c r="O62" s="822">
        <v>0</v>
      </c>
      <c r="P62" s="821">
        <f t="shared" si="34"/>
        <v>0</v>
      </c>
      <c r="S62" s="717"/>
      <c r="T62" s="782"/>
      <c r="U62" s="778"/>
      <c r="V62" s="560"/>
      <c r="W62" s="782"/>
      <c r="X62" s="778"/>
      <c r="Y62" s="560"/>
    </row>
    <row r="63" spans="1:25" x14ac:dyDescent="0.2">
      <c r="A63" s="772">
        <f t="shared" si="35"/>
        <v>44</v>
      </c>
      <c r="C63" s="756" t="s">
        <v>207</v>
      </c>
      <c r="D63" s="757">
        <v>2014</v>
      </c>
      <c r="E63" s="783">
        <f>'10-CWIP'!G73</f>
        <v>1474429.9166666665</v>
      </c>
      <c r="F63" s="783">
        <f>'10-CWIP'!H73</f>
        <v>0</v>
      </c>
      <c r="G63" s="783">
        <f>'10-CWIP'!I73</f>
        <v>110582.24374999999</v>
      </c>
      <c r="H63" s="820">
        <v>0</v>
      </c>
      <c r="I63" s="776">
        <v>0</v>
      </c>
      <c r="J63" s="821">
        <v>0</v>
      </c>
      <c r="K63" s="717">
        <f t="shared" si="37"/>
        <v>1987938327.4758224</v>
      </c>
      <c r="L63" s="717">
        <f t="shared" si="36"/>
        <v>4152150.4220302138</v>
      </c>
      <c r="M63" s="717">
        <f t="shared" si="38"/>
        <v>49160945.199473329</v>
      </c>
      <c r="N63" s="717">
        <f t="shared" si="33"/>
        <v>1938777382.2763491</v>
      </c>
      <c r="O63" s="822">
        <v>0</v>
      </c>
      <c r="P63" s="821">
        <f t="shared" si="34"/>
        <v>0</v>
      </c>
      <c r="S63" s="717"/>
      <c r="T63" s="782"/>
      <c r="U63" s="778"/>
      <c r="V63" s="560"/>
      <c r="W63" s="782"/>
      <c r="X63" s="778"/>
      <c r="Y63" s="560"/>
    </row>
    <row r="64" spans="1:25" x14ac:dyDescent="0.2">
      <c r="A64" s="772">
        <f t="shared" si="35"/>
        <v>45</v>
      </c>
      <c r="C64" s="759" t="s">
        <v>208</v>
      </c>
      <c r="D64" s="757">
        <v>2014</v>
      </c>
      <c r="E64" s="783">
        <f>'10-CWIP'!G74</f>
        <v>1434529.9166666665</v>
      </c>
      <c r="F64" s="783">
        <f>'10-CWIP'!H74</f>
        <v>0</v>
      </c>
      <c r="G64" s="783">
        <f>'10-CWIP'!I74</f>
        <v>107589.74374999999</v>
      </c>
      <c r="H64" s="820">
        <v>0</v>
      </c>
      <c r="I64" s="776">
        <v>0</v>
      </c>
      <c r="J64" s="821">
        <v>0</v>
      </c>
      <c r="K64" s="717">
        <f t="shared" si="37"/>
        <v>1989480447.1362393</v>
      </c>
      <c r="L64" s="717">
        <f t="shared" si="36"/>
        <v>4155463.6336628348</v>
      </c>
      <c r="M64" s="717">
        <f t="shared" si="38"/>
        <v>53316408.833136164</v>
      </c>
      <c r="N64" s="717">
        <f t="shared" si="33"/>
        <v>1936164038.3031032</v>
      </c>
      <c r="O64" s="822">
        <v>0</v>
      </c>
      <c r="P64" s="821">
        <f t="shared" si="34"/>
        <v>0</v>
      </c>
      <c r="S64" s="717"/>
      <c r="T64" s="782"/>
      <c r="U64" s="778"/>
      <c r="V64" s="560"/>
      <c r="W64" s="782"/>
      <c r="X64" s="778"/>
      <c r="Y64" s="560"/>
    </row>
    <row r="65" spans="1:25" x14ac:dyDescent="0.2">
      <c r="A65" s="772">
        <f t="shared" si="35"/>
        <v>46</v>
      </c>
      <c r="C65" s="759" t="s">
        <v>209</v>
      </c>
      <c r="D65" s="757">
        <v>2014</v>
      </c>
      <c r="E65" s="783">
        <f>'10-CWIP'!G75</f>
        <v>1592479.9166666665</v>
      </c>
      <c r="F65" s="783">
        <f>'10-CWIP'!H75</f>
        <v>157950</v>
      </c>
      <c r="G65" s="783">
        <f>'10-CWIP'!I75</f>
        <v>107589.74374999999</v>
      </c>
      <c r="H65" s="820">
        <v>0</v>
      </c>
      <c r="I65" s="776">
        <v>0</v>
      </c>
      <c r="J65" s="821">
        <v>0</v>
      </c>
      <c r="K65" s="717">
        <f t="shared" si="37"/>
        <v>1991180516.7966561</v>
      </c>
      <c r="L65" s="717">
        <f t="shared" si="36"/>
        <v>4158687.185459713</v>
      </c>
      <c r="M65" s="717">
        <f t="shared" si="38"/>
        <v>57475096.018595874</v>
      </c>
      <c r="N65" s="717">
        <f t="shared" si="33"/>
        <v>1933705420.7780602</v>
      </c>
      <c r="O65" s="822">
        <v>0</v>
      </c>
      <c r="P65" s="821">
        <f t="shared" si="34"/>
        <v>0</v>
      </c>
      <c r="S65" s="717"/>
      <c r="T65" s="782"/>
      <c r="U65" s="778"/>
      <c r="V65" s="560"/>
      <c r="W65" s="782"/>
      <c r="X65" s="778"/>
      <c r="Y65" s="560"/>
    </row>
    <row r="66" spans="1:25" x14ac:dyDescent="0.2">
      <c r="A66" s="773">
        <f t="shared" si="35"/>
        <v>47</v>
      </c>
      <c r="C66" s="759" t="s">
        <v>212</v>
      </c>
      <c r="D66" s="757">
        <v>2014</v>
      </c>
      <c r="E66" s="783">
        <f>'10-CWIP'!G76</f>
        <v>1431529.9166666665</v>
      </c>
      <c r="F66" s="783">
        <f>'10-CWIP'!H76</f>
        <v>0</v>
      </c>
      <c r="G66" s="783">
        <f>'10-CWIP'!I76</f>
        <v>107364.74374999999</v>
      </c>
      <c r="H66" s="820">
        <v>0</v>
      </c>
      <c r="I66" s="776">
        <v>0</v>
      </c>
      <c r="J66" s="821">
        <v>0</v>
      </c>
      <c r="K66" s="717">
        <f t="shared" ref="K66:K68" si="39">K65+E66+G66</f>
        <v>1992719411.457073</v>
      </c>
      <c r="L66" s="717">
        <f t="shared" si="36"/>
        <v>4162240.9061918478</v>
      </c>
      <c r="M66" s="717">
        <f t="shared" ref="M66:M68" si="40">M65+L66</f>
        <v>61637336.924787723</v>
      </c>
      <c r="N66" s="717">
        <f t="shared" ref="N66:N68" si="41">K66-M66</f>
        <v>1931082074.5322852</v>
      </c>
      <c r="O66" s="822">
        <v>0</v>
      </c>
      <c r="P66" s="821">
        <f t="shared" si="34"/>
        <v>0</v>
      </c>
      <c r="S66" s="717"/>
      <c r="T66" s="782"/>
      <c r="U66" s="778"/>
      <c r="V66" s="560"/>
      <c r="W66" s="782"/>
      <c r="X66" s="778"/>
      <c r="Y66" s="560"/>
    </row>
    <row r="67" spans="1:25" x14ac:dyDescent="0.2">
      <c r="A67" s="773">
        <f t="shared" si="35"/>
        <v>48</v>
      </c>
      <c r="C67" s="759" t="s">
        <v>211</v>
      </c>
      <c r="D67" s="757">
        <v>2014</v>
      </c>
      <c r="E67" s="783">
        <f>'10-CWIP'!G77</f>
        <v>1589529.9166666665</v>
      </c>
      <c r="F67" s="783">
        <f>'10-CWIP'!H77</f>
        <v>0</v>
      </c>
      <c r="G67" s="783">
        <f>'10-CWIP'!I77</f>
        <v>119214.74374999999</v>
      </c>
      <c r="H67" s="820">
        <v>0</v>
      </c>
      <c r="I67" s="776">
        <v>0</v>
      </c>
      <c r="J67" s="821">
        <v>0</v>
      </c>
      <c r="K67" s="717">
        <f t="shared" si="39"/>
        <v>1994428156.1174898</v>
      </c>
      <c r="L67" s="717">
        <f t="shared" si="36"/>
        <v>4165457.7166476934</v>
      </c>
      <c r="M67" s="717">
        <f t="shared" si="40"/>
        <v>65802794.641435415</v>
      </c>
      <c r="N67" s="717">
        <f t="shared" si="41"/>
        <v>1928625361.4760544</v>
      </c>
      <c r="O67" s="822">
        <v>0</v>
      </c>
      <c r="P67" s="821">
        <f t="shared" si="34"/>
        <v>0</v>
      </c>
      <c r="S67" s="717"/>
      <c r="T67" s="782"/>
      <c r="U67" s="778"/>
      <c r="V67" s="560"/>
      <c r="W67" s="782"/>
      <c r="X67" s="778"/>
      <c r="Y67" s="560"/>
    </row>
    <row r="68" spans="1:25" x14ac:dyDescent="0.2">
      <c r="A68" s="773">
        <f t="shared" si="35"/>
        <v>49</v>
      </c>
      <c r="C68" s="759" t="s">
        <v>201</v>
      </c>
      <c r="D68" s="757">
        <v>2014</v>
      </c>
      <c r="E68" s="783">
        <f>'10-CWIP'!G78</f>
        <v>60839963.86666666</v>
      </c>
      <c r="F68" s="783">
        <f>'10-CWIP'!H78</f>
        <v>15217238.950000001</v>
      </c>
      <c r="G68" s="783">
        <f>'10-CWIP'!I78</f>
        <v>3421704.3687499994</v>
      </c>
      <c r="H68" s="820">
        <v>0</v>
      </c>
      <c r="I68" s="776">
        <v>0</v>
      </c>
      <c r="J68" s="821">
        <v>0</v>
      </c>
      <c r="K68" s="717">
        <f t="shared" si="39"/>
        <v>2058689824.3529065</v>
      </c>
      <c r="L68" s="717">
        <f t="shared" si="36"/>
        <v>4169029.5710646226</v>
      </c>
      <c r="M68" s="717">
        <f t="shared" si="40"/>
        <v>69971824.212500036</v>
      </c>
      <c r="N68" s="717">
        <f t="shared" si="41"/>
        <v>1988718000.1404064</v>
      </c>
      <c r="O68" s="822">
        <v>0</v>
      </c>
      <c r="P68" s="821">
        <f t="shared" si="34"/>
        <v>0</v>
      </c>
      <c r="S68" s="717"/>
      <c r="T68" s="782"/>
      <c r="U68" s="778"/>
      <c r="V68" s="560"/>
      <c r="W68" s="782"/>
      <c r="X68" s="778"/>
      <c r="Y68" s="560"/>
    </row>
    <row r="69" spans="1:25" x14ac:dyDescent="0.2">
      <c r="A69" s="772"/>
      <c r="D69" s="781"/>
      <c r="G69" s="717"/>
      <c r="M69" s="712"/>
      <c r="N69" s="776"/>
    </row>
    <row r="70" spans="1:25" x14ac:dyDescent="0.2">
      <c r="A70" s="772"/>
      <c r="B70" s="719" t="s">
        <v>2430</v>
      </c>
      <c r="D70" s="781"/>
      <c r="G70" s="823"/>
      <c r="M70" s="712"/>
      <c r="N70" s="776"/>
    </row>
    <row r="71" spans="1:25" x14ac:dyDescent="0.2">
      <c r="A71" s="772"/>
      <c r="E71" s="767" t="s">
        <v>396</v>
      </c>
      <c r="F71" s="767" t="s">
        <v>380</v>
      </c>
      <c r="G71" s="767" t="s">
        <v>381</v>
      </c>
      <c r="H71" s="767" t="s">
        <v>382</v>
      </c>
      <c r="I71" s="767" t="s">
        <v>383</v>
      </c>
      <c r="J71" s="767" t="s">
        <v>384</v>
      </c>
      <c r="K71" s="767" t="s">
        <v>385</v>
      </c>
      <c r="L71" s="767" t="s">
        <v>599</v>
      </c>
      <c r="M71" s="767" t="s">
        <v>1048</v>
      </c>
      <c r="N71" s="767" t="s">
        <v>1064</v>
      </c>
      <c r="O71" s="767" t="s">
        <v>1067</v>
      </c>
      <c r="P71" s="767" t="s">
        <v>1085</v>
      </c>
    </row>
    <row r="72" spans="1:25" ht="25.5" x14ac:dyDescent="0.2">
      <c r="A72" s="772"/>
      <c r="E72" s="769"/>
      <c r="F72" s="769"/>
      <c r="G72" s="770" t="str">
        <f>"=(C"&amp;RIGHT(E71)&amp;"-C"&amp;RIGHT(F71)&amp;")*L"&amp;$A$103</f>
        <v>=(C1-C2)*L74</v>
      </c>
      <c r="H72" s="769" t="str">
        <f>"=(C"&amp;RIGHT(E71)&amp;"-C"&amp;RIGHT(F71)&amp;"+C"&amp;RIGHT(G71)&amp;")*L"&amp;$A$107</f>
        <v>=(C1-C2+C3)*L75</v>
      </c>
      <c r="I72" s="769" t="str">
        <f>"=C"&amp;RIGHT(E71)&amp;"-C"&amp;RIGHT(F71)&amp;"+C"&amp;RIGHT(G71)&amp;"-C"&amp;RIGHT(H71)</f>
        <v>=C1-C2+C3-C4</v>
      </c>
      <c r="J72" s="770" t="str">
        <f>"=C"&amp;RIGHT(I71)&amp;"*L"&amp;$A$111</f>
        <v>=C5*L76</v>
      </c>
      <c r="K72" s="817" t="s">
        <v>2431</v>
      </c>
      <c r="L72" s="818" t="s">
        <v>2767</v>
      </c>
      <c r="M72" s="819" t="s">
        <v>2429</v>
      </c>
      <c r="N72" s="769" t="str">
        <f>"=C"&amp;RIGHT(K71)&amp;"-C"&amp;RIGHT(M71)</f>
        <v>=C7-C9</v>
      </c>
      <c r="P72" s="819" t="s">
        <v>2768</v>
      </c>
    </row>
    <row r="73" spans="1:25" x14ac:dyDescent="0.2">
      <c r="A73" s="772"/>
      <c r="C73" s="772" t="str">
        <f>C10</f>
        <v>Forecast</v>
      </c>
      <c r="E73" s="772" t="str">
        <f>E10</f>
        <v>Unloaded</v>
      </c>
      <c r="F73" s="772"/>
      <c r="G73" s="772"/>
      <c r="H73" s="773"/>
      <c r="I73" s="773" t="str">
        <f>I10</f>
        <v>AFUDC</v>
      </c>
      <c r="J73" s="773"/>
      <c r="K73" s="773"/>
      <c r="L73" s="773"/>
      <c r="M73" s="773"/>
      <c r="O73" s="772" t="str">
        <f>O10</f>
        <v>Unloaded</v>
      </c>
      <c r="P73" s="772" t="str">
        <f>P10</f>
        <v>Loaded</v>
      </c>
    </row>
    <row r="74" spans="1:25" x14ac:dyDescent="0.2">
      <c r="A74" s="772"/>
      <c r="C74" s="772" t="str">
        <f>C11</f>
        <v>Period</v>
      </c>
      <c r="E74" s="772" t="str">
        <f>E11</f>
        <v>Total</v>
      </c>
      <c r="F74" s="772" t="str">
        <f t="shared" ref="F74:H75" si="42">F11</f>
        <v>Prior Period</v>
      </c>
      <c r="G74" s="773" t="str">
        <f t="shared" si="42"/>
        <v>Over Heads</v>
      </c>
      <c r="H74" s="773" t="str">
        <f t="shared" si="42"/>
        <v xml:space="preserve">Cost of </v>
      </c>
      <c r="I74" s="773" t="str">
        <f>I11</f>
        <v>Eligible Plant</v>
      </c>
      <c r="J74" s="773"/>
      <c r="K74" s="773" t="str">
        <f t="shared" ref="K74:M74" si="43">K11</f>
        <v>Incremental</v>
      </c>
      <c r="L74" s="773" t="str">
        <f t="shared" si="43"/>
        <v>Depreciation</v>
      </c>
      <c r="M74" s="773" t="str">
        <f t="shared" si="43"/>
        <v>Incremental</v>
      </c>
      <c r="O74" s="773" t="str">
        <f>O11</f>
        <v>Low Voltage</v>
      </c>
      <c r="P74" s="773" t="str">
        <f>P11</f>
        <v>Low Voltage</v>
      </c>
      <c r="Q74" s="772"/>
    </row>
    <row r="75" spans="1:25" x14ac:dyDescent="0.2">
      <c r="A75" s="774" t="s">
        <v>362</v>
      </c>
      <c r="C75" s="755" t="str">
        <f>C12</f>
        <v>Month</v>
      </c>
      <c r="D75" s="755" t="str">
        <f>D12</f>
        <v>Year</v>
      </c>
      <c r="E75" s="768" t="str">
        <f>E12</f>
        <v>Plant Adds</v>
      </c>
      <c r="F75" s="768" t="str">
        <f t="shared" si="42"/>
        <v>CWIP Closed</v>
      </c>
      <c r="G75" s="775" t="str">
        <f t="shared" si="42"/>
        <v>Closed to PIS</v>
      </c>
      <c r="H75" s="775" t="str">
        <f t="shared" si="42"/>
        <v>Removal</v>
      </c>
      <c r="I75" s="775" t="str">
        <f>I12</f>
        <v>Additions</v>
      </c>
      <c r="J75" s="775" t="str">
        <f t="shared" ref="J75:P75" si="44">J12</f>
        <v>AFUDC</v>
      </c>
      <c r="K75" s="775" t="str">
        <f t="shared" si="44"/>
        <v>Gross Plant</v>
      </c>
      <c r="L75" s="775" t="str">
        <f t="shared" si="44"/>
        <v>Accrual</v>
      </c>
      <c r="M75" s="775" t="str">
        <f t="shared" si="44"/>
        <v>Reserve</v>
      </c>
      <c r="N75" s="775" t="str">
        <f t="shared" si="44"/>
        <v>Net Plant</v>
      </c>
      <c r="O75" s="775" t="str">
        <f t="shared" si="44"/>
        <v>Additions</v>
      </c>
      <c r="P75" s="775" t="str">
        <f t="shared" si="44"/>
        <v>Additions</v>
      </c>
      <c r="Q75" s="775"/>
      <c r="S75" s="824"/>
      <c r="T75" s="775"/>
      <c r="U75" s="775"/>
      <c r="V75" s="775"/>
      <c r="W75" s="775"/>
      <c r="X75" s="775"/>
      <c r="Y75" s="775"/>
    </row>
    <row r="76" spans="1:25" x14ac:dyDescent="0.2">
      <c r="A76" s="772">
        <f>A68+1</f>
        <v>50</v>
      </c>
      <c r="C76" s="756" t="str">
        <f t="shared" ref="C76:C96" si="45">C45</f>
        <v>January</v>
      </c>
      <c r="D76" s="757">
        <v>2013</v>
      </c>
      <c r="E76" s="784">
        <v>4768901.1570750829</v>
      </c>
      <c r="F76" s="784">
        <v>0</v>
      </c>
      <c r="G76" s="776">
        <f t="shared" ref="G76:G96" si="46">(E76-F76)*$E$103</f>
        <v>357667.58678063122</v>
      </c>
      <c r="H76" s="717">
        <f t="shared" ref="H76:H96" si="47">(E76-F76+G76)*$E$107</f>
        <v>410125.49950845714</v>
      </c>
      <c r="I76" s="776">
        <f>E76-F76+G76-H76</f>
        <v>4716443.2443472566</v>
      </c>
      <c r="J76" s="776">
        <f t="shared" ref="J76:J96" si="48">I76*$E$111</f>
        <v>141493.2973304177</v>
      </c>
      <c r="K76" s="717">
        <f>F76+I76+J76</f>
        <v>4857936.5416776743</v>
      </c>
      <c r="L76" s="717">
        <v>0</v>
      </c>
      <c r="M76" s="717">
        <f>L76</f>
        <v>0</v>
      </c>
      <c r="N76" s="717">
        <f t="shared" ref="N76:N96" si="49">K76-M76</f>
        <v>4857936.5416776743</v>
      </c>
      <c r="O76" s="822">
        <v>0</v>
      </c>
      <c r="P76" s="717">
        <f t="shared" ref="P76:P96" si="50">O76*(1-$E$107)*(1+$E$103+$E$111)</f>
        <v>0</v>
      </c>
      <c r="Q76" s="782"/>
      <c r="R76" s="778"/>
      <c r="S76" s="782"/>
      <c r="T76" s="782"/>
      <c r="U76" s="778"/>
      <c r="V76" s="560"/>
      <c r="W76" s="782"/>
      <c r="X76" s="778"/>
      <c r="Y76" s="560"/>
    </row>
    <row r="77" spans="1:25" x14ac:dyDescent="0.2">
      <c r="A77" s="772">
        <f t="shared" si="35"/>
        <v>51</v>
      </c>
      <c r="C77" s="756" t="str">
        <f t="shared" si="45"/>
        <v>February</v>
      </c>
      <c r="D77" s="757">
        <v>2013</v>
      </c>
      <c r="E77" s="784">
        <v>20699324.054475039</v>
      </c>
      <c r="F77" s="784">
        <v>15103322.447399961</v>
      </c>
      <c r="G77" s="776">
        <f t="shared" si="46"/>
        <v>419700.12053063087</v>
      </c>
      <c r="H77" s="717">
        <f t="shared" si="47"/>
        <v>481256.13820845674</v>
      </c>
      <c r="I77" s="776">
        <f t="shared" ref="I77:I96" si="51">E77-F77+G77-H77</f>
        <v>5534445.5893972525</v>
      </c>
      <c r="J77" s="776">
        <f t="shared" si="48"/>
        <v>166033.36768191756</v>
      </c>
      <c r="K77" s="717">
        <f>K76+J77+I77+F77</f>
        <v>25661737.946156807</v>
      </c>
      <c r="L77" s="717">
        <f t="shared" ref="L77:L96" si="52">K76*$E$133/12</f>
        <v>10154.730835747663</v>
      </c>
      <c r="M77" s="717">
        <f>M76+L77</f>
        <v>10154.730835747663</v>
      </c>
      <c r="N77" s="717">
        <f t="shared" si="49"/>
        <v>25651583.21532106</v>
      </c>
      <c r="O77" s="822">
        <v>0</v>
      </c>
      <c r="P77" s="717">
        <f t="shared" si="50"/>
        <v>0</v>
      </c>
      <c r="Q77" s="782"/>
      <c r="R77" s="778"/>
      <c r="S77" s="782"/>
      <c r="T77" s="782"/>
      <c r="U77" s="778"/>
      <c r="V77" s="560"/>
      <c r="W77" s="782"/>
      <c r="X77" s="778"/>
      <c r="Y77" s="560"/>
    </row>
    <row r="78" spans="1:25" x14ac:dyDescent="0.2">
      <c r="A78" s="772">
        <f t="shared" si="35"/>
        <v>52</v>
      </c>
      <c r="C78" s="756" t="str">
        <f t="shared" si="45"/>
        <v>March</v>
      </c>
      <c r="D78" s="757">
        <v>2013</v>
      </c>
      <c r="E78" s="784">
        <v>4768901.157075081</v>
      </c>
      <c r="F78" s="784">
        <v>0</v>
      </c>
      <c r="G78" s="776">
        <f t="shared" si="46"/>
        <v>357667.58678063104</v>
      </c>
      <c r="H78" s="717">
        <f t="shared" si="47"/>
        <v>410125.49950845697</v>
      </c>
      <c r="I78" s="776">
        <f t="shared" si="51"/>
        <v>4716443.2443472547</v>
      </c>
      <c r="J78" s="776">
        <f t="shared" si="48"/>
        <v>141493.29733041764</v>
      </c>
      <c r="K78" s="717">
        <f t="shared" ref="K78:K96" si="53">K77+J78+I78+F78</f>
        <v>30519674.48783448</v>
      </c>
      <c r="L78" s="717">
        <f t="shared" si="52"/>
        <v>53641.713798657642</v>
      </c>
      <c r="M78" s="717">
        <f t="shared" ref="M78:M96" si="54">M77+L78</f>
        <v>63796.444634405307</v>
      </c>
      <c r="N78" s="717">
        <f t="shared" si="49"/>
        <v>30455878.043200076</v>
      </c>
      <c r="O78" s="822">
        <v>0</v>
      </c>
      <c r="P78" s="717">
        <f t="shared" si="50"/>
        <v>0</v>
      </c>
      <c r="Q78" s="782"/>
      <c r="R78" s="778"/>
      <c r="S78" s="782"/>
      <c r="T78" s="782"/>
      <c r="U78" s="778"/>
      <c r="V78" s="560"/>
      <c r="W78" s="782"/>
      <c r="X78" s="778"/>
      <c r="Y78" s="560"/>
    </row>
    <row r="79" spans="1:25" x14ac:dyDescent="0.2">
      <c r="A79" s="772">
        <f t="shared" si="35"/>
        <v>53</v>
      </c>
      <c r="C79" s="756" t="str">
        <f t="shared" si="45"/>
        <v>April</v>
      </c>
      <c r="D79" s="757">
        <v>2013</v>
      </c>
      <c r="E79" s="784">
        <v>17564681.557075087</v>
      </c>
      <c r="F79" s="784">
        <v>2977990.399999999</v>
      </c>
      <c r="G79" s="776">
        <f t="shared" si="46"/>
        <v>1094001.8367806317</v>
      </c>
      <c r="H79" s="717">
        <f t="shared" si="47"/>
        <v>1254455.4395084577</v>
      </c>
      <c r="I79" s="776">
        <f t="shared" si="51"/>
        <v>14426237.554347262</v>
      </c>
      <c r="J79" s="776">
        <f t="shared" si="48"/>
        <v>432787.12663041783</v>
      </c>
      <c r="K79" s="717">
        <f t="shared" si="53"/>
        <v>48356689.568812154</v>
      </c>
      <c r="L79" s="717">
        <f t="shared" si="52"/>
        <v>63796.444634405292</v>
      </c>
      <c r="M79" s="717">
        <f t="shared" si="54"/>
        <v>127592.8892688106</v>
      </c>
      <c r="N79" s="717">
        <f t="shared" si="49"/>
        <v>48229096.679543346</v>
      </c>
      <c r="O79" s="822">
        <v>0</v>
      </c>
      <c r="P79" s="717">
        <f t="shared" si="50"/>
        <v>0</v>
      </c>
      <c r="Q79" s="782"/>
      <c r="R79" s="778"/>
      <c r="S79" s="782"/>
      <c r="T79" s="782"/>
      <c r="U79" s="778"/>
      <c r="V79" s="560"/>
      <c r="W79" s="782"/>
      <c r="X79" s="778"/>
      <c r="Y79" s="560"/>
    </row>
    <row r="80" spans="1:25" x14ac:dyDescent="0.2">
      <c r="A80" s="772">
        <f t="shared" si="35"/>
        <v>54</v>
      </c>
      <c r="C80" s="756" t="str">
        <f t="shared" si="45"/>
        <v>May</v>
      </c>
      <c r="D80" s="757">
        <v>2013</v>
      </c>
      <c r="E80" s="784">
        <v>29530269.733475074</v>
      </c>
      <c r="F80" s="784">
        <v>18294697.576399993</v>
      </c>
      <c r="G80" s="776">
        <f t="shared" si="46"/>
        <v>842667.91178063105</v>
      </c>
      <c r="H80" s="717">
        <f t="shared" si="47"/>
        <v>966259.20550845703</v>
      </c>
      <c r="I80" s="776">
        <f t="shared" si="51"/>
        <v>11111980.863347255</v>
      </c>
      <c r="J80" s="776">
        <f t="shared" si="48"/>
        <v>333359.42590041761</v>
      </c>
      <c r="K80" s="717">
        <f t="shared" si="53"/>
        <v>78096727.43445982</v>
      </c>
      <c r="L80" s="717">
        <f t="shared" si="52"/>
        <v>101081.84050290451</v>
      </c>
      <c r="M80" s="717">
        <f t="shared" si="54"/>
        <v>228674.72977171512</v>
      </c>
      <c r="N80" s="717">
        <f t="shared" si="49"/>
        <v>77868052.704688102</v>
      </c>
      <c r="O80" s="822">
        <v>0</v>
      </c>
      <c r="P80" s="717">
        <f t="shared" si="50"/>
        <v>0</v>
      </c>
      <c r="Q80" s="782"/>
      <c r="R80" s="778"/>
      <c r="S80" s="782"/>
      <c r="T80" s="782"/>
      <c r="U80" s="778"/>
      <c r="V80" s="560"/>
      <c r="W80" s="782"/>
      <c r="X80" s="778"/>
      <c r="Y80" s="560"/>
    </row>
    <row r="81" spans="1:25" x14ac:dyDescent="0.2">
      <c r="A81" s="772">
        <f t="shared" si="35"/>
        <v>55</v>
      </c>
      <c r="C81" s="756" t="str">
        <f t="shared" si="45"/>
        <v xml:space="preserve">June </v>
      </c>
      <c r="D81" s="757">
        <v>2013</v>
      </c>
      <c r="E81" s="784">
        <v>18165708.387075096</v>
      </c>
      <c r="F81" s="784">
        <v>3090299.2299999986</v>
      </c>
      <c r="G81" s="776">
        <f t="shared" si="46"/>
        <v>1130655.6867806322</v>
      </c>
      <c r="H81" s="717">
        <f t="shared" si="47"/>
        <v>1296485.1875084583</v>
      </c>
      <c r="I81" s="776">
        <f t="shared" si="51"/>
        <v>14909579.656347271</v>
      </c>
      <c r="J81" s="776">
        <f t="shared" si="48"/>
        <v>447287.38969041809</v>
      </c>
      <c r="K81" s="717">
        <f t="shared" si="53"/>
        <v>96543893.710497513</v>
      </c>
      <c r="L81" s="717">
        <f t="shared" si="52"/>
        <v>163248.58084206504</v>
      </c>
      <c r="M81" s="717">
        <f t="shared" si="54"/>
        <v>391923.31061378017</v>
      </c>
      <c r="N81" s="717">
        <f t="shared" si="49"/>
        <v>96151970.399883732</v>
      </c>
      <c r="O81" s="822">
        <v>3222820.86</v>
      </c>
      <c r="P81" s="717">
        <f t="shared" si="50"/>
        <v>3276319.686276</v>
      </c>
      <c r="Q81" s="782"/>
      <c r="R81" s="778"/>
      <c r="S81" s="782"/>
      <c r="T81" s="782"/>
      <c r="U81" s="778"/>
      <c r="V81" s="560"/>
      <c r="W81" s="782"/>
      <c r="X81" s="778"/>
      <c r="Y81" s="560"/>
    </row>
    <row r="82" spans="1:25" x14ac:dyDescent="0.2">
      <c r="A82" s="772">
        <f t="shared" si="35"/>
        <v>56</v>
      </c>
      <c r="C82" s="756" t="str">
        <f t="shared" si="45"/>
        <v>July</v>
      </c>
      <c r="D82" s="757">
        <v>2013</v>
      </c>
      <c r="E82" s="784">
        <v>18937530.69007507</v>
      </c>
      <c r="F82" s="784">
        <v>11518629.533000005</v>
      </c>
      <c r="G82" s="776">
        <f t="shared" si="46"/>
        <v>556417.58678062982</v>
      </c>
      <c r="H82" s="717">
        <f t="shared" si="47"/>
        <v>638025.49950845551</v>
      </c>
      <c r="I82" s="776">
        <f t="shared" si="51"/>
        <v>7337293.2443472389</v>
      </c>
      <c r="J82" s="776">
        <f t="shared" si="48"/>
        <v>220118.79733041715</v>
      </c>
      <c r="K82" s="717">
        <f t="shared" si="53"/>
        <v>115619935.28517519</v>
      </c>
      <c r="L82" s="717">
        <f t="shared" si="52"/>
        <v>201809.39912536685</v>
      </c>
      <c r="M82" s="717">
        <f t="shared" si="54"/>
        <v>593732.70973914699</v>
      </c>
      <c r="N82" s="717">
        <f t="shared" si="49"/>
        <v>115026202.57543604</v>
      </c>
      <c r="O82" s="822">
        <v>3472820.86</v>
      </c>
      <c r="P82" s="717">
        <f t="shared" si="50"/>
        <v>3530469.686276</v>
      </c>
      <c r="Q82" s="782"/>
      <c r="R82" s="778"/>
      <c r="S82" s="782"/>
      <c r="T82" s="782"/>
      <c r="U82" s="778"/>
      <c r="V82" s="560"/>
      <c r="W82" s="782"/>
      <c r="X82" s="778"/>
      <c r="Y82" s="560"/>
    </row>
    <row r="83" spans="1:25" x14ac:dyDescent="0.2">
      <c r="A83" s="772">
        <f t="shared" si="35"/>
        <v>57</v>
      </c>
      <c r="C83" s="756" t="str">
        <f t="shared" si="45"/>
        <v>August</v>
      </c>
      <c r="D83" s="757">
        <v>2013</v>
      </c>
      <c r="E83" s="784">
        <v>6882539.0370751023</v>
      </c>
      <c r="F83" s="784">
        <v>72548.880000000034</v>
      </c>
      <c r="G83" s="776">
        <f t="shared" si="46"/>
        <v>510749.26178063266</v>
      </c>
      <c r="H83" s="717">
        <f t="shared" si="47"/>
        <v>585659.15350845887</v>
      </c>
      <c r="I83" s="776">
        <f t="shared" si="51"/>
        <v>6735080.2653472759</v>
      </c>
      <c r="J83" s="776">
        <f t="shared" si="48"/>
        <v>202052.40796041826</v>
      </c>
      <c r="K83" s="717">
        <f t="shared" si="53"/>
        <v>122629616.83848287</v>
      </c>
      <c r="L83" s="717">
        <f t="shared" si="52"/>
        <v>241684.77953440897</v>
      </c>
      <c r="M83" s="717">
        <f t="shared" si="54"/>
        <v>835417.48927355593</v>
      </c>
      <c r="N83" s="717">
        <f t="shared" si="49"/>
        <v>121794199.34920931</v>
      </c>
      <c r="O83" s="822">
        <v>3472820.86</v>
      </c>
      <c r="P83" s="717">
        <f t="shared" si="50"/>
        <v>3530469.686276</v>
      </c>
      <c r="Q83" s="782"/>
      <c r="R83" s="778"/>
      <c r="S83" s="782"/>
      <c r="T83" s="782"/>
      <c r="U83" s="778"/>
      <c r="V83" s="560"/>
      <c r="W83" s="782"/>
      <c r="X83" s="778"/>
      <c r="Y83" s="560"/>
    </row>
    <row r="84" spans="1:25" x14ac:dyDescent="0.2">
      <c r="A84" s="772">
        <f t="shared" si="35"/>
        <v>58</v>
      </c>
      <c r="C84" s="756" t="str">
        <f t="shared" si="45"/>
        <v>September</v>
      </c>
      <c r="D84" s="757">
        <v>2013</v>
      </c>
      <c r="E84" s="784">
        <v>4768901.1570750773</v>
      </c>
      <c r="F84" s="784">
        <v>0</v>
      </c>
      <c r="G84" s="776">
        <f t="shared" si="46"/>
        <v>357667.58678063081</v>
      </c>
      <c r="H84" s="717">
        <f t="shared" si="47"/>
        <v>410125.49950845668</v>
      </c>
      <c r="I84" s="776">
        <f t="shared" si="51"/>
        <v>4716443.244347252</v>
      </c>
      <c r="J84" s="776">
        <f t="shared" si="48"/>
        <v>141493.29733041755</v>
      </c>
      <c r="K84" s="717">
        <f t="shared" si="53"/>
        <v>127487553.38016054</v>
      </c>
      <c r="L84" s="717">
        <f t="shared" si="52"/>
        <v>256337.38539030243</v>
      </c>
      <c r="M84" s="717">
        <f t="shared" si="54"/>
        <v>1091754.8746638584</v>
      </c>
      <c r="N84" s="717">
        <f t="shared" si="49"/>
        <v>126395798.50549668</v>
      </c>
      <c r="O84" s="822">
        <v>3472820.86</v>
      </c>
      <c r="P84" s="717">
        <f t="shared" si="50"/>
        <v>3530469.686276</v>
      </c>
      <c r="Q84" s="782"/>
      <c r="R84" s="778"/>
      <c r="S84" s="782"/>
      <c r="T84" s="782"/>
      <c r="U84" s="778"/>
      <c r="V84" s="560"/>
      <c r="W84" s="782"/>
      <c r="X84" s="778"/>
      <c r="Y84" s="560"/>
    </row>
    <row r="85" spans="1:25" x14ac:dyDescent="0.2">
      <c r="A85" s="772">
        <f t="shared" si="35"/>
        <v>59</v>
      </c>
      <c r="C85" s="756" t="str">
        <f t="shared" si="45"/>
        <v xml:space="preserve">October </v>
      </c>
      <c r="D85" s="757">
        <v>2013</v>
      </c>
      <c r="E85" s="784">
        <v>11940101.289075106</v>
      </c>
      <c r="F85" s="784">
        <v>6881200.1320000021</v>
      </c>
      <c r="G85" s="776">
        <f t="shared" si="46"/>
        <v>379417.58678063279</v>
      </c>
      <c r="H85" s="717">
        <f t="shared" si="47"/>
        <v>435065.499508459</v>
      </c>
      <c r="I85" s="776">
        <f t="shared" si="51"/>
        <v>5003253.244347278</v>
      </c>
      <c r="J85" s="776">
        <f t="shared" si="48"/>
        <v>150097.59733041833</v>
      </c>
      <c r="K85" s="717">
        <f t="shared" si="53"/>
        <v>139522104.35383824</v>
      </c>
      <c r="L85" s="717">
        <f t="shared" si="52"/>
        <v>266492.11622605013</v>
      </c>
      <c r="M85" s="717">
        <f t="shared" si="54"/>
        <v>1358246.9908899085</v>
      </c>
      <c r="N85" s="717">
        <f t="shared" si="49"/>
        <v>138163857.36294833</v>
      </c>
      <c r="O85" s="822">
        <v>3472820.86</v>
      </c>
      <c r="P85" s="717">
        <f t="shared" si="50"/>
        <v>3530469.686276</v>
      </c>
      <c r="Q85" s="782"/>
      <c r="R85" s="778"/>
      <c r="S85" s="782"/>
      <c r="T85" s="782"/>
      <c r="U85" s="778"/>
      <c r="V85" s="560"/>
      <c r="W85" s="782"/>
      <c r="X85" s="778"/>
      <c r="Y85" s="560"/>
    </row>
    <row r="86" spans="1:25" x14ac:dyDescent="0.2">
      <c r="A86" s="772">
        <f t="shared" si="35"/>
        <v>60</v>
      </c>
      <c r="C86" s="756" t="str">
        <f t="shared" si="45"/>
        <v>November</v>
      </c>
      <c r="D86" s="757">
        <v>2013</v>
      </c>
      <c r="E86" s="784">
        <v>4768901.1570750475</v>
      </c>
      <c r="F86" s="784">
        <v>0</v>
      </c>
      <c r="G86" s="776">
        <f t="shared" si="46"/>
        <v>357667.58678062854</v>
      </c>
      <c r="H86" s="717">
        <f t="shared" si="47"/>
        <v>410125.49950845406</v>
      </c>
      <c r="I86" s="776">
        <f t="shared" si="51"/>
        <v>4716443.2443472212</v>
      </c>
      <c r="J86" s="776">
        <f t="shared" si="48"/>
        <v>141493.29733041662</v>
      </c>
      <c r="K86" s="717">
        <f t="shared" si="53"/>
        <v>144380040.89551586</v>
      </c>
      <c r="L86" s="717">
        <f t="shared" si="52"/>
        <v>291648.39910836582</v>
      </c>
      <c r="M86" s="717">
        <f t="shared" si="54"/>
        <v>1649895.3899982744</v>
      </c>
      <c r="N86" s="717">
        <f t="shared" si="49"/>
        <v>142730145.50551757</v>
      </c>
      <c r="O86" s="822">
        <v>3472820.86</v>
      </c>
      <c r="P86" s="717">
        <f t="shared" si="50"/>
        <v>3530469.686276</v>
      </c>
      <c r="Q86" s="782"/>
      <c r="R86" s="778"/>
      <c r="S86" s="782"/>
      <c r="T86" s="782"/>
      <c r="U86" s="778"/>
      <c r="V86" s="560"/>
      <c r="W86" s="782"/>
      <c r="X86" s="778"/>
      <c r="Y86" s="560"/>
    </row>
    <row r="87" spans="1:25" x14ac:dyDescent="0.2">
      <c r="A87" s="772">
        <f t="shared" si="35"/>
        <v>61</v>
      </c>
      <c r="C87" s="756" t="str">
        <f t="shared" si="45"/>
        <v>December</v>
      </c>
      <c r="D87" s="757">
        <v>2013</v>
      </c>
      <c r="E87" s="784">
        <v>21681046.266475081</v>
      </c>
      <c r="F87" s="784">
        <v>8687283.1593999974</v>
      </c>
      <c r="G87" s="776">
        <f t="shared" si="46"/>
        <v>974532.23303063121</v>
      </c>
      <c r="H87" s="717">
        <f t="shared" si="47"/>
        <v>1117463.6272084573</v>
      </c>
      <c r="I87" s="776">
        <f t="shared" si="51"/>
        <v>12850831.71289726</v>
      </c>
      <c r="J87" s="776">
        <f t="shared" si="48"/>
        <v>385524.95138691779</v>
      </c>
      <c r="K87" s="717">
        <f t="shared" si="53"/>
        <v>166303680.71920004</v>
      </c>
      <c r="L87" s="717">
        <f t="shared" si="52"/>
        <v>301803.12994411337</v>
      </c>
      <c r="M87" s="717">
        <f t="shared" si="54"/>
        <v>1951698.5199423877</v>
      </c>
      <c r="N87" s="717">
        <f t="shared" si="49"/>
        <v>164351982.19925767</v>
      </c>
      <c r="O87" s="822">
        <v>3472820.86</v>
      </c>
      <c r="P87" s="717">
        <f t="shared" si="50"/>
        <v>3530469.686276</v>
      </c>
      <c r="Q87" s="782"/>
      <c r="R87" s="778"/>
      <c r="S87" s="782"/>
      <c r="T87" s="782"/>
      <c r="U87" s="778"/>
      <c r="V87" s="560"/>
      <c r="W87" s="782"/>
      <c r="X87" s="778"/>
      <c r="Y87" s="560"/>
    </row>
    <row r="88" spans="1:25" x14ac:dyDescent="0.2">
      <c r="A88" s="772">
        <f t="shared" si="35"/>
        <v>62</v>
      </c>
      <c r="C88" s="756" t="str">
        <f t="shared" si="45"/>
        <v>January</v>
      </c>
      <c r="D88" s="757">
        <v>2014</v>
      </c>
      <c r="E88" s="784">
        <v>4374730.1149410903</v>
      </c>
      <c r="F88" s="784">
        <v>0</v>
      </c>
      <c r="G88" s="776">
        <f t="shared" si="46"/>
        <v>328104.75862058176</v>
      </c>
      <c r="H88" s="717">
        <f t="shared" si="47"/>
        <v>376226.78988493374</v>
      </c>
      <c r="I88" s="776">
        <f t="shared" si="51"/>
        <v>4326608.0836767387</v>
      </c>
      <c r="J88" s="776">
        <f t="shared" si="48"/>
        <v>129798.24251030215</v>
      </c>
      <c r="K88" s="717">
        <f t="shared" si="53"/>
        <v>170760087.04538706</v>
      </c>
      <c r="L88" s="717">
        <f t="shared" si="52"/>
        <v>347630.95404996449</v>
      </c>
      <c r="M88" s="717">
        <f t="shared" si="54"/>
        <v>2299329.4739923524</v>
      </c>
      <c r="N88" s="717">
        <f t="shared" si="49"/>
        <v>168460757.57139471</v>
      </c>
      <c r="O88" s="822">
        <v>3472820.86</v>
      </c>
      <c r="P88" s="717">
        <f t="shared" si="50"/>
        <v>3530469.686276</v>
      </c>
      <c r="Q88" s="782"/>
      <c r="R88" s="778"/>
      <c r="S88" s="782"/>
      <c r="T88" s="782"/>
      <c r="U88" s="778"/>
      <c r="V88" s="560"/>
      <c r="W88" s="782"/>
      <c r="X88" s="778"/>
      <c r="Y88" s="560"/>
    </row>
    <row r="89" spans="1:25" x14ac:dyDescent="0.2">
      <c r="A89" s="772">
        <f t="shared" si="35"/>
        <v>63</v>
      </c>
      <c r="C89" s="756" t="str">
        <f t="shared" si="45"/>
        <v>February</v>
      </c>
      <c r="D89" s="757">
        <v>2014</v>
      </c>
      <c r="E89" s="784">
        <v>4374730.1149410903</v>
      </c>
      <c r="F89" s="784">
        <v>0</v>
      </c>
      <c r="G89" s="776">
        <f t="shared" si="46"/>
        <v>328104.75862058176</v>
      </c>
      <c r="H89" s="717">
        <f t="shared" si="47"/>
        <v>376226.78988493374</v>
      </c>
      <c r="I89" s="776">
        <f t="shared" si="51"/>
        <v>4326608.0836767387</v>
      </c>
      <c r="J89" s="776">
        <f t="shared" si="48"/>
        <v>129798.24251030215</v>
      </c>
      <c r="K89" s="717">
        <f t="shared" si="53"/>
        <v>175216493.37157407</v>
      </c>
      <c r="L89" s="717">
        <f t="shared" si="52"/>
        <v>356946.35089570511</v>
      </c>
      <c r="M89" s="717">
        <f t="shared" si="54"/>
        <v>2656275.8248880575</v>
      </c>
      <c r="N89" s="717">
        <f t="shared" si="49"/>
        <v>172560217.54668602</v>
      </c>
      <c r="O89" s="822">
        <v>3472820.86</v>
      </c>
      <c r="P89" s="717">
        <f t="shared" si="50"/>
        <v>3530469.686276</v>
      </c>
      <c r="Q89" s="782"/>
      <c r="R89" s="778"/>
      <c r="S89" s="782"/>
      <c r="T89" s="782"/>
      <c r="U89" s="778"/>
      <c r="V89" s="560"/>
      <c r="W89" s="782"/>
      <c r="X89" s="778"/>
      <c r="Y89" s="560"/>
    </row>
    <row r="90" spans="1:25" x14ac:dyDescent="0.2">
      <c r="A90" s="772">
        <f t="shared" si="35"/>
        <v>64</v>
      </c>
      <c r="C90" s="756" t="str">
        <f t="shared" si="45"/>
        <v>March</v>
      </c>
      <c r="D90" s="757">
        <v>2014</v>
      </c>
      <c r="E90" s="784">
        <v>193069980.97726807</v>
      </c>
      <c r="F90" s="784">
        <v>60611247.329999991</v>
      </c>
      <c r="G90" s="776">
        <f t="shared" si="46"/>
        <v>9934405.0235451069</v>
      </c>
      <c r="H90" s="717">
        <f t="shared" si="47"/>
        <v>11391451.093665056</v>
      </c>
      <c r="I90" s="776">
        <f t="shared" si="51"/>
        <v>131001687.57714814</v>
      </c>
      <c r="J90" s="776">
        <f t="shared" si="48"/>
        <v>3930050.6273144442</v>
      </c>
      <c r="K90" s="717">
        <f t="shared" si="53"/>
        <v>370759478.90603667</v>
      </c>
      <c r="L90" s="717">
        <f t="shared" si="52"/>
        <v>366261.74774144572</v>
      </c>
      <c r="M90" s="717">
        <f t="shared" si="54"/>
        <v>3022537.5726295034</v>
      </c>
      <c r="N90" s="717">
        <f t="shared" si="49"/>
        <v>367736941.33340716</v>
      </c>
      <c r="O90" s="822">
        <v>3472820.86</v>
      </c>
      <c r="P90" s="717">
        <f t="shared" si="50"/>
        <v>3530469.686276</v>
      </c>
      <c r="Q90" s="782"/>
      <c r="R90" s="778"/>
      <c r="S90" s="782"/>
      <c r="T90" s="782"/>
      <c r="U90" s="778"/>
      <c r="V90" s="560"/>
      <c r="W90" s="782"/>
      <c r="X90" s="778"/>
      <c r="Y90" s="560"/>
    </row>
    <row r="91" spans="1:25" x14ac:dyDescent="0.2">
      <c r="A91" s="772">
        <f t="shared" si="35"/>
        <v>65</v>
      </c>
      <c r="C91" s="756" t="str">
        <f t="shared" si="45"/>
        <v>April</v>
      </c>
      <c r="D91" s="757">
        <v>2014</v>
      </c>
      <c r="E91" s="784">
        <v>54128756.694941103</v>
      </c>
      <c r="F91" s="784">
        <v>2284156.5799999977</v>
      </c>
      <c r="G91" s="776">
        <f t="shared" si="46"/>
        <v>3888345.0086205825</v>
      </c>
      <c r="H91" s="717">
        <f t="shared" si="47"/>
        <v>4458635.6098849354</v>
      </c>
      <c r="I91" s="776">
        <f t="shared" si="51"/>
        <v>51274309.513676755</v>
      </c>
      <c r="J91" s="776">
        <f t="shared" si="48"/>
        <v>1538229.2854103027</v>
      </c>
      <c r="K91" s="717">
        <f t="shared" si="53"/>
        <v>425856174.28512371</v>
      </c>
      <c r="L91" s="717">
        <f t="shared" si="52"/>
        <v>775012.74065483117</v>
      </c>
      <c r="M91" s="717">
        <f t="shared" si="54"/>
        <v>3797550.3132843347</v>
      </c>
      <c r="N91" s="717">
        <f t="shared" si="49"/>
        <v>422058623.97183937</v>
      </c>
      <c r="O91" s="822">
        <v>3472820.86</v>
      </c>
      <c r="P91" s="717">
        <f t="shared" si="50"/>
        <v>3530469.686276</v>
      </c>
      <c r="Q91" s="782"/>
      <c r="R91" s="778"/>
      <c r="S91" s="782"/>
      <c r="T91" s="782"/>
      <c r="U91" s="778"/>
      <c r="V91" s="560"/>
      <c r="W91" s="782"/>
      <c r="X91" s="778"/>
      <c r="Y91" s="560"/>
    </row>
    <row r="92" spans="1:25" x14ac:dyDescent="0.2">
      <c r="A92" s="772">
        <f t="shared" si="35"/>
        <v>66</v>
      </c>
      <c r="C92" s="756" t="str">
        <f t="shared" si="45"/>
        <v>May</v>
      </c>
      <c r="D92" s="757">
        <v>2014</v>
      </c>
      <c r="E92" s="784">
        <v>4374730.1149410605</v>
      </c>
      <c r="F92" s="784">
        <v>0</v>
      </c>
      <c r="G92" s="776">
        <f t="shared" si="46"/>
        <v>328104.75862057955</v>
      </c>
      <c r="H92" s="717">
        <f t="shared" si="47"/>
        <v>376226.78988493123</v>
      </c>
      <c r="I92" s="776">
        <f t="shared" si="51"/>
        <v>4326608.0836767089</v>
      </c>
      <c r="J92" s="776">
        <f t="shared" si="48"/>
        <v>129798.24251030126</v>
      </c>
      <c r="K92" s="717">
        <f t="shared" si="53"/>
        <v>430312580.61131072</v>
      </c>
      <c r="L92" s="717">
        <f t="shared" si="52"/>
        <v>890183.47347807046</v>
      </c>
      <c r="M92" s="717">
        <f t="shared" si="54"/>
        <v>4687733.7867624052</v>
      </c>
      <c r="N92" s="717">
        <f t="shared" si="49"/>
        <v>425624846.8245483</v>
      </c>
      <c r="O92" s="822">
        <v>3472820.86</v>
      </c>
      <c r="P92" s="717">
        <f t="shared" si="50"/>
        <v>3530469.686276</v>
      </c>
      <c r="Q92" s="782"/>
      <c r="R92" s="778"/>
      <c r="S92" s="782"/>
      <c r="T92" s="782"/>
      <c r="U92" s="778"/>
      <c r="V92" s="560"/>
      <c r="W92" s="782"/>
      <c r="X92" s="778"/>
      <c r="Y92" s="560"/>
    </row>
    <row r="93" spans="1:25" x14ac:dyDescent="0.2">
      <c r="A93" s="772">
        <f t="shared" si="35"/>
        <v>67</v>
      </c>
      <c r="C93" s="756" t="str">
        <f t="shared" si="45"/>
        <v xml:space="preserve">June </v>
      </c>
      <c r="D93" s="757">
        <v>2014</v>
      </c>
      <c r="E93" s="784">
        <v>9541235.7582851052</v>
      </c>
      <c r="F93" s="784">
        <v>1108453.4639999995</v>
      </c>
      <c r="G93" s="776">
        <f t="shared" si="46"/>
        <v>632458.67207138287</v>
      </c>
      <c r="H93" s="717">
        <f t="shared" si="47"/>
        <v>725219.277308519</v>
      </c>
      <c r="I93" s="776">
        <f t="shared" si="51"/>
        <v>8340021.6890479689</v>
      </c>
      <c r="J93" s="776">
        <f t="shared" si="48"/>
        <v>250200.65067143907</v>
      </c>
      <c r="K93" s="717">
        <f t="shared" si="53"/>
        <v>440011256.41503012</v>
      </c>
      <c r="L93" s="717">
        <f t="shared" si="52"/>
        <v>899498.87032381108</v>
      </c>
      <c r="M93" s="717">
        <f t="shared" si="54"/>
        <v>5587232.6570862159</v>
      </c>
      <c r="N93" s="717">
        <f t="shared" si="49"/>
        <v>434424023.75794393</v>
      </c>
      <c r="O93" s="822">
        <v>5659596.4633439835</v>
      </c>
      <c r="P93" s="717">
        <f t="shared" si="50"/>
        <v>5753545.764635494</v>
      </c>
      <c r="Q93" s="782"/>
      <c r="R93" s="778"/>
      <c r="S93" s="782"/>
      <c r="T93" s="782"/>
      <c r="U93" s="778"/>
      <c r="V93" s="560"/>
      <c r="W93" s="782"/>
      <c r="X93" s="778"/>
      <c r="Y93" s="560"/>
    </row>
    <row r="94" spans="1:25" x14ac:dyDescent="0.2">
      <c r="A94" s="772">
        <f t="shared" si="35"/>
        <v>68</v>
      </c>
      <c r="C94" s="756" t="str">
        <f t="shared" si="45"/>
        <v>July</v>
      </c>
      <c r="D94" s="757">
        <v>2014</v>
      </c>
      <c r="E94" s="784">
        <v>7365155.0999410748</v>
      </c>
      <c r="F94" s="784">
        <v>490424.9850000001</v>
      </c>
      <c r="G94" s="776">
        <f t="shared" si="46"/>
        <v>515604.75862058054</v>
      </c>
      <c r="H94" s="717">
        <f t="shared" si="47"/>
        <v>591226.78988493246</v>
      </c>
      <c r="I94" s="776">
        <f t="shared" si="51"/>
        <v>6799108.0836767228</v>
      </c>
      <c r="J94" s="776">
        <f t="shared" si="48"/>
        <v>203973.24251030167</v>
      </c>
      <c r="K94" s="717">
        <f t="shared" si="53"/>
        <v>447504762.72621715</v>
      </c>
      <c r="L94" s="717">
        <f t="shared" si="52"/>
        <v>919772.38386294374</v>
      </c>
      <c r="M94" s="717">
        <f t="shared" si="54"/>
        <v>6507005.0409491593</v>
      </c>
      <c r="N94" s="717">
        <f t="shared" si="49"/>
        <v>440997757.68526798</v>
      </c>
      <c r="O94" s="822">
        <v>5659596.4633439835</v>
      </c>
      <c r="P94" s="717">
        <f t="shared" si="50"/>
        <v>5753545.764635494</v>
      </c>
      <c r="Q94" s="782"/>
      <c r="R94" s="778"/>
      <c r="S94" s="782"/>
      <c r="T94" s="782"/>
      <c r="U94" s="778"/>
      <c r="V94" s="560"/>
      <c r="W94" s="782"/>
      <c r="X94" s="778"/>
      <c r="Y94" s="560"/>
    </row>
    <row r="95" spans="1:25" x14ac:dyDescent="0.2">
      <c r="A95" s="772">
        <f t="shared" si="35"/>
        <v>69</v>
      </c>
      <c r="C95" s="756" t="str">
        <f t="shared" si="45"/>
        <v>August</v>
      </c>
      <c r="D95" s="757">
        <v>2014</v>
      </c>
      <c r="E95" s="784">
        <v>5190154.6149410605</v>
      </c>
      <c r="F95" s="784">
        <v>15424.499999999998</v>
      </c>
      <c r="G95" s="776">
        <f t="shared" si="46"/>
        <v>388104.75862057955</v>
      </c>
      <c r="H95" s="717">
        <f t="shared" si="47"/>
        <v>445026.78988493123</v>
      </c>
      <c r="I95" s="776">
        <f t="shared" si="51"/>
        <v>5117808.0836767089</v>
      </c>
      <c r="J95" s="776">
        <f t="shared" si="48"/>
        <v>153534.24251030126</v>
      </c>
      <c r="K95" s="717">
        <f t="shared" si="53"/>
        <v>452791529.55240417</v>
      </c>
      <c r="L95" s="717">
        <f t="shared" si="52"/>
        <v>935436.34714308183</v>
      </c>
      <c r="M95" s="717">
        <f t="shared" si="54"/>
        <v>7442441.3880922412</v>
      </c>
      <c r="N95" s="717">
        <f t="shared" si="49"/>
        <v>445349088.16431195</v>
      </c>
      <c r="O95" s="822">
        <v>5659596.4633439835</v>
      </c>
      <c r="P95" s="717">
        <f t="shared" si="50"/>
        <v>5753545.764635494</v>
      </c>
      <c r="Q95" s="782"/>
      <c r="R95" s="778"/>
      <c r="S95" s="782"/>
      <c r="T95" s="782"/>
      <c r="U95" s="778"/>
      <c r="V95" s="560"/>
      <c r="W95" s="782"/>
      <c r="X95" s="778"/>
      <c r="Y95" s="560"/>
    </row>
    <row r="96" spans="1:25" x14ac:dyDescent="0.2">
      <c r="A96" s="772">
        <f t="shared" si="35"/>
        <v>70</v>
      </c>
      <c r="C96" s="756" t="str">
        <f t="shared" si="45"/>
        <v>September</v>
      </c>
      <c r="D96" s="757">
        <v>2014</v>
      </c>
      <c r="E96" s="784">
        <v>4374730.1149410605</v>
      </c>
      <c r="F96" s="784">
        <v>0</v>
      </c>
      <c r="G96" s="776">
        <f t="shared" si="46"/>
        <v>328104.75862057955</v>
      </c>
      <c r="H96" s="717">
        <f t="shared" si="47"/>
        <v>376226.78988493123</v>
      </c>
      <c r="I96" s="776">
        <f t="shared" si="51"/>
        <v>4326608.0836767089</v>
      </c>
      <c r="J96" s="776">
        <f t="shared" si="48"/>
        <v>129798.24251030126</v>
      </c>
      <c r="K96" s="717">
        <f t="shared" si="53"/>
        <v>457247935.87859118</v>
      </c>
      <c r="L96" s="717">
        <f t="shared" si="52"/>
        <v>946487.47834883211</v>
      </c>
      <c r="M96" s="717">
        <f t="shared" si="54"/>
        <v>8388928.8664410729</v>
      </c>
      <c r="N96" s="717">
        <f t="shared" si="49"/>
        <v>448859007.01215011</v>
      </c>
      <c r="O96" s="822">
        <v>5659596.4633439835</v>
      </c>
      <c r="P96" s="717">
        <f t="shared" si="50"/>
        <v>5753545.764635494</v>
      </c>
      <c r="Q96" s="782"/>
      <c r="R96" s="778"/>
      <c r="S96" s="782"/>
      <c r="T96" s="782"/>
      <c r="U96" s="778"/>
      <c r="V96" s="560"/>
      <c r="W96" s="782"/>
      <c r="X96" s="778"/>
      <c r="Y96" s="560"/>
    </row>
    <row r="97" spans="1:25" x14ac:dyDescent="0.2">
      <c r="A97" s="773">
        <f t="shared" si="35"/>
        <v>71</v>
      </c>
      <c r="C97" s="756" t="str">
        <f t="shared" ref="C97:C99" si="55">C66</f>
        <v>October</v>
      </c>
      <c r="D97" s="757">
        <v>2014</v>
      </c>
      <c r="E97" s="784">
        <v>4374730.1149410605</v>
      </c>
      <c r="F97" s="784">
        <v>0</v>
      </c>
      <c r="G97" s="776">
        <f t="shared" ref="G97:G99" si="56">(E97-F97)*$E$103</f>
        <v>328104.75862057955</v>
      </c>
      <c r="H97" s="717">
        <f t="shared" ref="H97:H99" si="57">(E97-F97+G97)*$E$107</f>
        <v>376226.78988493123</v>
      </c>
      <c r="I97" s="776">
        <f t="shared" ref="I97:I99" si="58">E97-F97+G97-H97</f>
        <v>4326608.0836767089</v>
      </c>
      <c r="J97" s="776">
        <f t="shared" ref="J97:J99" si="59">I97*$E$111</f>
        <v>129798.24251030126</v>
      </c>
      <c r="K97" s="717">
        <f t="shared" ref="K97:K99" si="60">K96+J97+I97+F97</f>
        <v>461704342.20477819</v>
      </c>
      <c r="L97" s="717">
        <f t="shared" ref="L97:L99" si="61">K96*$E$133/12</f>
        <v>955802.87519457284</v>
      </c>
      <c r="M97" s="717">
        <f t="shared" ref="M97:M99" si="62">M96+L97</f>
        <v>9344731.7416356467</v>
      </c>
      <c r="N97" s="717">
        <f t="shared" ref="N97:N99" si="63">K97-M97</f>
        <v>452359610.46314257</v>
      </c>
      <c r="O97" s="822">
        <v>5659596.4633439835</v>
      </c>
      <c r="P97" s="717">
        <f t="shared" ref="P97:P99" si="64">O97*(1-$E$107)*(1+$E$103+$E$111)</f>
        <v>5753545.764635494</v>
      </c>
      <c r="Q97" s="782"/>
      <c r="R97" s="778"/>
      <c r="S97" s="782"/>
      <c r="T97" s="782"/>
      <c r="U97" s="778"/>
      <c r="V97" s="560"/>
      <c r="W97" s="782"/>
      <c r="X97" s="778"/>
      <c r="Y97" s="560"/>
    </row>
    <row r="98" spans="1:25" x14ac:dyDescent="0.2">
      <c r="A98" s="773">
        <f t="shared" si="35"/>
        <v>72</v>
      </c>
      <c r="C98" s="756" t="str">
        <f t="shared" si="55"/>
        <v>November</v>
      </c>
      <c r="D98" s="757">
        <v>2014</v>
      </c>
      <c r="E98" s="784">
        <v>4374730.1149411201</v>
      </c>
      <c r="F98" s="784">
        <v>0</v>
      </c>
      <c r="G98" s="776">
        <f t="shared" si="56"/>
        <v>328104.75862058398</v>
      </c>
      <c r="H98" s="717">
        <f t="shared" si="57"/>
        <v>376226.78988493636</v>
      </c>
      <c r="I98" s="776">
        <f t="shared" si="58"/>
        <v>4326608.0836767685</v>
      </c>
      <c r="J98" s="776">
        <f t="shared" si="59"/>
        <v>129798.24251030305</v>
      </c>
      <c r="K98" s="717">
        <f t="shared" si="60"/>
        <v>466160748.53096527</v>
      </c>
      <c r="L98" s="717">
        <f t="shared" si="61"/>
        <v>965118.27204031346</v>
      </c>
      <c r="M98" s="717">
        <f t="shared" si="62"/>
        <v>10309850.01367596</v>
      </c>
      <c r="N98" s="717">
        <f t="shared" si="63"/>
        <v>455850898.51728928</v>
      </c>
      <c r="O98" s="822">
        <v>5659596.4633439835</v>
      </c>
      <c r="P98" s="717">
        <f t="shared" si="64"/>
        <v>5753545.764635494</v>
      </c>
      <c r="Q98" s="782"/>
      <c r="R98" s="778"/>
      <c r="S98" s="782"/>
      <c r="T98" s="782"/>
      <c r="U98" s="778"/>
      <c r="V98" s="560"/>
      <c r="W98" s="782"/>
      <c r="X98" s="778"/>
      <c r="Y98" s="560"/>
    </row>
    <row r="99" spans="1:25" x14ac:dyDescent="0.2">
      <c r="A99" s="773">
        <f t="shared" si="35"/>
        <v>73</v>
      </c>
      <c r="C99" s="756" t="str">
        <f t="shared" si="55"/>
        <v>December</v>
      </c>
      <c r="D99" s="757">
        <v>2014</v>
      </c>
      <c r="E99" s="784">
        <v>4374730.1149410605</v>
      </c>
      <c r="F99" s="784">
        <v>0</v>
      </c>
      <c r="G99" s="776">
        <f t="shared" si="56"/>
        <v>328104.75862057955</v>
      </c>
      <c r="H99" s="717">
        <f t="shared" si="57"/>
        <v>376226.78988493123</v>
      </c>
      <c r="I99" s="776">
        <f t="shared" si="58"/>
        <v>4326608.0836767089</v>
      </c>
      <c r="J99" s="776">
        <f t="shared" si="59"/>
        <v>129798.24251030126</v>
      </c>
      <c r="K99" s="717">
        <f t="shared" si="60"/>
        <v>470617154.85715228</v>
      </c>
      <c r="L99" s="717">
        <f t="shared" si="61"/>
        <v>974433.66888605419</v>
      </c>
      <c r="M99" s="717">
        <f t="shared" si="62"/>
        <v>11284283.682562014</v>
      </c>
      <c r="N99" s="717">
        <f t="shared" si="63"/>
        <v>459332871.17459029</v>
      </c>
      <c r="O99" s="822">
        <v>5659596.4633439835</v>
      </c>
      <c r="P99" s="717">
        <f t="shared" si="64"/>
        <v>5753545.764635494</v>
      </c>
      <c r="Q99" s="782"/>
      <c r="R99" s="778"/>
      <c r="S99" s="782"/>
      <c r="T99" s="782"/>
      <c r="U99" s="778"/>
      <c r="V99" s="560"/>
      <c r="W99" s="782"/>
      <c r="X99" s="778"/>
      <c r="Y99" s="560"/>
    </row>
    <row r="100" spans="1:25" x14ac:dyDescent="0.2">
      <c r="A100" s="772"/>
      <c r="O100" s="778"/>
    </row>
    <row r="101" spans="1:25" x14ac:dyDescent="0.2">
      <c r="A101" s="772"/>
      <c r="B101" s="719" t="s">
        <v>2381</v>
      </c>
      <c r="G101" s="720"/>
    </row>
    <row r="102" spans="1:25" x14ac:dyDescent="0.2">
      <c r="A102" s="774" t="s">
        <v>362</v>
      </c>
      <c r="B102" s="720"/>
      <c r="F102" s="825"/>
    </row>
    <row r="103" spans="1:25" x14ac:dyDescent="0.2">
      <c r="A103" s="772">
        <f>A99+1</f>
        <v>74</v>
      </c>
      <c r="C103" s="785" t="s">
        <v>2373</v>
      </c>
      <c r="E103" s="786">
        <v>7.4999999999999997E-2</v>
      </c>
    </row>
    <row r="105" spans="1:25" x14ac:dyDescent="0.2">
      <c r="A105" s="772"/>
      <c r="B105" s="719" t="s">
        <v>2383</v>
      </c>
    </row>
    <row r="106" spans="1:25" x14ac:dyDescent="0.2">
      <c r="A106" s="774" t="s">
        <v>362</v>
      </c>
      <c r="F106" s="825"/>
    </row>
    <row r="107" spans="1:25" x14ac:dyDescent="0.2">
      <c r="A107" s="772">
        <f>A103+1</f>
        <v>75</v>
      </c>
      <c r="B107" s="719"/>
      <c r="C107" s="716" t="s">
        <v>2374</v>
      </c>
      <c r="E107" s="786">
        <v>0.08</v>
      </c>
    </row>
    <row r="108" spans="1:25" x14ac:dyDescent="0.2">
      <c r="A108" s="772"/>
      <c r="B108" s="720"/>
      <c r="C108" s="716"/>
    </row>
    <row r="109" spans="1:25" x14ac:dyDescent="0.2">
      <c r="B109" s="719" t="s">
        <v>2384</v>
      </c>
    </row>
    <row r="110" spans="1:25" x14ac:dyDescent="0.2">
      <c r="A110" s="774" t="s">
        <v>362</v>
      </c>
      <c r="B110" s="720"/>
      <c r="F110" s="825"/>
    </row>
    <row r="111" spans="1:25" x14ac:dyDescent="0.2">
      <c r="A111" s="772">
        <f>A107+1</f>
        <v>76</v>
      </c>
      <c r="C111" s="716" t="s">
        <v>2375</v>
      </c>
      <c r="E111" s="786">
        <v>0.03</v>
      </c>
    </row>
    <row r="113" spans="1:9" x14ac:dyDescent="0.2">
      <c r="B113" s="719" t="s">
        <v>2382</v>
      </c>
    </row>
    <row r="114" spans="1:9" s="768" customFormat="1" x14ac:dyDescent="0.2">
      <c r="C114" s="780" t="s">
        <v>2432</v>
      </c>
      <c r="F114" s="787"/>
    </row>
    <row r="115" spans="1:9" s="772" customFormat="1" x14ac:dyDescent="0.2">
      <c r="B115" s="768" t="s">
        <v>396</v>
      </c>
      <c r="C115" s="768" t="s">
        <v>380</v>
      </c>
      <c r="D115" s="768" t="s">
        <v>381</v>
      </c>
      <c r="E115" s="768" t="s">
        <v>382</v>
      </c>
      <c r="F115" s="768"/>
    </row>
    <row r="116" spans="1:9" s="768" customFormat="1" x14ac:dyDescent="0.2">
      <c r="C116" s="772" t="s">
        <v>201</v>
      </c>
      <c r="D116" s="775"/>
      <c r="E116" s="1167" t="s">
        <v>2376</v>
      </c>
      <c r="F116" s="775"/>
    </row>
    <row r="117" spans="1:9" x14ac:dyDescent="0.2">
      <c r="A117" s="772"/>
      <c r="B117" s="772"/>
      <c r="C117" s="772" t="str">
        <f>"Prior Year"</f>
        <v>Prior Year</v>
      </c>
      <c r="D117" s="773" t="s">
        <v>2377</v>
      </c>
      <c r="E117" s="773" t="s">
        <v>1548</v>
      </c>
      <c r="F117" s="773" t="s">
        <v>2638</v>
      </c>
    </row>
    <row r="118" spans="1:9" x14ac:dyDescent="0.2">
      <c r="A118" s="768" t="s">
        <v>362</v>
      </c>
      <c r="B118" s="768" t="s">
        <v>2271</v>
      </c>
      <c r="C118" s="768" t="s">
        <v>2378</v>
      </c>
      <c r="D118" s="775" t="s">
        <v>14</v>
      </c>
      <c r="E118" s="775" t="s">
        <v>2377</v>
      </c>
      <c r="F118" s="131" t="s">
        <v>226</v>
      </c>
    </row>
    <row r="119" spans="1:9" x14ac:dyDescent="0.2">
      <c r="A119" s="772">
        <f>A111+1</f>
        <v>77</v>
      </c>
      <c r="B119" s="772">
        <v>350.1</v>
      </c>
      <c r="C119" s="826">
        <f>'17-Depreciation'!C24</f>
        <v>77316396.51413767</v>
      </c>
      <c r="D119" s="1168">
        <f>'18-DepRates'!G6</f>
        <v>0</v>
      </c>
      <c r="E119" s="1169">
        <f>C119*D119</f>
        <v>0</v>
      </c>
      <c r="F119" s="1170" t="s">
        <v>2639</v>
      </c>
      <c r="H119" s="826"/>
      <c r="I119" s="824"/>
    </row>
    <row r="120" spans="1:9" x14ac:dyDescent="0.2">
      <c r="A120" s="772">
        <f>A119+1</f>
        <v>78</v>
      </c>
      <c r="B120" s="772">
        <v>350.2</v>
      </c>
      <c r="C120" s="826">
        <f>'17-Depreciation'!D24</f>
        <v>108586633.1352807</v>
      </c>
      <c r="D120" s="1168">
        <f>'18-DepRates'!G7</f>
        <v>1.66E-2</v>
      </c>
      <c r="E120" s="1169">
        <f t="shared" ref="E120:E128" si="65">C120*D120</f>
        <v>1802538.1100456596</v>
      </c>
      <c r="F120" s="1170" t="s">
        <v>2640</v>
      </c>
      <c r="H120" s="826"/>
      <c r="I120" s="824"/>
    </row>
    <row r="121" spans="1:9" x14ac:dyDescent="0.2">
      <c r="A121" s="772">
        <f t="shared" ref="A121:A133" si="66">A120+1</f>
        <v>79</v>
      </c>
      <c r="B121" s="772">
        <v>352</v>
      </c>
      <c r="C121" s="826">
        <f>'17-Depreciation'!E24</f>
        <v>207656916</v>
      </c>
      <c r="D121" s="1168">
        <f>'18-DepRates'!G8</f>
        <v>2.5700000000000001E-2</v>
      </c>
      <c r="E121" s="1169">
        <f t="shared" si="65"/>
        <v>5336782.7412</v>
      </c>
      <c r="F121" s="1170" t="s">
        <v>2641</v>
      </c>
      <c r="H121" s="826"/>
      <c r="I121" s="824"/>
    </row>
    <row r="122" spans="1:9" x14ac:dyDescent="0.2">
      <c r="A122" s="772">
        <f t="shared" si="66"/>
        <v>80</v>
      </c>
      <c r="B122" s="772">
        <v>353</v>
      </c>
      <c r="C122" s="826">
        <f>'17-Depreciation'!F24</f>
        <v>2231719300</v>
      </c>
      <c r="D122" s="1168">
        <f>'18-DepRates'!G9</f>
        <v>2.47E-2</v>
      </c>
      <c r="E122" s="1169">
        <f t="shared" si="65"/>
        <v>55123466.710000001</v>
      </c>
      <c r="F122" s="1170" t="s">
        <v>2642</v>
      </c>
      <c r="H122" s="826"/>
      <c r="I122" s="824"/>
    </row>
    <row r="123" spans="1:9" x14ac:dyDescent="0.2">
      <c r="A123" s="772">
        <f t="shared" si="66"/>
        <v>81</v>
      </c>
      <c r="B123" s="772">
        <v>354</v>
      </c>
      <c r="C123" s="826">
        <f>'17-Depreciation'!G24</f>
        <v>728242650.16347945</v>
      </c>
      <c r="D123" s="1168">
        <f>'18-DepRates'!G10</f>
        <v>2.4400000000000002E-2</v>
      </c>
      <c r="E123" s="1169">
        <f t="shared" si="65"/>
        <v>17769120.663988899</v>
      </c>
      <c r="F123" s="1170" t="s">
        <v>2643</v>
      </c>
      <c r="H123" s="826"/>
      <c r="I123" s="824"/>
    </row>
    <row r="124" spans="1:9" x14ac:dyDescent="0.2">
      <c r="A124" s="772">
        <f t="shared" si="66"/>
        <v>82</v>
      </c>
      <c r="B124" s="772">
        <v>355</v>
      </c>
      <c r="C124" s="826">
        <f>'17-Depreciation'!H24</f>
        <v>148632888.4820841</v>
      </c>
      <c r="D124" s="1168">
        <f>'18-DepRates'!G11</f>
        <v>3.6700000000000003E-2</v>
      </c>
      <c r="E124" s="1169">
        <f t="shared" si="65"/>
        <v>5454827.0072924867</v>
      </c>
      <c r="F124" s="1170" t="s">
        <v>2644</v>
      </c>
      <c r="H124" s="826"/>
      <c r="I124" s="824"/>
    </row>
    <row r="125" spans="1:9" x14ac:dyDescent="0.2">
      <c r="A125" s="772">
        <f t="shared" si="66"/>
        <v>83</v>
      </c>
      <c r="B125" s="772">
        <v>356</v>
      </c>
      <c r="C125" s="826">
        <f>'17-Depreciation'!I24</f>
        <v>494953932.48711836</v>
      </c>
      <c r="D125" s="1168">
        <f>'18-DepRates'!G12</f>
        <v>3.0499999999999999E-2</v>
      </c>
      <c r="E125" s="1169">
        <f t="shared" si="65"/>
        <v>15096094.940857111</v>
      </c>
      <c r="F125" s="1170" t="s">
        <v>2645</v>
      </c>
      <c r="H125" s="826"/>
      <c r="I125" s="824"/>
    </row>
    <row r="126" spans="1:9" x14ac:dyDescent="0.2">
      <c r="A126" s="772">
        <f t="shared" si="66"/>
        <v>84</v>
      </c>
      <c r="B126" s="772">
        <v>357</v>
      </c>
      <c r="C126" s="826">
        <f>'17-Depreciation'!J24</f>
        <v>645861.64518965012</v>
      </c>
      <c r="D126" s="1168">
        <f>'18-DepRates'!G13</f>
        <v>1.6500000000000001E-2</v>
      </c>
      <c r="E126" s="1169">
        <f t="shared" si="65"/>
        <v>10656.717145629227</v>
      </c>
      <c r="F126" s="1170" t="s">
        <v>2646</v>
      </c>
      <c r="H126" s="826"/>
      <c r="I126" s="824"/>
    </row>
    <row r="127" spans="1:9" x14ac:dyDescent="0.2">
      <c r="A127" s="772">
        <f t="shared" si="66"/>
        <v>85</v>
      </c>
      <c r="B127" s="772">
        <v>358</v>
      </c>
      <c r="C127" s="826">
        <f>'17-Depreciation'!K24</f>
        <v>3959306.6940610548</v>
      </c>
      <c r="D127" s="1168">
        <f>'18-DepRates'!G14</f>
        <v>3.8699999999999998E-2</v>
      </c>
      <c r="E127" s="1169">
        <f t="shared" si="65"/>
        <v>153225.16906016282</v>
      </c>
      <c r="F127" s="1170" t="s">
        <v>2647</v>
      </c>
      <c r="H127" s="826"/>
      <c r="I127" s="824"/>
    </row>
    <row r="128" spans="1:9" x14ac:dyDescent="0.2">
      <c r="A128" s="772">
        <f t="shared" si="66"/>
        <v>86</v>
      </c>
      <c r="B128" s="772">
        <v>359</v>
      </c>
      <c r="C128" s="826">
        <f>'17-Depreciation'!L24</f>
        <v>38747355.238424651</v>
      </c>
      <c r="D128" s="1168">
        <f>'18-DepRates'!G15</f>
        <v>1.5599999999999999E-2</v>
      </c>
      <c r="E128" s="1169">
        <f t="shared" si="65"/>
        <v>604458.74171942449</v>
      </c>
      <c r="F128" s="1170" t="s">
        <v>2648</v>
      </c>
      <c r="H128" s="826"/>
      <c r="I128" s="824"/>
    </row>
    <row r="129" spans="1:9" x14ac:dyDescent="0.2">
      <c r="A129" s="772">
        <f t="shared" si="66"/>
        <v>87</v>
      </c>
    </row>
    <row r="130" spans="1:9" x14ac:dyDescent="0.2">
      <c r="A130" s="772">
        <f t="shared" si="66"/>
        <v>88</v>
      </c>
      <c r="C130" s="788" t="s">
        <v>2379</v>
      </c>
      <c r="E130" s="827">
        <f>SUM(E119:E128)</f>
        <v>101351170.80130936</v>
      </c>
      <c r="F130" s="765" t="str">
        <f>"Sum of C"&amp;RIGHT(E115)&amp;" Lines "&amp;A119&amp;" to "&amp;A128</f>
        <v>Sum of C4 Lines 77 to 86</v>
      </c>
    </row>
    <row r="131" spans="1:9" x14ac:dyDescent="0.2">
      <c r="A131" s="772">
        <f t="shared" si="66"/>
        <v>89</v>
      </c>
      <c r="C131" s="765" t="str">
        <f>"Sum of Dec Prior Year Plant"</f>
        <v>Sum of Dec Prior Year Plant</v>
      </c>
      <c r="E131" s="828">
        <f>SUM(C119:C128)</f>
        <v>4040461240.359776</v>
      </c>
      <c r="F131" s="765" t="str">
        <f>"Sum of C"&amp;RIGHT(C115)&amp;" Lines "&amp;A119&amp;" to "&amp;A128</f>
        <v>Sum of C2 Lines 77 to 86</v>
      </c>
    </row>
    <row r="132" spans="1:9" x14ac:dyDescent="0.2">
      <c r="A132" s="772">
        <f t="shared" si="66"/>
        <v>90</v>
      </c>
    </row>
    <row r="133" spans="1:9" x14ac:dyDescent="0.2">
      <c r="A133" s="772">
        <f t="shared" si="66"/>
        <v>91</v>
      </c>
      <c r="C133" s="765" t="s">
        <v>2380</v>
      </c>
      <c r="E133" s="789">
        <f>E130/E131</f>
        <v>2.5084059658566287E-2</v>
      </c>
      <c r="F133" s="765" t="str">
        <f>"Line "&amp;A130&amp;" / Line "&amp;A131</f>
        <v>Line 88 / Line 89</v>
      </c>
    </row>
    <row r="134" spans="1:9" x14ac:dyDescent="0.2">
      <c r="A134" s="772"/>
    </row>
    <row r="135" spans="1:9" x14ac:dyDescent="0.2">
      <c r="A135" s="772"/>
      <c r="B135" s="764" t="s">
        <v>258</v>
      </c>
      <c r="C135"/>
      <c r="D135"/>
      <c r="E135"/>
      <c r="F135"/>
      <c r="G135"/>
      <c r="H135"/>
      <c r="I135"/>
    </row>
    <row r="136" spans="1:9" x14ac:dyDescent="0.2">
      <c r="A136" s="772"/>
      <c r="B136" s="759" t="s">
        <v>2759</v>
      </c>
      <c r="C136" s="796"/>
      <c r="D136" s="796"/>
      <c r="E136" s="796"/>
      <c r="F136" s="796"/>
      <c r="G136" s="796"/>
      <c r="H136" s="796"/>
      <c r="I136" s="796"/>
    </row>
    <row r="137" spans="1:9" x14ac:dyDescent="0.2">
      <c r="A137" s="772"/>
      <c r="B137" s="759" t="s">
        <v>2769</v>
      </c>
      <c r="C137"/>
      <c r="D137"/>
      <c r="E137"/>
      <c r="F137"/>
      <c r="G137"/>
      <c r="H137"/>
      <c r="I137"/>
    </row>
    <row r="138" spans="1:9" x14ac:dyDescent="0.2">
      <c r="A138" s="772"/>
    </row>
    <row r="139" spans="1:9" x14ac:dyDescent="0.2">
      <c r="A139" s="772"/>
    </row>
    <row r="140" spans="1:9" x14ac:dyDescent="0.2">
      <c r="A140" s="772"/>
    </row>
    <row r="141" spans="1:9" x14ac:dyDescent="0.2">
      <c r="A141" s="772"/>
    </row>
    <row r="142" spans="1:9" x14ac:dyDescent="0.2">
      <c r="A142" s="772"/>
    </row>
    <row r="143" spans="1:9" x14ac:dyDescent="0.2">
      <c r="A143" s="772"/>
    </row>
    <row r="144" spans="1:9" x14ac:dyDescent="0.2">
      <c r="A144" s="772"/>
    </row>
    <row r="145" spans="1:1" x14ac:dyDescent="0.2">
      <c r="A145" s="772"/>
    </row>
    <row r="146" spans="1:1" x14ac:dyDescent="0.2">
      <c r="A146" s="772"/>
    </row>
    <row r="147" spans="1:1" x14ac:dyDescent="0.2">
      <c r="A147" s="772"/>
    </row>
    <row r="148" spans="1:1" x14ac:dyDescent="0.2">
      <c r="A148" s="772"/>
    </row>
    <row r="149" spans="1:1" x14ac:dyDescent="0.2">
      <c r="A149" s="772"/>
    </row>
    <row r="150" spans="1:1" x14ac:dyDescent="0.2">
      <c r="A150" s="772"/>
    </row>
    <row r="151" spans="1:1" x14ac:dyDescent="0.2">
      <c r="A151" s="772"/>
    </row>
    <row r="152" spans="1:1" x14ac:dyDescent="0.2">
      <c r="A152" s="772"/>
    </row>
    <row r="153" spans="1:1" x14ac:dyDescent="0.2">
      <c r="A153" s="772"/>
    </row>
    <row r="154" spans="1:1" x14ac:dyDescent="0.2">
      <c r="A154" s="772"/>
    </row>
    <row r="155" spans="1:1" x14ac:dyDescent="0.2">
      <c r="A155" s="772"/>
    </row>
    <row r="156" spans="1:1" x14ac:dyDescent="0.2">
      <c r="A156" s="772"/>
    </row>
    <row r="157" spans="1:1" x14ac:dyDescent="0.2">
      <c r="A157" s="772"/>
    </row>
    <row r="158" spans="1:1" x14ac:dyDescent="0.2">
      <c r="A158" s="772"/>
    </row>
    <row r="159" spans="1:1" x14ac:dyDescent="0.2">
      <c r="A159" s="772"/>
    </row>
    <row r="160" spans="1:1" x14ac:dyDescent="0.2">
      <c r="A160" s="772"/>
    </row>
    <row r="161" spans="1:1" x14ac:dyDescent="0.2">
      <c r="A161" s="772"/>
    </row>
    <row r="162" spans="1:1" x14ac:dyDescent="0.2">
      <c r="A162" s="772"/>
    </row>
    <row r="163" spans="1:1" x14ac:dyDescent="0.2">
      <c r="A163" s="772"/>
    </row>
    <row r="164" spans="1:1" x14ac:dyDescent="0.2">
      <c r="A164" s="772"/>
    </row>
    <row r="165" spans="1:1" x14ac:dyDescent="0.2">
      <c r="A165" s="772"/>
    </row>
    <row r="166" spans="1:1" x14ac:dyDescent="0.2">
      <c r="A166" s="772"/>
    </row>
    <row r="167" spans="1:1" x14ac:dyDescent="0.2">
      <c r="A167" s="772"/>
    </row>
    <row r="168" spans="1:1" x14ac:dyDescent="0.2">
      <c r="A168" s="772"/>
    </row>
    <row r="169" spans="1:1" x14ac:dyDescent="0.2">
      <c r="A169" s="772"/>
    </row>
    <row r="170" spans="1:1" x14ac:dyDescent="0.2">
      <c r="A170" s="772"/>
    </row>
    <row r="171" spans="1:1" x14ac:dyDescent="0.2">
      <c r="A171" s="772"/>
    </row>
    <row r="172" spans="1:1" x14ac:dyDescent="0.2">
      <c r="A172" s="772"/>
    </row>
    <row r="173" spans="1:1" x14ac:dyDescent="0.2">
      <c r="A173" s="772"/>
    </row>
    <row r="174" spans="1:1" x14ac:dyDescent="0.2">
      <c r="A174" s="772"/>
    </row>
    <row r="175" spans="1:1" x14ac:dyDescent="0.2">
      <c r="A175" s="772"/>
    </row>
    <row r="176" spans="1:1" x14ac:dyDescent="0.2">
      <c r="A176" s="772"/>
    </row>
    <row r="177" spans="1:1" x14ac:dyDescent="0.2">
      <c r="A177" s="772"/>
    </row>
    <row r="178" spans="1:1" x14ac:dyDescent="0.2">
      <c r="A178" s="772"/>
    </row>
    <row r="179" spans="1:1" x14ac:dyDescent="0.2">
      <c r="A179" s="772"/>
    </row>
    <row r="180" spans="1:1" x14ac:dyDescent="0.2">
      <c r="A180" s="772"/>
    </row>
    <row r="181" spans="1:1" x14ac:dyDescent="0.2">
      <c r="A181" s="772"/>
    </row>
    <row r="182" spans="1:1" x14ac:dyDescent="0.2">
      <c r="A182" s="772"/>
    </row>
    <row r="183" spans="1:1" x14ac:dyDescent="0.2">
      <c r="A183" s="772"/>
    </row>
    <row r="184" spans="1:1" x14ac:dyDescent="0.2">
      <c r="A184" s="772"/>
    </row>
    <row r="185" spans="1:1" x14ac:dyDescent="0.2">
      <c r="A185" s="772"/>
    </row>
    <row r="186" spans="1:1" x14ac:dyDescent="0.2">
      <c r="A186" s="772"/>
    </row>
    <row r="187" spans="1:1" x14ac:dyDescent="0.2">
      <c r="A187" s="772"/>
    </row>
    <row r="188" spans="1:1" x14ac:dyDescent="0.2">
      <c r="A188" s="772"/>
    </row>
    <row r="189" spans="1:1" x14ac:dyDescent="0.2">
      <c r="A189" s="772"/>
    </row>
    <row r="190" spans="1:1" x14ac:dyDescent="0.2">
      <c r="A190" s="772"/>
    </row>
    <row r="191" spans="1:1" x14ac:dyDescent="0.2">
      <c r="A191" s="772"/>
    </row>
    <row r="192" spans="1:1" x14ac:dyDescent="0.2">
      <c r="A192" s="772"/>
    </row>
    <row r="193" spans="1:1" x14ac:dyDescent="0.2">
      <c r="A193" s="772"/>
    </row>
    <row r="194" spans="1:1" x14ac:dyDescent="0.2">
      <c r="A194" s="772"/>
    </row>
    <row r="195" spans="1:1" x14ac:dyDescent="0.2">
      <c r="A195" s="772"/>
    </row>
    <row r="196" spans="1:1" x14ac:dyDescent="0.2">
      <c r="A196" s="772"/>
    </row>
    <row r="197" spans="1:1" x14ac:dyDescent="0.2">
      <c r="A197" s="772"/>
    </row>
    <row r="198" spans="1:1" x14ac:dyDescent="0.2">
      <c r="A198" s="772"/>
    </row>
    <row r="199" spans="1:1" x14ac:dyDescent="0.2">
      <c r="A199" s="772"/>
    </row>
    <row r="200" spans="1:1" x14ac:dyDescent="0.2">
      <c r="A200" s="772"/>
    </row>
    <row r="201" spans="1:1" x14ac:dyDescent="0.2">
      <c r="A201" s="772"/>
    </row>
    <row r="202" spans="1:1" x14ac:dyDescent="0.2">
      <c r="A202" s="772"/>
    </row>
    <row r="203" spans="1:1" x14ac:dyDescent="0.2">
      <c r="A203" s="772"/>
    </row>
    <row r="204" spans="1:1" x14ac:dyDescent="0.2">
      <c r="A204" s="772"/>
    </row>
  </sheetData>
  <pageMargins left="0.7" right="0.7" top="0.75" bottom="0.75" header="0.3" footer="0.3"/>
  <pageSetup scale="55" orientation="landscape" cellComments="asDisplayed" r:id="rId1"/>
  <headerFooter>
    <oddHeader>&amp;CSchedule 16
Plant Additions
&amp;RTO8 Annual Update (Revised)
Attachment  1</oddHeader>
    <oddFooter>&amp;R16-PlantAdditions</oddFooter>
  </headerFooter>
  <rowBreaks count="1" manualBreakCount="1">
    <brk id="6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view="pageLayout" zoomScaleNormal="90" workbookViewId="0">
      <selection activeCell="H26" sqref="H26"/>
    </sheetView>
  </sheetViews>
  <sheetFormatPr defaultRowHeight="12.75" x14ac:dyDescent="0.2"/>
  <cols>
    <col min="1" max="1" width="4.7109375" customWidth="1"/>
    <col min="3" max="3" width="16.42578125" customWidth="1"/>
    <col min="4" max="5" width="14.7109375" customWidth="1"/>
    <col min="6" max="6" width="15.5703125" customWidth="1"/>
    <col min="7" max="13" width="14.7109375" customWidth="1"/>
  </cols>
  <sheetData>
    <row r="1" spans="1:13" x14ac:dyDescent="0.2">
      <c r="A1" s="1" t="s">
        <v>278</v>
      </c>
      <c r="B1" s="247"/>
      <c r="C1" s="247"/>
      <c r="D1" s="247"/>
      <c r="E1" s="247"/>
      <c r="F1" s="247"/>
      <c r="G1" s="247"/>
      <c r="H1" s="247"/>
      <c r="I1" s="604" t="s">
        <v>499</v>
      </c>
      <c r="J1" s="199"/>
      <c r="K1" s="247"/>
      <c r="L1" s="247"/>
      <c r="M1" s="247"/>
    </row>
    <row r="2" spans="1:13" x14ac:dyDescent="0.2">
      <c r="A2" s="247"/>
      <c r="B2" s="247"/>
      <c r="C2" s="247"/>
      <c r="D2" s="247"/>
      <c r="E2" s="247"/>
      <c r="F2" s="247"/>
      <c r="G2" s="247"/>
      <c r="H2" s="247"/>
      <c r="K2" s="247"/>
      <c r="L2" s="247"/>
      <c r="M2" s="247"/>
    </row>
    <row r="3" spans="1:13" x14ac:dyDescent="0.2">
      <c r="A3" s="247"/>
      <c r="B3" s="1" t="s">
        <v>1066</v>
      </c>
      <c r="C3" s="247"/>
      <c r="D3" s="247"/>
      <c r="E3" s="247"/>
      <c r="F3" s="247"/>
      <c r="G3" s="247"/>
      <c r="H3" s="257"/>
      <c r="I3" s="1146" t="s">
        <v>2031</v>
      </c>
      <c r="J3" s="447">
        <v>2012</v>
      </c>
      <c r="K3" s="247"/>
      <c r="L3" s="247"/>
      <c r="M3" s="247"/>
    </row>
    <row r="4" spans="1:13" x14ac:dyDescent="0.2">
      <c r="A4" s="247"/>
      <c r="B4" s="247"/>
      <c r="C4" s="247"/>
      <c r="D4" s="247"/>
      <c r="E4" s="247"/>
      <c r="F4" s="247"/>
      <c r="G4" s="247"/>
      <c r="H4" s="257"/>
      <c r="I4" s="257"/>
      <c r="J4" s="247"/>
      <c r="K4" s="247"/>
      <c r="L4" s="247"/>
      <c r="M4" s="247"/>
    </row>
    <row r="5" spans="1:13" x14ac:dyDescent="0.2">
      <c r="A5" s="247"/>
      <c r="B5" s="548" t="s">
        <v>1069</v>
      </c>
      <c r="C5" s="247"/>
      <c r="D5" s="247"/>
      <c r="E5" s="247"/>
      <c r="F5" s="247"/>
      <c r="G5" s="247"/>
      <c r="H5" s="550" t="s">
        <v>2115</v>
      </c>
      <c r="I5" s="257"/>
      <c r="J5" s="247"/>
      <c r="K5" s="247"/>
      <c r="L5" s="247"/>
      <c r="M5" s="247"/>
    </row>
    <row r="6" spans="1:13" x14ac:dyDescent="0.2">
      <c r="A6" s="247"/>
      <c r="B6" s="247"/>
      <c r="C6" s="247"/>
      <c r="D6" s="247"/>
      <c r="E6" s="247"/>
      <c r="F6" s="247"/>
      <c r="G6" s="247"/>
      <c r="H6" s="247"/>
      <c r="I6" s="247"/>
      <c r="J6" s="247"/>
      <c r="K6" s="247"/>
      <c r="L6" s="247"/>
      <c r="M6" s="247"/>
    </row>
    <row r="7" spans="1:13" x14ac:dyDescent="0.2">
      <c r="A7" s="247"/>
      <c r="B7" s="90" t="s">
        <v>396</v>
      </c>
      <c r="C7" s="90" t="s">
        <v>380</v>
      </c>
      <c r="D7" s="90" t="s">
        <v>381</v>
      </c>
      <c r="E7" s="90" t="s">
        <v>382</v>
      </c>
      <c r="F7" s="90" t="s">
        <v>383</v>
      </c>
      <c r="G7" s="90" t="s">
        <v>384</v>
      </c>
      <c r="H7" s="90" t="s">
        <v>385</v>
      </c>
      <c r="I7" s="90" t="s">
        <v>599</v>
      </c>
      <c r="J7" s="90" t="s">
        <v>1048</v>
      </c>
      <c r="K7" s="90" t="s">
        <v>1064</v>
      </c>
      <c r="L7" s="90" t="s">
        <v>1067</v>
      </c>
      <c r="M7" s="90" t="s">
        <v>1085</v>
      </c>
    </row>
    <row r="8" spans="1:13" x14ac:dyDescent="0.2">
      <c r="A8" s="247"/>
      <c r="B8" s="268"/>
      <c r="C8" s="247"/>
      <c r="D8" s="247"/>
      <c r="E8" s="247"/>
      <c r="F8" s="247"/>
      <c r="G8" s="247"/>
      <c r="H8" s="247"/>
      <c r="I8" s="247"/>
      <c r="J8" s="247"/>
      <c r="K8" s="247"/>
      <c r="L8" s="247"/>
      <c r="M8" s="247"/>
    </row>
    <row r="9" spans="1:13" x14ac:dyDescent="0.2">
      <c r="A9" s="247"/>
      <c r="B9" s="117"/>
      <c r="C9" s="605" t="s">
        <v>13</v>
      </c>
      <c r="D9" s="247"/>
      <c r="E9" s="247"/>
      <c r="F9" s="247"/>
      <c r="G9" s="247"/>
      <c r="H9" s="247"/>
      <c r="I9" s="247"/>
      <c r="J9" s="247"/>
      <c r="K9" s="247"/>
      <c r="L9" s="247"/>
      <c r="M9" s="247"/>
    </row>
    <row r="10" spans="1:13" x14ac:dyDescent="0.2">
      <c r="A10" s="247"/>
      <c r="B10" s="117"/>
      <c r="C10" s="605" t="s">
        <v>1065</v>
      </c>
      <c r="D10" s="247"/>
      <c r="E10" s="247"/>
      <c r="F10" s="247"/>
      <c r="G10" s="247"/>
      <c r="H10" s="247"/>
      <c r="I10" s="247"/>
      <c r="J10" s="247"/>
      <c r="K10" s="247"/>
      <c r="L10" s="247"/>
      <c r="M10" s="247"/>
    </row>
    <row r="11" spans="1:13" x14ac:dyDescent="0.2">
      <c r="A11" s="52" t="s">
        <v>362</v>
      </c>
      <c r="B11" s="131" t="s">
        <v>2084</v>
      </c>
      <c r="C11" s="90">
        <v>350.1</v>
      </c>
      <c r="D11" s="90">
        <v>350.2</v>
      </c>
      <c r="E11" s="90">
        <v>352</v>
      </c>
      <c r="F11" s="90">
        <v>353</v>
      </c>
      <c r="G11" s="90">
        <v>354</v>
      </c>
      <c r="H11" s="90">
        <v>355</v>
      </c>
      <c r="I11" s="90">
        <v>356</v>
      </c>
      <c r="J11" s="90">
        <v>357</v>
      </c>
      <c r="K11" s="90">
        <v>358</v>
      </c>
      <c r="L11" s="90">
        <v>359</v>
      </c>
      <c r="M11" s="3" t="s">
        <v>217</v>
      </c>
    </row>
    <row r="12" spans="1:13" x14ac:dyDescent="0.2">
      <c r="A12" s="679">
        <v>1</v>
      </c>
      <c r="B12" s="890" t="s">
        <v>2656</v>
      </c>
      <c r="C12" s="1330">
        <f>'6-PlantInService'!C11</f>
        <v>74561042.511944845</v>
      </c>
      <c r="D12" s="1330">
        <f>'6-PlantInService'!D11</f>
        <v>82048952.015439242</v>
      </c>
      <c r="E12" s="1330">
        <f>'6-PlantInService'!E11</f>
        <v>169829370.97173184</v>
      </c>
      <c r="F12" s="1330">
        <f>'6-PlantInService'!F11</f>
        <v>1741359026.8398581</v>
      </c>
      <c r="G12" s="1330">
        <f>'6-PlantInService'!G11</f>
        <v>550516805.87664819</v>
      </c>
      <c r="H12" s="1330">
        <f>'6-PlantInService'!H11</f>
        <v>132075054.09375262</v>
      </c>
      <c r="I12" s="249">
        <f>'6-PlantInService'!I11</f>
        <v>421892563.39699292</v>
      </c>
      <c r="J12" s="249">
        <f>'6-PlantInService'!J11</f>
        <v>558943.05572319392</v>
      </c>
      <c r="K12" s="1330">
        <f>'6-PlantInService'!K11</f>
        <v>3408604.1449359828</v>
      </c>
      <c r="L12" s="1330">
        <f>'6-PlantInService'!L11</f>
        <v>110352407.07531106</v>
      </c>
      <c r="M12" s="1330">
        <f>'6-PlantInService'!M11</f>
        <v>3286602769.982338</v>
      </c>
    </row>
    <row r="13" spans="1:13" x14ac:dyDescent="0.2">
      <c r="A13" s="679">
        <f>A12+1</f>
        <v>2</v>
      </c>
      <c r="B13" s="890" t="s">
        <v>2657</v>
      </c>
      <c r="C13" s="1330">
        <f>'6-PlantInService'!C12</f>
        <v>74561042.511944845</v>
      </c>
      <c r="D13" s="1330">
        <f>'6-PlantInService'!D12</f>
        <v>82076974.605616346</v>
      </c>
      <c r="E13" s="1297">
        <f>'6-PlantInService'!E12</f>
        <v>169874061.87850419</v>
      </c>
      <c r="F13" s="1297">
        <f>'6-PlantInService'!F12</f>
        <v>1745089792.099664</v>
      </c>
      <c r="G13" s="1297">
        <f>'6-PlantInService'!G12</f>
        <v>551808633.25355101</v>
      </c>
      <c r="H13" s="1297">
        <f>'6-PlantInService'!H12</f>
        <v>132952401.94089179</v>
      </c>
      <c r="I13" s="1274">
        <f>'6-PlantInService'!I12</f>
        <v>422452127.19937187</v>
      </c>
      <c r="J13" s="1274">
        <f>'6-PlantInService'!J12</f>
        <v>559031.49235707941</v>
      </c>
      <c r="K13" s="1297">
        <f>'6-PlantInService'!K12</f>
        <v>3563547.0617986568</v>
      </c>
      <c r="L13" s="1297">
        <f>'6-PlantInService'!L12</f>
        <v>110352311.25034752</v>
      </c>
      <c r="M13" s="1297">
        <f>'6-PlantInService'!M12</f>
        <v>3293289923.2940474</v>
      </c>
    </row>
    <row r="14" spans="1:13" x14ac:dyDescent="0.2">
      <c r="A14" s="679">
        <f t="shared" ref="A14:A77" si="0">A13+1</f>
        <v>3</v>
      </c>
      <c r="B14" s="890" t="s">
        <v>2658</v>
      </c>
      <c r="C14" s="1330">
        <f>'6-PlantInService'!C13</f>
        <v>76904828.75194484</v>
      </c>
      <c r="D14" s="1330">
        <f>'6-PlantInService'!D13</f>
        <v>98668295.402239397</v>
      </c>
      <c r="E14" s="1297">
        <f>'6-PlantInService'!E13</f>
        <v>197439336.91411382</v>
      </c>
      <c r="F14" s="1297">
        <f>'6-PlantInService'!F13</f>
        <v>1872801381.8102803</v>
      </c>
      <c r="G14" s="1297">
        <f>'6-PlantInService'!G13</f>
        <v>551991309.34585619</v>
      </c>
      <c r="H14" s="1297">
        <f>'6-PlantInService'!H13</f>
        <v>133258865.45193692</v>
      </c>
      <c r="I14" s="1274">
        <f>'6-PlantInService'!I13</f>
        <v>422665943.51690561</v>
      </c>
      <c r="J14" s="1274">
        <f>'6-PlantInService'!J13</f>
        <v>488561.07170734345</v>
      </c>
      <c r="K14" s="1297">
        <f>'6-PlantInService'!K13</f>
        <v>3606876.6173063279</v>
      </c>
      <c r="L14" s="1297">
        <f>'6-PlantInService'!L13</f>
        <v>110256977.67379253</v>
      </c>
      <c r="M14" s="1297">
        <f>'6-PlantInService'!M13</f>
        <v>3468082376.5560827</v>
      </c>
    </row>
    <row r="15" spans="1:13" x14ac:dyDescent="0.2">
      <c r="A15" s="679">
        <f t="shared" si="0"/>
        <v>4</v>
      </c>
      <c r="B15" s="890" t="s">
        <v>2659</v>
      </c>
      <c r="C15" s="1330">
        <f>'6-PlantInService'!C14</f>
        <v>77016994.427896053</v>
      </c>
      <c r="D15" s="1330">
        <f>'6-PlantInService'!D14</f>
        <v>100165924.05792078</v>
      </c>
      <c r="E15" s="1297">
        <f>'6-PlantInService'!E14</f>
        <v>197648309.896763</v>
      </c>
      <c r="F15" s="1297">
        <f>'6-PlantInService'!F14</f>
        <v>1879136358.4832084</v>
      </c>
      <c r="G15" s="1297">
        <f>'6-PlantInService'!G14</f>
        <v>552309753.46936154</v>
      </c>
      <c r="H15" s="1297">
        <f>'6-PlantInService'!H14</f>
        <v>133880913.31541264</v>
      </c>
      <c r="I15" s="1274">
        <f>'6-PlantInService'!I14</f>
        <v>422904731.2660802</v>
      </c>
      <c r="J15" s="1274">
        <f>'6-PlantInService'!J14</f>
        <v>491674.92935935617</v>
      </c>
      <c r="K15" s="1297">
        <f>'6-PlantInService'!K14</f>
        <v>3593326.6578374305</v>
      </c>
      <c r="L15" s="1297">
        <f>'6-PlantInService'!L14</f>
        <v>109816758.12261117</v>
      </c>
      <c r="M15" s="1297">
        <f>'6-PlantInService'!M14</f>
        <v>3476964744.6264505</v>
      </c>
    </row>
    <row r="16" spans="1:13" x14ac:dyDescent="0.2">
      <c r="A16" s="679">
        <f t="shared" si="0"/>
        <v>5</v>
      </c>
      <c r="B16" s="890" t="s">
        <v>2660</v>
      </c>
      <c r="C16" s="1330">
        <f>'6-PlantInService'!C15</f>
        <v>77016994.427896053</v>
      </c>
      <c r="D16" s="1330">
        <f>'6-PlantInService'!D15</f>
        <v>100135923.77232622</v>
      </c>
      <c r="E16" s="1297">
        <f>'6-PlantInService'!E15</f>
        <v>198227376.11395162</v>
      </c>
      <c r="F16" s="1297">
        <f>'6-PlantInService'!F15</f>
        <v>1891077305.2750614</v>
      </c>
      <c r="G16" s="1297">
        <f>'6-PlantInService'!G15</f>
        <v>622529569.51515055</v>
      </c>
      <c r="H16" s="1297">
        <f>'6-PlantInService'!H15</f>
        <v>135319580.45474413</v>
      </c>
      <c r="I16" s="1274">
        <f>'6-PlantInService'!I15</f>
        <v>463396022.85328692</v>
      </c>
      <c r="J16" s="1274">
        <f>'6-PlantInService'!J15</f>
        <v>491640.96921242547</v>
      </c>
      <c r="K16" s="1297">
        <f>'6-PlantInService'!K15</f>
        <v>3592336.3589852182</v>
      </c>
      <c r="L16" s="1297">
        <f>'6-PlantInService'!L15</f>
        <v>123440107.64055307</v>
      </c>
      <c r="M16" s="1297">
        <f>'6-PlantInService'!M15</f>
        <v>3615226857.3811679</v>
      </c>
    </row>
    <row r="17" spans="1:13" x14ac:dyDescent="0.2">
      <c r="A17" s="679">
        <f t="shared" si="0"/>
        <v>6</v>
      </c>
      <c r="B17" s="890" t="s">
        <v>2661</v>
      </c>
      <c r="C17" s="1330">
        <f>'6-PlantInService'!C16</f>
        <v>77016994.427896053</v>
      </c>
      <c r="D17" s="1330">
        <f>'6-PlantInService'!D16</f>
        <v>100200225.66723305</v>
      </c>
      <c r="E17" s="1297">
        <f>'6-PlantInService'!E16</f>
        <v>198293704.14619684</v>
      </c>
      <c r="F17" s="1297">
        <f>'6-PlantInService'!F16</f>
        <v>1897361702.0714102</v>
      </c>
      <c r="G17" s="1297">
        <f>'6-PlantInService'!G16</f>
        <v>621379898.00169933</v>
      </c>
      <c r="H17" s="1297">
        <f>'6-PlantInService'!H16</f>
        <v>135109101.86310929</v>
      </c>
      <c r="I17" s="1274">
        <f>'6-PlantInService'!I16</f>
        <v>462949214.36155879</v>
      </c>
      <c r="J17" s="1274">
        <f>'6-PlantInService'!J16</f>
        <v>506887.0817250805</v>
      </c>
      <c r="K17" s="1297">
        <f>'6-PlantInService'!K16</f>
        <v>3643218.9079888719</v>
      </c>
      <c r="L17" s="1297">
        <f>'6-PlantInService'!L16</f>
        <v>123460440.46663174</v>
      </c>
      <c r="M17" s="1297">
        <f>'6-PlantInService'!M16</f>
        <v>3619921386.9954495</v>
      </c>
    </row>
    <row r="18" spans="1:13" x14ac:dyDescent="0.2">
      <c r="A18" s="679">
        <f t="shared" si="0"/>
        <v>7</v>
      </c>
      <c r="B18" s="890" t="s">
        <v>2669</v>
      </c>
      <c r="C18" s="1330">
        <f>'6-PlantInService'!C17</f>
        <v>77308952.122897133</v>
      </c>
      <c r="D18" s="1330">
        <f>'6-PlantInService'!D17</f>
        <v>100038275.14544813</v>
      </c>
      <c r="E18" s="1297">
        <f>'6-PlantInService'!E17</f>
        <v>199449311.64802295</v>
      </c>
      <c r="F18" s="1297">
        <f>'6-PlantInService'!F17</f>
        <v>1914963180.218323</v>
      </c>
      <c r="G18" s="1297">
        <f>'6-PlantInService'!G17</f>
        <v>621160654.75114465</v>
      </c>
      <c r="H18" s="1297">
        <f>'6-PlantInService'!H17</f>
        <v>135550317.39837691</v>
      </c>
      <c r="I18" s="1274">
        <f>'6-PlantInService'!I17</f>
        <v>463258753.92590934</v>
      </c>
      <c r="J18" s="1274">
        <f>'6-PlantInService'!J17</f>
        <v>572626.95403998368</v>
      </c>
      <c r="K18" s="1297">
        <f>'6-PlantInService'!K17</f>
        <v>3699721.4695636532</v>
      </c>
      <c r="L18" s="1297">
        <f>'6-PlantInService'!L17</f>
        <v>123391751.75300801</v>
      </c>
      <c r="M18" s="1297">
        <f>'6-PlantInService'!M17</f>
        <v>3639393545.3867335</v>
      </c>
    </row>
    <row r="19" spans="1:13" x14ac:dyDescent="0.2">
      <c r="A19" s="679">
        <f t="shared" si="0"/>
        <v>8</v>
      </c>
      <c r="B19" s="890" t="s">
        <v>2663</v>
      </c>
      <c r="C19" s="1330">
        <f>'6-PlantInService'!C18</f>
        <v>77308952.122897133</v>
      </c>
      <c r="D19" s="1330">
        <f>'6-PlantInService'!D18</f>
        <v>100038280.84898329</v>
      </c>
      <c r="E19" s="1297">
        <f>'6-PlantInService'!E18</f>
        <v>200586956.211366</v>
      </c>
      <c r="F19" s="1297">
        <f>'6-PlantInService'!F18</f>
        <v>1947014566.2102458</v>
      </c>
      <c r="G19" s="1297">
        <f>'6-PlantInService'!G18</f>
        <v>621484566.78426087</v>
      </c>
      <c r="H19" s="1297">
        <f>'6-PlantInService'!H18</f>
        <v>137143379.25929666</v>
      </c>
      <c r="I19" s="1274">
        <f>'6-PlantInService'!I18</f>
        <v>468919541.08902407</v>
      </c>
      <c r="J19" s="1274">
        <f>'6-PlantInService'!J18</f>
        <v>567366.28674882441</v>
      </c>
      <c r="K19" s="1297">
        <f>'6-PlantInService'!K18</f>
        <v>3685095.6285293791</v>
      </c>
      <c r="L19" s="1297">
        <f>'6-PlantInService'!L18</f>
        <v>123513761.06227975</v>
      </c>
      <c r="M19" s="1297">
        <f>'6-PlantInService'!M18</f>
        <v>3680262465.5036321</v>
      </c>
    </row>
    <row r="20" spans="1:13" x14ac:dyDescent="0.2">
      <c r="A20" s="679">
        <f t="shared" si="0"/>
        <v>9</v>
      </c>
      <c r="B20" s="890" t="s">
        <v>2664</v>
      </c>
      <c r="C20" s="1330">
        <f>'6-PlantInService'!C19</f>
        <v>77308952.122897133</v>
      </c>
      <c r="D20" s="1330">
        <f>'6-PlantInService'!D19</f>
        <v>108801602.94020353</v>
      </c>
      <c r="E20" s="1297">
        <f>'6-PlantInService'!E19</f>
        <v>200259671.94902271</v>
      </c>
      <c r="F20" s="1297">
        <f>'6-PlantInService'!F19</f>
        <v>2052047859.5546982</v>
      </c>
      <c r="G20" s="1297">
        <f>'6-PlantInService'!G19</f>
        <v>626904509.97120583</v>
      </c>
      <c r="H20" s="1297">
        <f>'6-PlantInService'!H19</f>
        <v>140659391.15995497</v>
      </c>
      <c r="I20" s="1274">
        <f>'6-PlantInService'!I19</f>
        <v>460429912.32560098</v>
      </c>
      <c r="J20" s="1274">
        <f>'6-PlantInService'!J19</f>
        <v>567362.39176256221</v>
      </c>
      <c r="K20" s="1297">
        <f>'6-PlantInService'!K19</f>
        <v>3683455.0203507515</v>
      </c>
      <c r="L20" s="1297">
        <f>'6-PlantInService'!L19</f>
        <v>123756234.0781856</v>
      </c>
      <c r="M20" s="1297">
        <f>'6-PlantInService'!M19</f>
        <v>3794418951.5138826</v>
      </c>
    </row>
    <row r="21" spans="1:13" x14ac:dyDescent="0.2">
      <c r="A21" s="679">
        <f t="shared" si="0"/>
        <v>10</v>
      </c>
      <c r="B21" s="890" t="s">
        <v>2665</v>
      </c>
      <c r="C21" s="1330">
        <f>'6-PlantInService'!C20</f>
        <v>77308952.122897133</v>
      </c>
      <c r="D21" s="1330">
        <f>'6-PlantInService'!D20</f>
        <v>108579563.0742241</v>
      </c>
      <c r="E21" s="1297">
        <f>'6-PlantInService'!E20</f>
        <v>200802399.42636177</v>
      </c>
      <c r="F21" s="1297">
        <f>'6-PlantInService'!F20</f>
        <v>2055695509.264168</v>
      </c>
      <c r="G21" s="1297">
        <f>'6-PlantInService'!G20</f>
        <v>628771941.91514492</v>
      </c>
      <c r="H21" s="1297">
        <f>'6-PlantInService'!H20</f>
        <v>142203987.13275051</v>
      </c>
      <c r="I21" s="1274">
        <f>'6-PlantInService'!I20</f>
        <v>460573197.13630164</v>
      </c>
      <c r="J21" s="1274">
        <f>'6-PlantInService'!J20</f>
        <v>567908.57018263859</v>
      </c>
      <c r="K21" s="1297">
        <f>'6-PlantInService'!K20</f>
        <v>3681832.2180163525</v>
      </c>
      <c r="L21" s="1297">
        <f>'6-PlantInService'!L20</f>
        <v>123992159.72875403</v>
      </c>
      <c r="M21" s="1297">
        <f>'6-PlantInService'!M20</f>
        <v>3802177450.5888009</v>
      </c>
    </row>
    <row r="22" spans="1:13" x14ac:dyDescent="0.2">
      <c r="A22" s="679">
        <f t="shared" si="0"/>
        <v>11</v>
      </c>
      <c r="B22" s="890" t="s">
        <v>2666</v>
      </c>
      <c r="C22" s="1330">
        <f>'6-PlantInService'!C21</f>
        <v>77308952.122897133</v>
      </c>
      <c r="D22" s="1330">
        <f>'6-PlantInService'!D21</f>
        <v>108582226.43813592</v>
      </c>
      <c r="E22" s="1297">
        <f>'6-PlantInService'!E21</f>
        <v>201449846.06356212</v>
      </c>
      <c r="F22" s="1297">
        <f>'6-PlantInService'!F21</f>
        <v>2021919311.8436604</v>
      </c>
      <c r="G22" s="1297">
        <f>'6-PlantInService'!G21</f>
        <v>629754839.47926366</v>
      </c>
      <c r="H22" s="1297">
        <f>'6-PlantInService'!H21</f>
        <v>142508993.6808534</v>
      </c>
      <c r="I22" s="1274">
        <f>'6-PlantInService'!I21</f>
        <v>461080269.80336231</v>
      </c>
      <c r="J22" s="1274">
        <f>'6-PlantInService'!J21</f>
        <v>568415.64980982244</v>
      </c>
      <c r="K22" s="1297">
        <f>'6-PlantInService'!K21</f>
        <v>3697358.4711751905</v>
      </c>
      <c r="L22" s="1297">
        <f>'6-PlantInService'!L21</f>
        <v>124348813.92875403</v>
      </c>
      <c r="M22" s="1297">
        <f>'6-PlantInService'!M21</f>
        <v>3771219027.4814739</v>
      </c>
    </row>
    <row r="23" spans="1:13" x14ac:dyDescent="0.2">
      <c r="A23" s="679">
        <f t="shared" si="0"/>
        <v>12</v>
      </c>
      <c r="B23" s="890" t="s">
        <v>2667</v>
      </c>
      <c r="C23" s="1330">
        <f>'6-PlantInService'!C22</f>
        <v>77320751.811228737</v>
      </c>
      <c r="D23" s="1330">
        <f>'6-PlantInService'!D22</f>
        <v>108584488.12392817</v>
      </c>
      <c r="E23" s="1297">
        <f>'6-PlantInService'!E22</f>
        <v>205881247.98419827</v>
      </c>
      <c r="F23" s="1297">
        <f>'6-PlantInService'!F22</f>
        <v>2056496507.2929645</v>
      </c>
      <c r="G23" s="1297">
        <f>'6-PlantInService'!G22</f>
        <v>631322714.00321877</v>
      </c>
      <c r="H23" s="1297">
        <f>'6-PlantInService'!H22</f>
        <v>143034699.81602445</v>
      </c>
      <c r="I23" s="1274">
        <f>'6-PlantInService'!I22</f>
        <v>461725568.29317278</v>
      </c>
      <c r="J23" s="1274">
        <f>'6-PlantInService'!J22</f>
        <v>576146.6606556467</v>
      </c>
      <c r="K23" s="1297">
        <f>'6-PlantInService'!K22</f>
        <v>3766909.8418063098</v>
      </c>
      <c r="L23" s="1297">
        <f>'6-PlantInService'!L22</f>
        <v>124245285.55524385</v>
      </c>
      <c r="M23" s="1297">
        <f>'6-PlantInService'!M22</f>
        <v>3812954319.382441</v>
      </c>
    </row>
    <row r="24" spans="1:13" x14ac:dyDescent="0.2">
      <c r="A24" s="679">
        <f t="shared" si="0"/>
        <v>13</v>
      </c>
      <c r="B24" s="890" t="s">
        <v>2668</v>
      </c>
      <c r="C24" s="1330">
        <f>'6-PlantInService'!C23</f>
        <v>77316396.51413767</v>
      </c>
      <c r="D24" s="1330">
        <f>'6-PlantInService'!D23</f>
        <v>108586633.1352807</v>
      </c>
      <c r="E24" s="1297">
        <f>'6-PlantInService'!E23</f>
        <v>207656916</v>
      </c>
      <c r="F24" s="1297">
        <f>'6-PlantInService'!F23</f>
        <v>2231719300</v>
      </c>
      <c r="G24" s="1297">
        <f>'6-PlantInService'!G23</f>
        <v>728242650.16347945</v>
      </c>
      <c r="H24" s="1297">
        <f>'6-PlantInService'!H23</f>
        <v>148632888.4820841</v>
      </c>
      <c r="I24" s="1274">
        <f>'6-PlantInService'!I23</f>
        <v>494953932.48711836</v>
      </c>
      <c r="J24" s="1274">
        <f>'6-PlantInService'!J23</f>
        <v>645861.64518965012</v>
      </c>
      <c r="K24" s="1297">
        <f>'6-PlantInService'!K23</f>
        <v>3959306.6940610548</v>
      </c>
      <c r="L24" s="1297">
        <f>'6-PlantInService'!L23</f>
        <v>38747355.238424651</v>
      </c>
      <c r="M24" s="1297">
        <f>'6-PlantInService'!M23</f>
        <v>4040461240.359776</v>
      </c>
    </row>
    <row r="25" spans="1:13" x14ac:dyDescent="0.2">
      <c r="A25" s="679">
        <f t="shared" si="0"/>
        <v>14</v>
      </c>
      <c r="B25" s="247"/>
      <c r="C25" s="247"/>
      <c r="D25" s="247"/>
      <c r="E25" s="247"/>
      <c r="F25" s="247"/>
      <c r="G25" s="247"/>
      <c r="H25" s="247"/>
      <c r="I25" s="247"/>
      <c r="J25" s="247"/>
      <c r="K25" s="247"/>
      <c r="L25" s="247"/>
      <c r="M25" s="247"/>
    </row>
    <row r="26" spans="1:13" x14ac:dyDescent="0.2">
      <c r="A26" s="679">
        <f t="shared" si="0"/>
        <v>15</v>
      </c>
      <c r="B26" s="759" t="s">
        <v>2597</v>
      </c>
      <c r="C26" s="257"/>
      <c r="D26" s="257"/>
      <c r="E26" s="257"/>
      <c r="F26" s="257"/>
      <c r="G26" s="257"/>
      <c r="H26" s="257"/>
      <c r="I26" s="247"/>
      <c r="J26" s="247"/>
      <c r="K26" s="247"/>
      <c r="L26" s="247"/>
      <c r="M26" s="247"/>
    </row>
    <row r="27" spans="1:13" x14ac:dyDescent="0.2">
      <c r="A27" s="679"/>
      <c r="B27" s="117"/>
      <c r="C27" s="257"/>
      <c r="D27" s="257"/>
      <c r="E27" s="257"/>
      <c r="F27" s="257"/>
      <c r="G27" s="247"/>
      <c r="H27" s="247"/>
      <c r="I27" s="247"/>
      <c r="J27" s="247"/>
      <c r="K27" s="247"/>
      <c r="L27" s="247"/>
      <c r="M27" s="247"/>
    </row>
    <row r="28" spans="1:13" x14ac:dyDescent="0.2">
      <c r="A28" s="679"/>
      <c r="B28" s="117"/>
      <c r="C28" s="257"/>
      <c r="D28" s="257"/>
      <c r="E28" s="257"/>
      <c r="F28" s="257"/>
      <c r="G28" s="247"/>
      <c r="H28" s="247"/>
      <c r="I28" s="247"/>
      <c r="J28" s="247"/>
      <c r="K28" s="247"/>
      <c r="L28" s="247"/>
      <c r="M28" s="247"/>
    </row>
    <row r="29" spans="1:13" x14ac:dyDescent="0.2">
      <c r="A29" s="679">
        <f>A26+1</f>
        <v>16</v>
      </c>
      <c r="B29" s="131" t="s">
        <v>2084</v>
      </c>
      <c r="C29" s="384">
        <v>350.1</v>
      </c>
      <c r="D29" s="384">
        <v>350.2</v>
      </c>
      <c r="E29" s="384">
        <v>352</v>
      </c>
      <c r="F29" s="384">
        <v>353</v>
      </c>
      <c r="G29" s="90">
        <v>354</v>
      </c>
      <c r="H29" s="90">
        <v>355</v>
      </c>
      <c r="I29" s="90">
        <v>356</v>
      </c>
      <c r="J29" s="90">
        <v>357</v>
      </c>
      <c r="K29" s="90">
        <v>358</v>
      </c>
      <c r="L29" s="90">
        <v>359</v>
      </c>
      <c r="M29" s="3"/>
    </row>
    <row r="30" spans="1:13" x14ac:dyDescent="0.2">
      <c r="A30" s="679" t="s">
        <v>2598</v>
      </c>
      <c r="B30" s="890" t="s">
        <v>2656</v>
      </c>
      <c r="C30" s="865">
        <v>0</v>
      </c>
      <c r="D30" s="865">
        <v>1.66E-2</v>
      </c>
      <c r="E30" s="865">
        <v>2.5700000000000001E-2</v>
      </c>
      <c r="F30" s="865">
        <v>2.47E-2</v>
      </c>
      <c r="G30" s="865">
        <v>2.4400000000000002E-2</v>
      </c>
      <c r="H30" s="865">
        <v>3.6700000000000003E-2</v>
      </c>
      <c r="I30" s="865">
        <v>3.0499999999999999E-2</v>
      </c>
      <c r="J30" s="865">
        <v>1.6500000000000001E-2</v>
      </c>
      <c r="K30" s="865">
        <v>3.8699999999999998E-2</v>
      </c>
      <c r="L30" s="865">
        <v>1.5599999999999999E-2</v>
      </c>
      <c r="M30" s="247"/>
    </row>
    <row r="31" spans="1:13" x14ac:dyDescent="0.2">
      <c r="A31" s="679" t="s">
        <v>2599</v>
      </c>
      <c r="B31" s="890" t="s">
        <v>2657</v>
      </c>
      <c r="C31" s="865">
        <v>0</v>
      </c>
      <c r="D31" s="865">
        <v>1.66E-2</v>
      </c>
      <c r="E31" s="865">
        <v>2.5700000000000001E-2</v>
      </c>
      <c r="F31" s="865">
        <v>2.47E-2</v>
      </c>
      <c r="G31" s="865">
        <v>2.4400000000000002E-2</v>
      </c>
      <c r="H31" s="865">
        <v>3.6700000000000003E-2</v>
      </c>
      <c r="I31" s="865">
        <v>3.0499999999999999E-2</v>
      </c>
      <c r="J31" s="865">
        <v>1.6500000000000001E-2</v>
      </c>
      <c r="K31" s="865">
        <v>3.8699999999999998E-2</v>
      </c>
      <c r="L31" s="865">
        <v>1.5599999999999999E-2</v>
      </c>
      <c r="M31" s="247"/>
    </row>
    <row r="32" spans="1:13" x14ac:dyDescent="0.2">
      <c r="A32" s="679" t="s">
        <v>2600</v>
      </c>
      <c r="B32" s="890" t="s">
        <v>2658</v>
      </c>
      <c r="C32" s="865">
        <v>0</v>
      </c>
      <c r="D32" s="865">
        <v>1.66E-2</v>
      </c>
      <c r="E32" s="865">
        <v>2.5700000000000001E-2</v>
      </c>
      <c r="F32" s="865">
        <v>2.47E-2</v>
      </c>
      <c r="G32" s="865">
        <v>2.4400000000000002E-2</v>
      </c>
      <c r="H32" s="865">
        <v>3.6700000000000003E-2</v>
      </c>
      <c r="I32" s="865">
        <v>3.0499999999999999E-2</v>
      </c>
      <c r="J32" s="865">
        <v>1.6500000000000001E-2</v>
      </c>
      <c r="K32" s="865">
        <v>3.8699999999999998E-2</v>
      </c>
      <c r="L32" s="865">
        <v>1.5599999999999999E-2</v>
      </c>
      <c r="M32" s="247"/>
    </row>
    <row r="33" spans="1:13" x14ac:dyDescent="0.2">
      <c r="A33" s="679" t="s">
        <v>2601</v>
      </c>
      <c r="B33" s="890" t="s">
        <v>2659</v>
      </c>
      <c r="C33" s="865">
        <v>0</v>
      </c>
      <c r="D33" s="865">
        <v>1.66E-2</v>
      </c>
      <c r="E33" s="865">
        <v>2.5700000000000001E-2</v>
      </c>
      <c r="F33" s="865">
        <v>2.47E-2</v>
      </c>
      <c r="G33" s="865">
        <v>2.4400000000000002E-2</v>
      </c>
      <c r="H33" s="865">
        <v>3.6700000000000003E-2</v>
      </c>
      <c r="I33" s="865">
        <v>3.0499999999999999E-2</v>
      </c>
      <c r="J33" s="865">
        <v>1.6500000000000001E-2</v>
      </c>
      <c r="K33" s="865">
        <v>3.8699999999999998E-2</v>
      </c>
      <c r="L33" s="865">
        <v>1.5599999999999999E-2</v>
      </c>
      <c r="M33" s="247"/>
    </row>
    <row r="34" spans="1:13" x14ac:dyDescent="0.2">
      <c r="A34" s="679" t="s">
        <v>2602</v>
      </c>
      <c r="B34" s="890" t="s">
        <v>2660</v>
      </c>
      <c r="C34" s="865">
        <v>0</v>
      </c>
      <c r="D34" s="865">
        <v>1.66E-2</v>
      </c>
      <c r="E34" s="865">
        <v>2.5700000000000001E-2</v>
      </c>
      <c r="F34" s="865">
        <v>2.47E-2</v>
      </c>
      <c r="G34" s="865">
        <v>2.4400000000000002E-2</v>
      </c>
      <c r="H34" s="865">
        <v>3.6700000000000003E-2</v>
      </c>
      <c r="I34" s="865">
        <v>3.0499999999999999E-2</v>
      </c>
      <c r="J34" s="865">
        <v>1.6500000000000001E-2</v>
      </c>
      <c r="K34" s="865">
        <v>3.8699999999999998E-2</v>
      </c>
      <c r="L34" s="865">
        <v>1.5599999999999999E-2</v>
      </c>
      <c r="M34" s="247"/>
    </row>
    <row r="35" spans="1:13" x14ac:dyDescent="0.2">
      <c r="A35" s="679" t="s">
        <v>2603</v>
      </c>
      <c r="B35" s="890" t="s">
        <v>2661</v>
      </c>
      <c r="C35" s="865">
        <v>0</v>
      </c>
      <c r="D35" s="865">
        <v>1.66E-2</v>
      </c>
      <c r="E35" s="865">
        <v>2.5700000000000001E-2</v>
      </c>
      <c r="F35" s="865">
        <v>2.47E-2</v>
      </c>
      <c r="G35" s="865">
        <v>2.4400000000000002E-2</v>
      </c>
      <c r="H35" s="865">
        <v>3.6700000000000003E-2</v>
      </c>
      <c r="I35" s="865">
        <v>3.0499999999999999E-2</v>
      </c>
      <c r="J35" s="865">
        <v>1.6500000000000001E-2</v>
      </c>
      <c r="K35" s="865">
        <v>3.8699999999999998E-2</v>
      </c>
      <c r="L35" s="865">
        <v>1.5599999999999999E-2</v>
      </c>
      <c r="M35" s="247"/>
    </row>
    <row r="36" spans="1:13" x14ac:dyDescent="0.2">
      <c r="A36" s="679" t="s">
        <v>2604</v>
      </c>
      <c r="B36" s="890" t="s">
        <v>2669</v>
      </c>
      <c r="C36" s="865">
        <v>0</v>
      </c>
      <c r="D36" s="865">
        <v>1.66E-2</v>
      </c>
      <c r="E36" s="865">
        <v>2.5700000000000001E-2</v>
      </c>
      <c r="F36" s="865">
        <v>2.47E-2</v>
      </c>
      <c r="G36" s="865">
        <v>2.4400000000000002E-2</v>
      </c>
      <c r="H36" s="865">
        <v>3.6700000000000003E-2</v>
      </c>
      <c r="I36" s="865">
        <v>3.0499999999999999E-2</v>
      </c>
      <c r="J36" s="865">
        <v>1.6500000000000001E-2</v>
      </c>
      <c r="K36" s="865">
        <v>3.8699999999999998E-2</v>
      </c>
      <c r="L36" s="865">
        <v>1.5599999999999999E-2</v>
      </c>
      <c r="M36" s="247"/>
    </row>
    <row r="37" spans="1:13" x14ac:dyDescent="0.2">
      <c r="A37" s="679" t="s">
        <v>2605</v>
      </c>
      <c r="B37" s="890" t="s">
        <v>2663</v>
      </c>
      <c r="C37" s="865">
        <v>0</v>
      </c>
      <c r="D37" s="865">
        <v>1.66E-2</v>
      </c>
      <c r="E37" s="865">
        <v>2.5700000000000001E-2</v>
      </c>
      <c r="F37" s="865">
        <v>2.47E-2</v>
      </c>
      <c r="G37" s="865">
        <v>2.4400000000000002E-2</v>
      </c>
      <c r="H37" s="865">
        <v>3.6700000000000003E-2</v>
      </c>
      <c r="I37" s="865">
        <v>3.0499999999999999E-2</v>
      </c>
      <c r="J37" s="865">
        <v>1.6500000000000001E-2</v>
      </c>
      <c r="K37" s="865">
        <v>3.8699999999999998E-2</v>
      </c>
      <c r="L37" s="865">
        <v>1.5599999999999999E-2</v>
      </c>
      <c r="M37" s="247"/>
    </row>
    <row r="38" spans="1:13" x14ac:dyDescent="0.2">
      <c r="A38" s="679" t="s">
        <v>2606</v>
      </c>
      <c r="B38" s="890" t="s">
        <v>2664</v>
      </c>
      <c r="C38" s="865">
        <v>0</v>
      </c>
      <c r="D38" s="865">
        <v>1.66E-2</v>
      </c>
      <c r="E38" s="865">
        <v>2.5700000000000001E-2</v>
      </c>
      <c r="F38" s="865">
        <v>2.47E-2</v>
      </c>
      <c r="G38" s="865">
        <v>2.4400000000000002E-2</v>
      </c>
      <c r="H38" s="865">
        <v>3.6700000000000003E-2</v>
      </c>
      <c r="I38" s="865">
        <v>3.0499999999999999E-2</v>
      </c>
      <c r="J38" s="865">
        <v>1.6500000000000001E-2</v>
      </c>
      <c r="K38" s="865">
        <v>3.8699999999999998E-2</v>
      </c>
      <c r="L38" s="865">
        <v>1.5599999999999999E-2</v>
      </c>
      <c r="M38" s="247"/>
    </row>
    <row r="39" spans="1:13" x14ac:dyDescent="0.2">
      <c r="A39" s="679" t="s">
        <v>2607</v>
      </c>
      <c r="B39" s="890" t="s">
        <v>2665</v>
      </c>
      <c r="C39" s="865">
        <v>0</v>
      </c>
      <c r="D39" s="865">
        <v>1.66E-2</v>
      </c>
      <c r="E39" s="865">
        <v>2.5700000000000001E-2</v>
      </c>
      <c r="F39" s="865">
        <v>2.47E-2</v>
      </c>
      <c r="G39" s="865">
        <v>2.4400000000000002E-2</v>
      </c>
      <c r="H39" s="865">
        <v>3.6700000000000003E-2</v>
      </c>
      <c r="I39" s="865">
        <v>3.0499999999999999E-2</v>
      </c>
      <c r="J39" s="865">
        <v>1.6500000000000001E-2</v>
      </c>
      <c r="K39" s="865">
        <v>3.8699999999999998E-2</v>
      </c>
      <c r="L39" s="865">
        <v>1.5599999999999999E-2</v>
      </c>
      <c r="M39" s="247"/>
    </row>
    <row r="40" spans="1:13" x14ac:dyDescent="0.2">
      <c r="A40" s="679" t="s">
        <v>2608</v>
      </c>
      <c r="B40" s="890" t="s">
        <v>2666</v>
      </c>
      <c r="C40" s="865">
        <v>0</v>
      </c>
      <c r="D40" s="865">
        <v>1.66E-2</v>
      </c>
      <c r="E40" s="865">
        <v>2.5700000000000001E-2</v>
      </c>
      <c r="F40" s="865">
        <v>2.47E-2</v>
      </c>
      <c r="G40" s="865">
        <v>2.4400000000000002E-2</v>
      </c>
      <c r="H40" s="865">
        <v>3.6700000000000003E-2</v>
      </c>
      <c r="I40" s="865">
        <v>3.0499999999999999E-2</v>
      </c>
      <c r="J40" s="865">
        <v>1.6500000000000001E-2</v>
      </c>
      <c r="K40" s="865">
        <v>3.8699999999999998E-2</v>
      </c>
      <c r="L40" s="865">
        <v>1.5599999999999999E-2</v>
      </c>
      <c r="M40" s="247"/>
    </row>
    <row r="41" spans="1:13" x14ac:dyDescent="0.2">
      <c r="A41" s="679" t="s">
        <v>2609</v>
      </c>
      <c r="B41" s="890" t="s">
        <v>2667</v>
      </c>
      <c r="C41" s="865">
        <v>0</v>
      </c>
      <c r="D41" s="865">
        <v>1.66E-2</v>
      </c>
      <c r="E41" s="865">
        <v>2.5700000000000001E-2</v>
      </c>
      <c r="F41" s="865">
        <v>2.47E-2</v>
      </c>
      <c r="G41" s="865">
        <v>2.4400000000000002E-2</v>
      </c>
      <c r="H41" s="865">
        <v>3.6700000000000003E-2</v>
      </c>
      <c r="I41" s="865">
        <v>3.0499999999999999E-2</v>
      </c>
      <c r="J41" s="865">
        <v>1.6500000000000001E-2</v>
      </c>
      <c r="K41" s="865">
        <v>3.8699999999999998E-2</v>
      </c>
      <c r="L41" s="865">
        <v>1.5599999999999999E-2</v>
      </c>
      <c r="M41" s="247"/>
    </row>
    <row r="42" spans="1:13" x14ac:dyDescent="0.2">
      <c r="A42" s="679" t="s">
        <v>2610</v>
      </c>
      <c r="B42" s="890" t="s">
        <v>2668</v>
      </c>
      <c r="C42" s="865">
        <v>0</v>
      </c>
      <c r="D42" s="865">
        <v>1.66E-2</v>
      </c>
      <c r="E42" s="865">
        <v>2.5700000000000001E-2</v>
      </c>
      <c r="F42" s="865">
        <v>2.47E-2</v>
      </c>
      <c r="G42" s="865">
        <v>2.4400000000000002E-2</v>
      </c>
      <c r="H42" s="865">
        <v>3.6700000000000003E-2</v>
      </c>
      <c r="I42" s="865">
        <v>3.0499999999999999E-2</v>
      </c>
      <c r="J42" s="865">
        <v>1.6500000000000001E-2</v>
      </c>
      <c r="K42" s="865">
        <v>3.8699999999999998E-2</v>
      </c>
      <c r="L42" s="865">
        <v>1.5599999999999999E-2</v>
      </c>
      <c r="M42" s="247"/>
    </row>
    <row r="43" spans="1:13" x14ac:dyDescent="0.2">
      <c r="A43" s="679">
        <v>18</v>
      </c>
      <c r="C43" s="392"/>
      <c r="D43" s="392"/>
      <c r="E43" s="392"/>
      <c r="F43" s="392"/>
      <c r="G43" s="392"/>
      <c r="H43" s="392"/>
      <c r="I43" s="392"/>
      <c r="J43" s="392"/>
      <c r="K43" s="392"/>
      <c r="L43" s="392"/>
      <c r="M43" s="247"/>
    </row>
    <row r="44" spans="1:13" x14ac:dyDescent="0.2">
      <c r="A44" s="679">
        <f t="shared" si="0"/>
        <v>19</v>
      </c>
      <c r="B44" s="550" t="s">
        <v>1068</v>
      </c>
      <c r="C44" s="258"/>
      <c r="D44" s="258"/>
      <c r="E44" s="258"/>
      <c r="F44" s="258"/>
      <c r="G44" s="603" t="s">
        <v>1992</v>
      </c>
      <c r="H44" s="258"/>
      <c r="I44" s="392"/>
      <c r="J44" s="392"/>
      <c r="K44" s="392"/>
      <c r="L44" s="392"/>
      <c r="M44" s="247"/>
    </row>
    <row r="45" spans="1:13" x14ac:dyDescent="0.2">
      <c r="A45" s="679">
        <f t="shared" si="0"/>
        <v>20</v>
      </c>
      <c r="B45" s="257"/>
      <c r="C45" s="257"/>
      <c r="D45" s="257"/>
      <c r="E45" s="257"/>
      <c r="F45" s="257"/>
      <c r="G45" s="257"/>
      <c r="H45" s="257"/>
      <c r="I45" s="247"/>
      <c r="J45" s="247"/>
      <c r="K45" s="247"/>
      <c r="L45" s="247"/>
      <c r="M45" s="247"/>
    </row>
    <row r="46" spans="1:13" x14ac:dyDescent="0.2">
      <c r="A46" s="679">
        <f t="shared" si="0"/>
        <v>21</v>
      </c>
      <c r="B46" s="117"/>
      <c r="C46" s="1095" t="s">
        <v>13</v>
      </c>
      <c r="D46" s="257"/>
      <c r="E46" s="257"/>
      <c r="F46" s="257"/>
      <c r="G46" s="257"/>
      <c r="H46" s="257"/>
      <c r="I46" s="247"/>
      <c r="J46" s="247"/>
      <c r="K46" s="247"/>
      <c r="L46" s="247"/>
      <c r="M46" s="247"/>
    </row>
    <row r="47" spans="1:13" x14ac:dyDescent="0.2">
      <c r="A47" s="679">
        <f t="shared" si="0"/>
        <v>22</v>
      </c>
      <c r="B47" s="117"/>
      <c r="C47" s="1095" t="s">
        <v>1065</v>
      </c>
      <c r="D47" s="257"/>
      <c r="E47" s="257"/>
      <c r="F47" s="257"/>
      <c r="G47" s="257"/>
      <c r="H47" s="257"/>
      <c r="I47" s="247"/>
      <c r="J47" s="247"/>
      <c r="K47" s="247"/>
      <c r="L47" s="247"/>
      <c r="M47" s="679" t="s">
        <v>213</v>
      </c>
    </row>
    <row r="48" spans="1:13" x14ac:dyDescent="0.2">
      <c r="A48" s="679">
        <f t="shared" si="0"/>
        <v>23</v>
      </c>
      <c r="B48" s="131" t="s">
        <v>2084</v>
      </c>
      <c r="C48" s="384">
        <v>350.1</v>
      </c>
      <c r="D48" s="384">
        <v>350.2</v>
      </c>
      <c r="E48" s="384">
        <v>352</v>
      </c>
      <c r="F48" s="384">
        <v>353</v>
      </c>
      <c r="G48" s="384">
        <v>354</v>
      </c>
      <c r="H48" s="384">
        <v>355</v>
      </c>
      <c r="I48" s="90">
        <v>356</v>
      </c>
      <c r="J48" s="90">
        <v>357</v>
      </c>
      <c r="K48" s="90">
        <v>358</v>
      </c>
      <c r="L48" s="90">
        <v>359</v>
      </c>
      <c r="M48" s="3" t="s">
        <v>217</v>
      </c>
    </row>
    <row r="49" spans="1:13" x14ac:dyDescent="0.2">
      <c r="A49" s="679">
        <f t="shared" si="0"/>
        <v>24</v>
      </c>
      <c r="B49" s="890" t="s">
        <v>2657</v>
      </c>
      <c r="C49" s="251">
        <f>C12*$C$30/12</f>
        <v>0</v>
      </c>
      <c r="D49" s="1330">
        <f t="shared" ref="D49:D60" si="1">D12*$D30/12</f>
        <v>113501.05028802429</v>
      </c>
      <c r="E49" s="1330">
        <f t="shared" ref="E49:E60" si="2">E12*$E30/12</f>
        <v>363717.90283112571</v>
      </c>
      <c r="F49" s="1330">
        <f t="shared" ref="F49:F60" si="3">F12*$F30/12</f>
        <v>3584297.3302453742</v>
      </c>
      <c r="G49" s="1330">
        <f t="shared" ref="G49:G60" si="4">G12*$G30/12</f>
        <v>1119384.1719491847</v>
      </c>
      <c r="H49" s="1330">
        <f t="shared" ref="H49:H60" si="5">H12*$H30/12</f>
        <v>403929.54043672682</v>
      </c>
      <c r="I49" s="1330">
        <f t="shared" ref="I49:I60" si="6">I12*$I30/12</f>
        <v>1072310.2653006904</v>
      </c>
      <c r="J49" s="251">
        <f t="shared" ref="J49:J60" si="7">J12*$J30/12</f>
        <v>768.54670161939168</v>
      </c>
      <c r="K49" s="251">
        <f t="shared" ref="K49:K60" si="8">K12*$K30/12</f>
        <v>10992.748367418544</v>
      </c>
      <c r="L49" s="1330">
        <f t="shared" ref="L49:L60" si="9">L12*$L30/12</f>
        <v>143458.12919790437</v>
      </c>
      <c r="M49" s="1330">
        <f>SUM(C49:L49)</f>
        <v>6812359.6853180677</v>
      </c>
    </row>
    <row r="50" spans="1:13" x14ac:dyDescent="0.2">
      <c r="A50" s="679">
        <f t="shared" si="0"/>
        <v>25</v>
      </c>
      <c r="B50" s="890" t="s">
        <v>2658</v>
      </c>
      <c r="C50" s="251">
        <f t="shared" ref="C50:C60" si="10">C13*$C$30/12</f>
        <v>0</v>
      </c>
      <c r="D50" s="1330">
        <f t="shared" si="1"/>
        <v>113539.81487110262</v>
      </c>
      <c r="E50" s="1297">
        <f t="shared" si="2"/>
        <v>363813.61585646315</v>
      </c>
      <c r="F50" s="1297">
        <f t="shared" si="3"/>
        <v>3591976.4887384749</v>
      </c>
      <c r="G50" s="1297">
        <f t="shared" si="4"/>
        <v>1122010.8876155538</v>
      </c>
      <c r="H50" s="1297">
        <f t="shared" si="5"/>
        <v>406612.76260256075</v>
      </c>
      <c r="I50" s="1297">
        <f t="shared" si="6"/>
        <v>1073732.4899650703</v>
      </c>
      <c r="J50" s="1273">
        <f t="shared" si="7"/>
        <v>768.66830199098422</v>
      </c>
      <c r="K50" s="1273">
        <f t="shared" si="8"/>
        <v>11492.439274300668</v>
      </c>
      <c r="L50" s="1297">
        <f t="shared" si="9"/>
        <v>143458.00462545178</v>
      </c>
      <c r="M50" s="1297">
        <f t="shared" ref="M50:M60" si="11">SUM(C50:L50)</f>
        <v>6827405.1718509691</v>
      </c>
    </row>
    <row r="51" spans="1:13" x14ac:dyDescent="0.2">
      <c r="A51" s="679">
        <f t="shared" si="0"/>
        <v>26</v>
      </c>
      <c r="B51" s="890" t="s">
        <v>2659</v>
      </c>
      <c r="C51" s="251">
        <f t="shared" si="10"/>
        <v>0</v>
      </c>
      <c r="D51" s="1330">
        <f t="shared" si="1"/>
        <v>136491.14197309784</v>
      </c>
      <c r="E51" s="1297">
        <f t="shared" si="2"/>
        <v>422849.24655772717</v>
      </c>
      <c r="F51" s="1297">
        <f t="shared" si="3"/>
        <v>3854849.5108928271</v>
      </c>
      <c r="G51" s="1297">
        <f t="shared" si="4"/>
        <v>1122382.3290032409</v>
      </c>
      <c r="H51" s="1297">
        <f t="shared" si="5"/>
        <v>407550.03017384047</v>
      </c>
      <c r="I51" s="1297">
        <f t="shared" si="6"/>
        <v>1074275.9397721351</v>
      </c>
      <c r="J51" s="1273">
        <f t="shared" si="7"/>
        <v>671.77147359759726</v>
      </c>
      <c r="K51" s="1273">
        <f t="shared" si="8"/>
        <v>11632.177090812906</v>
      </c>
      <c r="L51" s="1297">
        <f t="shared" si="9"/>
        <v>143334.07097593028</v>
      </c>
      <c r="M51" s="1297">
        <f t="shared" si="11"/>
        <v>7174036.2179132095</v>
      </c>
    </row>
    <row r="52" spans="1:13" x14ac:dyDescent="0.2">
      <c r="A52" s="679">
        <f t="shared" si="0"/>
        <v>27</v>
      </c>
      <c r="B52" s="890" t="s">
        <v>2660</v>
      </c>
      <c r="C52" s="251">
        <f t="shared" si="10"/>
        <v>0</v>
      </c>
      <c r="D52" s="1330">
        <f t="shared" si="1"/>
        <v>138562.86161345709</v>
      </c>
      <c r="E52" s="1297">
        <f t="shared" si="2"/>
        <v>423296.79702890076</v>
      </c>
      <c r="F52" s="1297">
        <f t="shared" si="3"/>
        <v>3867889.0045446041</v>
      </c>
      <c r="G52" s="1297">
        <f t="shared" si="4"/>
        <v>1123029.8320543685</v>
      </c>
      <c r="H52" s="1297">
        <f t="shared" si="5"/>
        <v>409452.45988963702</v>
      </c>
      <c r="I52" s="1297">
        <f t="shared" si="6"/>
        <v>1074882.8586346204</v>
      </c>
      <c r="J52" s="1273">
        <f t="shared" si="7"/>
        <v>676.05302786911477</v>
      </c>
      <c r="K52" s="1273">
        <f t="shared" si="8"/>
        <v>11588.478471525712</v>
      </c>
      <c r="L52" s="1297">
        <f t="shared" si="9"/>
        <v>142761.78555939451</v>
      </c>
      <c r="M52" s="1297">
        <f t="shared" si="11"/>
        <v>7192140.1308243768</v>
      </c>
    </row>
    <row r="53" spans="1:13" x14ac:dyDescent="0.2">
      <c r="A53" s="679">
        <f t="shared" si="0"/>
        <v>28</v>
      </c>
      <c r="B53" s="890" t="s">
        <v>2661</v>
      </c>
      <c r="C53" s="251">
        <f t="shared" si="10"/>
        <v>0</v>
      </c>
      <c r="D53" s="1330">
        <f t="shared" si="1"/>
        <v>138521.36121838461</v>
      </c>
      <c r="E53" s="1297">
        <f t="shared" si="2"/>
        <v>424536.9638440464</v>
      </c>
      <c r="F53" s="1297">
        <f t="shared" si="3"/>
        <v>3892467.4533578344</v>
      </c>
      <c r="G53" s="1297">
        <f t="shared" si="4"/>
        <v>1265810.1246808062</v>
      </c>
      <c r="H53" s="1297">
        <f t="shared" si="5"/>
        <v>413852.38355742581</v>
      </c>
      <c r="I53" s="1297">
        <f t="shared" si="6"/>
        <v>1177798.2247521041</v>
      </c>
      <c r="J53" s="1273">
        <f t="shared" si="7"/>
        <v>676.00633266708508</v>
      </c>
      <c r="K53" s="1273">
        <f t="shared" si="8"/>
        <v>11585.284757727328</v>
      </c>
      <c r="L53" s="1297">
        <f t="shared" si="9"/>
        <v>160472.13993271897</v>
      </c>
      <c r="M53" s="1297">
        <f t="shared" si="11"/>
        <v>7485719.9424337158</v>
      </c>
    </row>
    <row r="54" spans="1:13" x14ac:dyDescent="0.2">
      <c r="A54" s="679">
        <f t="shared" si="0"/>
        <v>29</v>
      </c>
      <c r="B54" s="890" t="s">
        <v>2669</v>
      </c>
      <c r="C54" s="251">
        <f t="shared" si="10"/>
        <v>0</v>
      </c>
      <c r="D54" s="1330">
        <f t="shared" si="1"/>
        <v>138610.31217300572</v>
      </c>
      <c r="E54" s="1297">
        <f t="shared" si="2"/>
        <v>424679.01637977158</v>
      </c>
      <c r="F54" s="1297">
        <f t="shared" si="3"/>
        <v>3905402.8367636525</v>
      </c>
      <c r="G54" s="1297">
        <f t="shared" si="4"/>
        <v>1263472.459270122</v>
      </c>
      <c r="H54" s="1297">
        <f t="shared" si="5"/>
        <v>413208.66986467596</v>
      </c>
      <c r="I54" s="1297">
        <f t="shared" si="6"/>
        <v>1176662.5865022952</v>
      </c>
      <c r="J54" s="1273">
        <f t="shared" si="7"/>
        <v>696.96973737198562</v>
      </c>
      <c r="K54" s="1273">
        <f t="shared" si="8"/>
        <v>11749.380978264111</v>
      </c>
      <c r="L54" s="1297">
        <f t="shared" si="9"/>
        <v>160498.57260662125</v>
      </c>
      <c r="M54" s="1297">
        <f t="shared" si="11"/>
        <v>7494980.8042757809</v>
      </c>
    </row>
    <row r="55" spans="1:13" x14ac:dyDescent="0.2">
      <c r="A55" s="679">
        <f t="shared" si="0"/>
        <v>30</v>
      </c>
      <c r="B55" s="890" t="s">
        <v>2663</v>
      </c>
      <c r="C55" s="251">
        <f t="shared" si="10"/>
        <v>0</v>
      </c>
      <c r="D55" s="1330">
        <f t="shared" si="1"/>
        <v>138386.28061786992</v>
      </c>
      <c r="E55" s="1297">
        <f t="shared" si="2"/>
        <v>427153.94244618248</v>
      </c>
      <c r="F55" s="1297">
        <f t="shared" si="3"/>
        <v>3941632.5459493813</v>
      </c>
      <c r="G55" s="1297">
        <f t="shared" si="4"/>
        <v>1263026.6646606608</v>
      </c>
      <c r="H55" s="1297">
        <f t="shared" si="5"/>
        <v>414558.05404336943</v>
      </c>
      <c r="I55" s="1297">
        <f t="shared" si="6"/>
        <v>1177449.3328950196</v>
      </c>
      <c r="J55" s="1273">
        <f t="shared" si="7"/>
        <v>787.36206180497766</v>
      </c>
      <c r="K55" s="1273">
        <f t="shared" si="8"/>
        <v>11931.601739342781</v>
      </c>
      <c r="L55" s="1297">
        <f t="shared" si="9"/>
        <v>160409.27727891042</v>
      </c>
      <c r="M55" s="1297">
        <f t="shared" si="11"/>
        <v>7535335.0616925405</v>
      </c>
    </row>
    <row r="56" spans="1:13" x14ac:dyDescent="0.2">
      <c r="A56" s="679">
        <f t="shared" si="0"/>
        <v>31</v>
      </c>
      <c r="B56" s="890" t="s">
        <v>2664</v>
      </c>
      <c r="C56" s="251">
        <f t="shared" si="10"/>
        <v>0</v>
      </c>
      <c r="D56" s="1330">
        <f t="shared" si="1"/>
        <v>138386.28850776021</v>
      </c>
      <c r="E56" s="1297">
        <f t="shared" si="2"/>
        <v>429590.3978860089</v>
      </c>
      <c r="F56" s="1297">
        <f t="shared" si="3"/>
        <v>4007604.9821160897</v>
      </c>
      <c r="G56" s="1297">
        <f t="shared" si="4"/>
        <v>1263685.2857946639</v>
      </c>
      <c r="H56" s="1297">
        <f t="shared" si="5"/>
        <v>419430.16823468235</v>
      </c>
      <c r="I56" s="1297">
        <f t="shared" si="6"/>
        <v>1191837.1669346027</v>
      </c>
      <c r="J56" s="1273">
        <f t="shared" si="7"/>
        <v>780.12864427963359</v>
      </c>
      <c r="K56" s="1273">
        <f t="shared" si="8"/>
        <v>11884.433402007247</v>
      </c>
      <c r="L56" s="1297">
        <f t="shared" si="9"/>
        <v>160567.88938096366</v>
      </c>
      <c r="M56" s="1297">
        <f t="shared" si="11"/>
        <v>7623766.7409010585</v>
      </c>
    </row>
    <row r="57" spans="1:13" x14ac:dyDescent="0.2">
      <c r="A57" s="679">
        <f t="shared" si="0"/>
        <v>32</v>
      </c>
      <c r="B57" s="890" t="s">
        <v>2665</v>
      </c>
      <c r="C57" s="251">
        <f t="shared" si="10"/>
        <v>0</v>
      </c>
      <c r="D57" s="1330">
        <f t="shared" si="1"/>
        <v>150508.88406728156</v>
      </c>
      <c r="E57" s="1297">
        <f t="shared" si="2"/>
        <v>428889.46409082366</v>
      </c>
      <c r="F57" s="1297">
        <f t="shared" si="3"/>
        <v>4223798.5109167537</v>
      </c>
      <c r="G57" s="1297">
        <f t="shared" si="4"/>
        <v>1274705.836941452</v>
      </c>
      <c r="H57" s="1297">
        <f t="shared" si="5"/>
        <v>430183.30463086232</v>
      </c>
      <c r="I57" s="1297">
        <f t="shared" si="6"/>
        <v>1170259.3604942358</v>
      </c>
      <c r="J57" s="1273">
        <f t="shared" si="7"/>
        <v>780.12328867352301</v>
      </c>
      <c r="K57" s="1273">
        <f t="shared" si="8"/>
        <v>11879.142440631173</v>
      </c>
      <c r="L57" s="1297">
        <f t="shared" si="9"/>
        <v>160883.10430164126</v>
      </c>
      <c r="M57" s="1297">
        <f t="shared" si="11"/>
        <v>7851887.7311723549</v>
      </c>
    </row>
    <row r="58" spans="1:13" x14ac:dyDescent="0.2">
      <c r="A58" s="679">
        <f t="shared" si="0"/>
        <v>33</v>
      </c>
      <c r="B58" s="890" t="s">
        <v>2666</v>
      </c>
      <c r="C58" s="251">
        <f t="shared" si="10"/>
        <v>0</v>
      </c>
      <c r="D58" s="1330">
        <f t="shared" si="1"/>
        <v>150201.72891934335</v>
      </c>
      <c r="E58" s="1297">
        <f t="shared" si="2"/>
        <v>430051.80543812481</v>
      </c>
      <c r="F58" s="1297">
        <f t="shared" si="3"/>
        <v>4231306.5899020797</v>
      </c>
      <c r="G58" s="1297">
        <f t="shared" si="4"/>
        <v>1278502.9485607948</v>
      </c>
      <c r="H58" s="1297">
        <f t="shared" si="5"/>
        <v>434907.19398099533</v>
      </c>
      <c r="I58" s="1297">
        <f t="shared" si="6"/>
        <v>1170623.5427214333</v>
      </c>
      <c r="J58" s="1273">
        <f t="shared" si="7"/>
        <v>780.8742840011281</v>
      </c>
      <c r="K58" s="1273">
        <f t="shared" si="8"/>
        <v>11873.908903102738</v>
      </c>
      <c r="L58" s="1297">
        <f t="shared" si="9"/>
        <v>161189.80764738022</v>
      </c>
      <c r="M58" s="1297">
        <f t="shared" si="11"/>
        <v>7869438.4003572557</v>
      </c>
    </row>
    <row r="59" spans="1:13" x14ac:dyDescent="0.2">
      <c r="A59" s="679">
        <f t="shared" si="0"/>
        <v>34</v>
      </c>
      <c r="B59" s="890" t="s">
        <v>2667</v>
      </c>
      <c r="C59" s="251">
        <f t="shared" si="10"/>
        <v>0</v>
      </c>
      <c r="D59" s="1330">
        <f t="shared" si="1"/>
        <v>150205.41323942135</v>
      </c>
      <c r="E59" s="1297">
        <f t="shared" si="2"/>
        <v>431438.4203194622</v>
      </c>
      <c r="F59" s="1297">
        <f t="shared" si="3"/>
        <v>4161783.9168782011</v>
      </c>
      <c r="G59" s="1297">
        <f t="shared" si="4"/>
        <v>1280501.5069411695</v>
      </c>
      <c r="H59" s="1297">
        <f t="shared" si="5"/>
        <v>435840.00567394332</v>
      </c>
      <c r="I59" s="1297">
        <f t="shared" si="6"/>
        <v>1171912.3524168793</v>
      </c>
      <c r="J59" s="1273">
        <f t="shared" si="7"/>
        <v>781.57151848850583</v>
      </c>
      <c r="K59" s="1273">
        <f t="shared" si="8"/>
        <v>11923.981069539988</v>
      </c>
      <c r="L59" s="1297">
        <f t="shared" si="9"/>
        <v>161653.45810738023</v>
      </c>
      <c r="M59" s="1297">
        <f t="shared" si="11"/>
        <v>7806040.6261644848</v>
      </c>
    </row>
    <row r="60" spans="1:13" x14ac:dyDescent="0.2">
      <c r="A60" s="679">
        <f t="shared" si="0"/>
        <v>35</v>
      </c>
      <c r="B60" s="890" t="s">
        <v>2668</v>
      </c>
      <c r="C60" s="251">
        <f t="shared" si="10"/>
        <v>0</v>
      </c>
      <c r="D60" s="1330">
        <f t="shared" si="1"/>
        <v>150208.54190476731</v>
      </c>
      <c r="E60" s="1297">
        <f t="shared" si="2"/>
        <v>440929.00609949132</v>
      </c>
      <c r="F60" s="1297">
        <f t="shared" si="3"/>
        <v>4232955.310844685</v>
      </c>
      <c r="G60" s="1297">
        <f t="shared" si="4"/>
        <v>1283689.5184732114</v>
      </c>
      <c r="H60" s="1297">
        <f t="shared" si="5"/>
        <v>437447.7902706748</v>
      </c>
      <c r="I60" s="1297">
        <f t="shared" si="6"/>
        <v>1173552.4860784807</v>
      </c>
      <c r="J60" s="1273">
        <f t="shared" si="7"/>
        <v>792.20165840151424</v>
      </c>
      <c r="K60" s="1273">
        <f t="shared" si="8"/>
        <v>12148.284239825349</v>
      </c>
      <c r="L60" s="1297">
        <f t="shared" si="9"/>
        <v>161518.87122181701</v>
      </c>
      <c r="M60" s="1298">
        <f t="shared" si="11"/>
        <v>7893242.0107913557</v>
      </c>
    </row>
    <row r="61" spans="1:13" x14ac:dyDescent="0.2">
      <c r="A61" s="679">
        <f t="shared" si="0"/>
        <v>36</v>
      </c>
      <c r="B61" s="248" t="s">
        <v>218</v>
      </c>
      <c r="C61" s="249">
        <f>SUM(C49:C60)</f>
        <v>0</v>
      </c>
      <c r="D61" s="1330">
        <f t="shared" ref="D61:L61" si="12">SUM(D49:D60)</f>
        <v>1657123.6793935159</v>
      </c>
      <c r="E61" s="1297">
        <f t="shared" si="12"/>
        <v>5010946.5787781281</v>
      </c>
      <c r="F61" s="1297">
        <f t="shared" si="12"/>
        <v>47495964.481149957</v>
      </c>
      <c r="G61" s="1297">
        <f t="shared" si="12"/>
        <v>14660201.565945229</v>
      </c>
      <c r="H61" s="1297">
        <f t="shared" si="12"/>
        <v>5026972.3633593945</v>
      </c>
      <c r="I61" s="1297">
        <f t="shared" si="12"/>
        <v>13705296.606467566</v>
      </c>
      <c r="J61" s="1274">
        <f t="shared" si="12"/>
        <v>8960.2770307654428</v>
      </c>
      <c r="K61" s="1274">
        <f t="shared" si="12"/>
        <v>140681.86073449854</v>
      </c>
      <c r="L61" s="1297">
        <f t="shared" si="12"/>
        <v>1860205.110836114</v>
      </c>
      <c r="M61" s="1354"/>
    </row>
    <row r="62" spans="1:13" x14ac:dyDescent="0.2">
      <c r="A62" s="679">
        <f t="shared" si="0"/>
        <v>37</v>
      </c>
      <c r="B62" s="247"/>
      <c r="C62" s="247"/>
      <c r="D62" s="247"/>
      <c r="E62" s="1355"/>
      <c r="F62" s="1355"/>
      <c r="G62" s="1355"/>
      <c r="H62" s="1355"/>
      <c r="I62" s="1355"/>
      <c r="J62" s="1355"/>
      <c r="K62" s="1355"/>
      <c r="L62" s="1356" t="s">
        <v>1070</v>
      </c>
      <c r="M62" s="1297">
        <f>SUM(M49:M60)</f>
        <v>89566352.523695171</v>
      </c>
    </row>
    <row r="63" spans="1:13" x14ac:dyDescent="0.2">
      <c r="A63" s="679">
        <f t="shared" si="0"/>
        <v>38</v>
      </c>
      <c r="B63" s="247"/>
      <c r="C63" s="247"/>
      <c r="D63" s="247"/>
      <c r="E63" s="247"/>
      <c r="F63" s="247"/>
      <c r="G63" s="247"/>
      <c r="H63" s="247"/>
      <c r="I63" s="247"/>
      <c r="J63" s="247"/>
      <c r="K63" s="247"/>
      <c r="L63" s="866" t="s">
        <v>1071</v>
      </c>
      <c r="M63" s="247"/>
    </row>
    <row r="64" spans="1:13" x14ac:dyDescent="0.2">
      <c r="A64" s="679">
        <f t="shared" si="0"/>
        <v>39</v>
      </c>
      <c r="B64" s="1" t="s">
        <v>1110</v>
      </c>
      <c r="C64" s="247"/>
      <c r="D64" s="247"/>
      <c r="E64" s="247"/>
      <c r="F64" s="247"/>
      <c r="G64" s="247"/>
      <c r="H64" s="247"/>
      <c r="I64" s="247"/>
      <c r="J64" s="247"/>
      <c r="K64" s="247"/>
      <c r="L64" s="247"/>
      <c r="M64" s="247"/>
    </row>
    <row r="65" spans="1:13" x14ac:dyDescent="0.2">
      <c r="A65" s="679">
        <f t="shared" si="0"/>
        <v>40</v>
      </c>
      <c r="B65" s="247"/>
      <c r="C65" s="247"/>
      <c r="D65" s="247"/>
      <c r="E65" s="247"/>
      <c r="F65" s="247"/>
      <c r="G65" s="247"/>
      <c r="H65" s="247"/>
      <c r="I65" s="247"/>
      <c r="J65" s="247"/>
      <c r="K65" s="247"/>
      <c r="L65" s="247"/>
      <c r="M65" s="247"/>
    </row>
    <row r="66" spans="1:13" x14ac:dyDescent="0.2">
      <c r="A66" s="679">
        <f t="shared" si="0"/>
        <v>41</v>
      </c>
      <c r="B66" s="247"/>
      <c r="C66" s="247"/>
      <c r="D66" s="90">
        <v>360</v>
      </c>
      <c r="E66" s="90">
        <v>361</v>
      </c>
      <c r="F66" s="90">
        <v>362</v>
      </c>
      <c r="G66" s="247"/>
      <c r="H66" s="52" t="s">
        <v>200</v>
      </c>
      <c r="I66" s="3"/>
      <c r="J66" s="247"/>
      <c r="K66" s="247"/>
      <c r="L66" s="247"/>
      <c r="M66" s="247"/>
    </row>
    <row r="67" spans="1:13" x14ac:dyDescent="0.2">
      <c r="A67" s="679">
        <f t="shared" si="0"/>
        <v>42</v>
      </c>
      <c r="B67" s="548" t="s">
        <v>1111</v>
      </c>
      <c r="C67" s="247"/>
      <c r="D67" s="251">
        <f>'6-PlantInService'!C34</f>
        <v>75876.480999774722</v>
      </c>
      <c r="E67" s="251">
        <f>'6-PlantInService'!D34</f>
        <v>683246.94527539623</v>
      </c>
      <c r="F67" s="251">
        <f>'6-PlantInService'!E34</f>
        <v>5875711.4176010117</v>
      </c>
      <c r="G67" s="257"/>
      <c r="H67" s="550" t="str">
        <f>"6-PlantInService Line "&amp;'6-PlantInService'!A34&amp;"."</f>
        <v>6-PlantInService Line 15.</v>
      </c>
      <c r="I67" s="552"/>
      <c r="J67" s="247"/>
      <c r="K67" s="247"/>
      <c r="L67" s="247"/>
      <c r="M67" s="247"/>
    </row>
    <row r="68" spans="1:13" x14ac:dyDescent="0.2">
      <c r="A68" s="679">
        <f t="shared" si="0"/>
        <v>43</v>
      </c>
      <c r="B68" s="548" t="s">
        <v>1112</v>
      </c>
      <c r="C68" s="247"/>
      <c r="D68" s="522">
        <f>'6-PlantInService'!C35</f>
        <v>78348.646627332098</v>
      </c>
      <c r="E68" s="522">
        <f>'6-PlantInService'!D35</f>
        <v>718564.57265429304</v>
      </c>
      <c r="F68" s="522">
        <f>'6-PlantInService'!E35</f>
        <v>6051836.2912730929</v>
      </c>
      <c r="G68" s="257"/>
      <c r="H68" s="550" t="str">
        <f>"6-PlantInService Line "&amp;'6-PlantInService'!A35&amp;"."</f>
        <v>6-PlantInService Line 16.</v>
      </c>
      <c r="I68" s="247"/>
      <c r="J68" s="247"/>
      <c r="K68" s="247"/>
      <c r="M68" s="247"/>
    </row>
    <row r="69" spans="1:13" x14ac:dyDescent="0.2">
      <c r="A69" s="679">
        <f t="shared" si="0"/>
        <v>44</v>
      </c>
      <c r="B69" s="548" t="s">
        <v>1113</v>
      </c>
      <c r="C69" s="247"/>
      <c r="D69" s="251">
        <f>AVERAGE(D67:D68)</f>
        <v>77112.56381355341</v>
      </c>
      <c r="E69" s="251">
        <f>AVERAGE(E67:E68)</f>
        <v>700905.75896484463</v>
      </c>
      <c r="F69" s="251">
        <f>AVERAGE(F67:F68)</f>
        <v>5963773.8544370523</v>
      </c>
      <c r="G69" s="257"/>
      <c r="H69" s="1171"/>
      <c r="I69" s="552"/>
      <c r="J69" s="247"/>
      <c r="K69" s="247"/>
      <c r="M69" s="247"/>
    </row>
    <row r="70" spans="1:13" x14ac:dyDescent="0.2">
      <c r="A70" s="679">
        <f t="shared" si="0"/>
        <v>45</v>
      </c>
      <c r="D70" s="14"/>
      <c r="E70" s="14"/>
      <c r="F70" s="14"/>
      <c r="G70" s="14"/>
      <c r="H70" s="14"/>
      <c r="J70" s="247"/>
      <c r="K70" s="247"/>
      <c r="M70" s="247"/>
    </row>
    <row r="71" spans="1:13" x14ac:dyDescent="0.2">
      <c r="A71" s="679">
        <f t="shared" si="0"/>
        <v>46</v>
      </c>
      <c r="B71" s="759" t="s">
        <v>2116</v>
      </c>
      <c r="C71" s="247"/>
      <c r="D71" s="257"/>
      <c r="E71" s="257"/>
      <c r="F71" s="14"/>
      <c r="G71" s="14"/>
      <c r="H71" s="14"/>
      <c r="J71" s="257"/>
      <c r="K71" s="257"/>
      <c r="L71" s="251"/>
      <c r="M71" s="247"/>
    </row>
    <row r="72" spans="1:13" x14ac:dyDescent="0.2">
      <c r="A72" s="679">
        <f t="shared" si="0"/>
        <v>47</v>
      </c>
      <c r="B72" s="247"/>
      <c r="D72" s="384">
        <v>360</v>
      </c>
      <c r="E72" s="384">
        <v>361</v>
      </c>
      <c r="F72" s="384">
        <v>362</v>
      </c>
      <c r="G72" s="14"/>
      <c r="H72" s="14"/>
      <c r="J72" s="257"/>
      <c r="K72" s="257"/>
      <c r="L72" s="251"/>
      <c r="M72" s="247"/>
    </row>
    <row r="73" spans="1:13" x14ac:dyDescent="0.2">
      <c r="A73" s="679">
        <f t="shared" si="0"/>
        <v>48</v>
      </c>
      <c r="D73" s="258">
        <f>'18-DepRates'!$G20</f>
        <v>1.67E-2</v>
      </c>
      <c r="E73" s="258">
        <f>'18-DepRates'!$G21</f>
        <v>3.2000000000000001E-2</v>
      </c>
      <c r="F73" s="258">
        <f>'18-DepRates'!$G22</f>
        <v>3.1300000000000001E-2</v>
      </c>
      <c r="G73" s="14"/>
      <c r="H73" s="14"/>
      <c r="J73" s="257"/>
      <c r="K73" s="257"/>
      <c r="L73" s="251"/>
      <c r="M73" s="247"/>
    </row>
    <row r="74" spans="1:13" x14ac:dyDescent="0.2">
      <c r="A74" s="679">
        <f t="shared" si="0"/>
        <v>49</v>
      </c>
      <c r="D74" s="14"/>
      <c r="E74" s="14"/>
      <c r="F74" s="14"/>
      <c r="G74" s="14"/>
      <c r="H74" s="14"/>
      <c r="J74" s="257"/>
      <c r="K74" s="257"/>
      <c r="L74" s="118"/>
      <c r="M74" s="247"/>
    </row>
    <row r="75" spans="1:13" x14ac:dyDescent="0.2">
      <c r="A75" s="679">
        <f t="shared" si="0"/>
        <v>50</v>
      </c>
      <c r="B75" t="s">
        <v>399</v>
      </c>
      <c r="D75" s="14"/>
      <c r="E75" s="14"/>
      <c r="F75" s="550" t="s">
        <v>1993</v>
      </c>
      <c r="G75" s="14"/>
      <c r="H75" s="14"/>
      <c r="J75" s="257"/>
      <c r="K75" s="257"/>
      <c r="L75" s="258"/>
      <c r="M75" s="247"/>
    </row>
    <row r="76" spans="1:13" x14ac:dyDescent="0.2">
      <c r="A76" s="679">
        <f t="shared" si="0"/>
        <v>51</v>
      </c>
      <c r="J76" s="257"/>
      <c r="K76" s="257"/>
      <c r="L76" s="258"/>
      <c r="M76" s="247"/>
    </row>
    <row r="77" spans="1:13" x14ac:dyDescent="0.2">
      <c r="A77" s="679">
        <f t="shared" si="0"/>
        <v>52</v>
      </c>
      <c r="D77" s="90">
        <v>360</v>
      </c>
      <c r="E77" s="90">
        <v>361</v>
      </c>
      <c r="F77" s="90">
        <v>362</v>
      </c>
      <c r="G77" s="394" t="s">
        <v>217</v>
      </c>
      <c r="J77" s="257"/>
      <c r="K77" s="257"/>
      <c r="L77" s="258"/>
      <c r="M77" s="247"/>
    </row>
    <row r="78" spans="1:13" x14ac:dyDescent="0.2">
      <c r="A78" s="679">
        <f t="shared" ref="A78:A91" si="13">A77+1</f>
        <v>53</v>
      </c>
      <c r="D78" s="76">
        <f xml:space="preserve"> D69*D73</f>
        <v>1287.7798156863419</v>
      </c>
      <c r="E78" s="76">
        <f xml:space="preserve"> E69*E73</f>
        <v>22428.984286875027</v>
      </c>
      <c r="F78" s="76">
        <f xml:space="preserve"> F69*F73</f>
        <v>186666.12164387974</v>
      </c>
      <c r="G78" s="7">
        <f>SUM(D78:F78)</f>
        <v>210382.88574644111</v>
      </c>
      <c r="H78" s="16" t="s">
        <v>1114</v>
      </c>
      <c r="J78" s="257"/>
      <c r="K78" s="257"/>
      <c r="L78" s="251"/>
      <c r="M78" s="247"/>
    </row>
    <row r="79" spans="1:13" x14ac:dyDescent="0.2">
      <c r="A79" s="679">
        <f t="shared" si="13"/>
        <v>54</v>
      </c>
      <c r="H79" s="16" t="s">
        <v>1115</v>
      </c>
      <c r="J79" s="257"/>
      <c r="K79" s="257"/>
      <c r="L79" s="257"/>
      <c r="M79" s="247"/>
    </row>
    <row r="80" spans="1:13" x14ac:dyDescent="0.2">
      <c r="A80" s="679">
        <f t="shared" si="13"/>
        <v>55</v>
      </c>
      <c r="J80" s="257"/>
      <c r="K80" s="257"/>
      <c r="L80" s="257"/>
      <c r="M80" s="247"/>
    </row>
    <row r="81" spans="1:13" x14ac:dyDescent="0.2">
      <c r="A81" s="679">
        <f t="shared" si="13"/>
        <v>56</v>
      </c>
      <c r="B81" s="1" t="s">
        <v>1116</v>
      </c>
      <c r="J81" s="257"/>
      <c r="K81" s="257"/>
      <c r="L81" s="257"/>
      <c r="M81" s="247"/>
    </row>
    <row r="82" spans="1:13" x14ac:dyDescent="0.2">
      <c r="A82" s="679">
        <f t="shared" si="13"/>
        <v>57</v>
      </c>
      <c r="B82" s="247"/>
      <c r="C82" s="247"/>
      <c r="D82" s="247"/>
      <c r="E82" s="247"/>
      <c r="F82" s="247"/>
      <c r="G82" s="247"/>
      <c r="H82" s="247"/>
      <c r="I82" s="247"/>
      <c r="J82" s="247"/>
      <c r="K82" s="247"/>
      <c r="L82" s="247"/>
      <c r="M82" s="247"/>
    </row>
    <row r="83" spans="1:13" x14ac:dyDescent="0.2">
      <c r="A83" s="679">
        <f t="shared" si="13"/>
        <v>58</v>
      </c>
      <c r="B83" s="642" t="s">
        <v>1072</v>
      </c>
      <c r="C83" s="247"/>
      <c r="D83" s="247"/>
      <c r="E83" s="247"/>
      <c r="F83" s="247"/>
      <c r="G83" s="247"/>
      <c r="H83" s="395">
        <v>165094559</v>
      </c>
      <c r="I83" s="552" t="s">
        <v>1074</v>
      </c>
      <c r="J83" s="247"/>
      <c r="K83" s="247"/>
      <c r="L83" s="247"/>
      <c r="M83" s="247"/>
    </row>
    <row r="84" spans="1:13" x14ac:dyDescent="0.2">
      <c r="A84" s="679">
        <f t="shared" si="13"/>
        <v>59</v>
      </c>
      <c r="B84" s="548" t="s">
        <v>1073</v>
      </c>
      <c r="C84" s="247"/>
      <c r="D84" s="247"/>
      <c r="E84" s="247"/>
      <c r="F84" s="247"/>
      <c r="G84" s="247"/>
      <c r="H84" s="107">
        <v>222377352</v>
      </c>
      <c r="I84" s="552" t="s">
        <v>1075</v>
      </c>
      <c r="J84" s="247"/>
      <c r="K84" s="247"/>
      <c r="L84" s="247"/>
      <c r="M84" s="247"/>
    </row>
    <row r="85" spans="1:13" x14ac:dyDescent="0.2">
      <c r="A85" s="679">
        <f t="shared" si="13"/>
        <v>60</v>
      </c>
      <c r="B85" s="642" t="s">
        <v>1076</v>
      </c>
      <c r="C85" s="247"/>
      <c r="D85" s="247"/>
      <c r="E85" s="247"/>
      <c r="F85" s="247"/>
      <c r="G85" s="247"/>
      <c r="H85" s="396">
        <f>SUM(H83:H84)</f>
        <v>387471911</v>
      </c>
      <c r="I85" s="552" t="str">
        <f>"Line "&amp;A83&amp;" + Line "&amp;A84&amp;""</f>
        <v>Line 58 + Line 59</v>
      </c>
      <c r="J85" s="247"/>
      <c r="K85" s="247"/>
      <c r="L85" s="247"/>
      <c r="M85" s="247"/>
    </row>
    <row r="86" spans="1:13" x14ac:dyDescent="0.2">
      <c r="A86" s="679">
        <f t="shared" si="13"/>
        <v>61</v>
      </c>
      <c r="B86" s="642" t="s">
        <v>106</v>
      </c>
      <c r="C86" s="247"/>
      <c r="D86" s="247"/>
      <c r="E86" s="247"/>
      <c r="F86" s="247"/>
      <c r="G86" s="247"/>
      <c r="H86" s="1399">
        <f>'27-Allocators'!G15</f>
        <v>3.7193704666678068E-2</v>
      </c>
      <c r="I86" s="120" t="str">
        <f>"27-Allocators, Line "&amp;'27-Allocators'!A15&amp;""</f>
        <v>27-Allocators, Line 9</v>
      </c>
      <c r="J86" s="247"/>
      <c r="K86" s="247"/>
      <c r="L86" s="247"/>
      <c r="M86" s="247"/>
    </row>
    <row r="87" spans="1:13" x14ac:dyDescent="0.2">
      <c r="A87" s="679">
        <f t="shared" si="13"/>
        <v>62</v>
      </c>
      <c r="B87" s="642" t="s">
        <v>1077</v>
      </c>
      <c r="C87" s="247"/>
      <c r="D87" s="247"/>
      <c r="E87" s="247"/>
      <c r="F87" s="247"/>
      <c r="G87" s="247"/>
      <c r="H87" s="1297">
        <f>H85*H86</f>
        <v>14411515.824367369</v>
      </c>
      <c r="I87" s="552" t="str">
        <f>"Line "&amp;A85&amp;" * Line "&amp;A86&amp;""</f>
        <v>Line 60 * Line 61</v>
      </c>
      <c r="J87" s="247"/>
      <c r="K87" s="247"/>
      <c r="L87" s="247"/>
      <c r="M87" s="247"/>
    </row>
    <row r="88" spans="1:13" x14ac:dyDescent="0.2">
      <c r="A88" s="679">
        <f t="shared" si="13"/>
        <v>63</v>
      </c>
      <c r="B88" s="642"/>
      <c r="C88" s="548"/>
      <c r="D88" s="247"/>
      <c r="E88" s="247"/>
      <c r="F88" s="247"/>
      <c r="G88" s="247"/>
      <c r="H88" s="247"/>
      <c r="I88" s="247"/>
      <c r="J88" s="247"/>
      <c r="K88" s="247"/>
      <c r="L88" s="247"/>
      <c r="M88" s="247"/>
    </row>
    <row r="89" spans="1:13" x14ac:dyDescent="0.2">
      <c r="A89" s="679">
        <f t="shared" si="13"/>
        <v>64</v>
      </c>
      <c r="B89" s="89" t="s">
        <v>1935</v>
      </c>
      <c r="C89" s="247"/>
      <c r="D89" s="247"/>
      <c r="E89" s="247"/>
      <c r="F89" s="247"/>
      <c r="G89" s="247"/>
      <c r="H89" s="247"/>
      <c r="I89" s="247"/>
      <c r="J89" s="247"/>
      <c r="K89" s="247"/>
      <c r="L89" s="247"/>
      <c r="M89" s="247"/>
    </row>
    <row r="90" spans="1:13" x14ac:dyDescent="0.2">
      <c r="A90" s="679">
        <f t="shared" si="13"/>
        <v>65</v>
      </c>
      <c r="B90" s="642"/>
      <c r="C90" s="548"/>
      <c r="D90" s="247"/>
      <c r="E90" s="247"/>
      <c r="F90" s="247"/>
      <c r="G90" s="247"/>
      <c r="H90" s="247"/>
      <c r="I90" s="247"/>
      <c r="J90" s="247"/>
      <c r="K90" s="247"/>
      <c r="L90" s="247"/>
      <c r="M90" s="247"/>
    </row>
    <row r="91" spans="1:13" x14ac:dyDescent="0.2">
      <c r="A91" s="679">
        <f t="shared" si="13"/>
        <v>66</v>
      </c>
      <c r="B91" s="642" t="s">
        <v>1934</v>
      </c>
      <c r="C91" s="247"/>
      <c r="D91" s="247"/>
      <c r="E91" s="247"/>
      <c r="F91" s="3" t="s">
        <v>196</v>
      </c>
      <c r="G91" s="3" t="s">
        <v>200</v>
      </c>
      <c r="H91" s="247"/>
      <c r="I91" s="247"/>
    </row>
    <row r="92" spans="1:13" x14ac:dyDescent="0.2">
      <c r="A92" s="679">
        <f>A91+1</f>
        <v>67</v>
      </c>
      <c r="B92" s="552" t="s">
        <v>1063</v>
      </c>
      <c r="C92" s="247"/>
      <c r="D92" s="247"/>
      <c r="E92" s="247"/>
      <c r="F92" s="1400">
        <f>M62</f>
        <v>89566352.523695171</v>
      </c>
      <c r="G92" s="552" t="str">
        <f>"Line "&amp;A62&amp;", Col 12"</f>
        <v>Line 37, Col 12</v>
      </c>
      <c r="H92" s="247"/>
      <c r="I92" s="247"/>
    </row>
    <row r="93" spans="1:13" x14ac:dyDescent="0.2">
      <c r="A93" s="679">
        <f>A92+1</f>
        <v>68</v>
      </c>
      <c r="B93" s="552" t="s">
        <v>1079</v>
      </c>
      <c r="C93" s="247"/>
      <c r="D93" s="247"/>
      <c r="E93" s="247"/>
      <c r="F93" s="249">
        <f>G78</f>
        <v>210382.88574644111</v>
      </c>
      <c r="G93" s="552" t="str">
        <f>"Line "&amp;A78&amp;""</f>
        <v>Line 53</v>
      </c>
      <c r="H93" s="247"/>
      <c r="I93" s="247"/>
    </row>
    <row r="94" spans="1:13" x14ac:dyDescent="0.2">
      <c r="A94" s="679">
        <f>A93+1</f>
        <v>69</v>
      </c>
      <c r="B94" s="552" t="s">
        <v>1078</v>
      </c>
      <c r="C94" s="247"/>
      <c r="D94" s="247"/>
      <c r="E94" s="247"/>
      <c r="F94" s="1298">
        <f>H87</f>
        <v>14411515.824367369</v>
      </c>
      <c r="G94" s="552" t="str">
        <f>"Line "&amp;A87&amp;""</f>
        <v>Line 62</v>
      </c>
      <c r="H94" s="247"/>
      <c r="I94" s="247"/>
    </row>
    <row r="95" spans="1:13" x14ac:dyDescent="0.2">
      <c r="A95" s="679">
        <f>A94+1</f>
        <v>70</v>
      </c>
      <c r="B95" s="247"/>
      <c r="C95" s="247"/>
      <c r="D95" s="247"/>
      <c r="E95" s="248" t="s">
        <v>1117</v>
      </c>
      <c r="F95" s="1400">
        <f>SUM(F92:F94)</f>
        <v>104188251.23380898</v>
      </c>
      <c r="G95" s="552" t="str">
        <f>"Line "&amp;A92&amp;" + Line "&amp;A93&amp;" + Line "&amp;A94&amp;""</f>
        <v>Line 67 + Line 68 + Line 69</v>
      </c>
      <c r="H95" s="247"/>
      <c r="I95" s="247"/>
    </row>
    <row r="96" spans="1:13" x14ac:dyDescent="0.2">
      <c r="A96" s="247"/>
      <c r="B96" s="1" t="s">
        <v>258</v>
      </c>
      <c r="C96" s="247"/>
      <c r="D96" s="247"/>
      <c r="E96" s="247"/>
      <c r="F96" s="247"/>
      <c r="G96" s="247"/>
      <c r="H96" s="247"/>
      <c r="I96" s="247"/>
    </row>
    <row r="97" spans="1:10" x14ac:dyDescent="0.2">
      <c r="A97" s="247"/>
      <c r="B97" s="548" t="s">
        <v>1639</v>
      </c>
      <c r="C97" s="247"/>
      <c r="D97" s="247"/>
      <c r="E97" s="247"/>
      <c r="F97" s="247"/>
      <c r="G97" s="247"/>
      <c r="H97" s="247"/>
      <c r="I97" s="247"/>
    </row>
    <row r="98" spans="1:10" x14ac:dyDescent="0.2">
      <c r="A98" s="247"/>
      <c r="B98" s="550" t="str">
        <f>"same account, times the Monthly Depreciation Rate for that account.  Monthly rate = annual rates on Line "&amp;A30&amp;" etc. divided by 12."</f>
        <v>same account, times the Monthly Depreciation Rate for that account.  Monthly rate = annual rates on Line 17a etc. divided by 12.</v>
      </c>
      <c r="C98" s="257"/>
      <c r="D98" s="257"/>
      <c r="E98" s="257"/>
      <c r="F98" s="257"/>
      <c r="G98" s="257"/>
      <c r="H98" s="257"/>
      <c r="I98" s="257"/>
      <c r="J98" s="14"/>
    </row>
    <row r="99" spans="1:10" x14ac:dyDescent="0.2">
      <c r="A99" s="247"/>
      <c r="B99" s="550" t="str">
        <f>"2) Depreciation Expense for each account is equal to the Average BOY/EOY value on Line "&amp;A69&amp;" times the"</f>
        <v>2) Depreciation Expense for each account is equal to the Average BOY/EOY value on Line 44 times the</v>
      </c>
      <c r="C99" s="257"/>
      <c r="D99" s="257"/>
      <c r="E99" s="257"/>
      <c r="F99" s="257"/>
      <c r="G99" s="257"/>
      <c r="H99" s="257"/>
      <c r="I99" s="257"/>
      <c r="J99" s="14"/>
    </row>
    <row r="100" spans="1:10" x14ac:dyDescent="0.2">
      <c r="B100" s="550" t="str">
        <f>"Depreciation Rate on Line "&amp;A73&amp;"."</f>
        <v>Depreciation Rate on Line 48.</v>
      </c>
      <c r="C100" s="14"/>
      <c r="D100" s="14"/>
      <c r="E100" s="14"/>
      <c r="F100" s="14"/>
      <c r="G100" s="14"/>
      <c r="H100" s="14"/>
      <c r="I100" s="14"/>
      <c r="J100" s="14"/>
    </row>
    <row r="101" spans="1:10" x14ac:dyDescent="0.2">
      <c r="B101" s="44" t="s">
        <v>422</v>
      </c>
      <c r="C101" s="14"/>
      <c r="D101" s="14"/>
      <c r="E101" s="14"/>
      <c r="F101" s="14"/>
      <c r="G101" s="14"/>
      <c r="H101" s="14"/>
      <c r="I101" s="14"/>
      <c r="J101" s="14"/>
    </row>
    <row r="102" spans="1:10" x14ac:dyDescent="0.2">
      <c r="B102" s="550" t="s">
        <v>2611</v>
      </c>
      <c r="C102" s="14"/>
      <c r="D102" s="14"/>
      <c r="E102" s="14"/>
      <c r="F102" s="14"/>
      <c r="G102" s="14"/>
      <c r="H102" s="14"/>
      <c r="I102" s="14"/>
      <c r="J102" s="14"/>
    </row>
    <row r="103" spans="1:10" x14ac:dyDescent="0.2">
      <c r="B103" s="550" t="s">
        <v>2612</v>
      </c>
      <c r="C103" s="14"/>
      <c r="D103" s="14"/>
      <c r="E103" s="14"/>
      <c r="F103" s="14"/>
      <c r="G103" s="14"/>
      <c r="H103" s="14"/>
      <c r="I103" s="14"/>
      <c r="J103" s="14"/>
    </row>
    <row r="104" spans="1:10" x14ac:dyDescent="0.2">
      <c r="B104" s="14" t="s">
        <v>2613</v>
      </c>
      <c r="C104" s="14"/>
      <c r="D104" s="14"/>
      <c r="E104" s="14"/>
      <c r="F104" s="14"/>
      <c r="G104" s="14"/>
      <c r="H104" s="14"/>
      <c r="I104" s="14"/>
      <c r="J104" s="14"/>
    </row>
    <row r="105" spans="1:10" x14ac:dyDescent="0.2">
      <c r="B105" s="14" t="s">
        <v>2614</v>
      </c>
      <c r="C105" s="14"/>
      <c r="D105" s="14"/>
      <c r="E105" s="14"/>
      <c r="F105" s="14"/>
      <c r="G105" s="14"/>
      <c r="H105" s="14"/>
      <c r="I105" s="14"/>
      <c r="J105" s="14"/>
    </row>
    <row r="106" spans="1:10" x14ac:dyDescent="0.2">
      <c r="B106" s="550" t="s">
        <v>2091</v>
      </c>
      <c r="C106" s="14"/>
      <c r="D106" s="14"/>
      <c r="E106" s="14"/>
      <c r="F106" s="14"/>
      <c r="G106" s="14"/>
      <c r="H106" s="14"/>
      <c r="I106" s="14"/>
      <c r="J106" s="14"/>
    </row>
    <row r="107" spans="1:10" x14ac:dyDescent="0.2">
      <c r="B107" s="550" t="str">
        <f>"for Distribution Plant - ISO on Line "&amp;A78&amp;" utilizing the weighted-average (by time) of the annual depreciation rates in effect in the Prior Year."</f>
        <v>for Distribution Plant - ISO on Line 53 utilizing the weighted-average (by time) of the annual depreciation rates in effect in the Prior Year.</v>
      </c>
      <c r="C107" s="14"/>
      <c r="D107" s="14"/>
      <c r="E107" s="14"/>
      <c r="F107" s="14"/>
      <c r="G107" s="14"/>
      <c r="H107" s="14"/>
      <c r="I107" s="14"/>
      <c r="J107" s="14"/>
    </row>
  </sheetData>
  <pageMargins left="0.7" right="0.7" top="0.75" bottom="0.75" header="0.3" footer="0.3"/>
  <pageSetup scale="63" orientation="landscape" cellComments="asDisplayed" r:id="rId1"/>
  <headerFooter>
    <oddHeader>&amp;CSchedule 17
Depreciation Expense
&amp;RTO8 Annual Update (Revised)
Attachment  1</oddHeader>
    <oddFooter>&amp;R17-Depreciation</oddFooter>
  </headerFooter>
  <rowBreaks count="1" manualBreakCount="1">
    <brk id="63"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Layout" zoomScaleNormal="100" workbookViewId="0"/>
  </sheetViews>
  <sheetFormatPr defaultRowHeight="12.75" x14ac:dyDescent="0.2"/>
  <cols>
    <col min="1" max="1" width="4.7109375" customWidth="1"/>
    <col min="4" max="4" width="38.7109375" customWidth="1"/>
    <col min="5" max="7" width="9.140625" style="548"/>
  </cols>
  <sheetData>
    <row r="1" spans="1:7" ht="15" x14ac:dyDescent="0.25">
      <c r="A1" s="397" t="s">
        <v>1118</v>
      </c>
    </row>
    <row r="3" spans="1:7" ht="15" x14ac:dyDescent="0.25">
      <c r="B3" s="397" t="s">
        <v>353</v>
      </c>
      <c r="E3" s="421" t="s">
        <v>416</v>
      </c>
      <c r="F3" s="421"/>
      <c r="G3" s="421"/>
    </row>
    <row r="4" spans="1:7" ht="15" x14ac:dyDescent="0.25">
      <c r="C4" s="260" t="s">
        <v>13</v>
      </c>
      <c r="E4" s="421" t="s">
        <v>1119</v>
      </c>
      <c r="F4" s="4" t="s">
        <v>1120</v>
      </c>
      <c r="G4" s="4"/>
    </row>
    <row r="5" spans="1:7" ht="15" x14ac:dyDescent="0.25">
      <c r="A5" s="52" t="s">
        <v>362</v>
      </c>
      <c r="C5" s="262" t="s">
        <v>112</v>
      </c>
      <c r="D5" s="262" t="s">
        <v>113</v>
      </c>
      <c r="E5" s="1115" t="s">
        <v>1121</v>
      </c>
      <c r="F5" s="1115" t="s">
        <v>1122</v>
      </c>
      <c r="G5" s="1115" t="s">
        <v>217</v>
      </c>
    </row>
    <row r="6" spans="1:7" ht="15" customHeight="1" x14ac:dyDescent="0.25">
      <c r="A6" s="2">
        <v>1</v>
      </c>
      <c r="C6" s="269">
        <v>350.1</v>
      </c>
      <c r="D6" s="398" t="s">
        <v>1123</v>
      </c>
      <c r="E6" s="603">
        <v>0</v>
      </c>
      <c r="F6" s="603">
        <v>0</v>
      </c>
      <c r="G6" s="603">
        <v>0</v>
      </c>
    </row>
    <row r="7" spans="1:7" ht="15" customHeight="1" x14ac:dyDescent="0.25">
      <c r="A7" s="2">
        <f>A6+1</f>
        <v>2</v>
      </c>
      <c r="C7" s="269">
        <v>350.2</v>
      </c>
      <c r="D7" s="398" t="s">
        <v>1124</v>
      </c>
      <c r="E7" s="603">
        <v>1.66E-2</v>
      </c>
      <c r="F7" s="603">
        <v>0</v>
      </c>
      <c r="G7" s="603">
        <v>1.66E-2</v>
      </c>
    </row>
    <row r="8" spans="1:7" x14ac:dyDescent="0.2">
      <c r="A8" s="2">
        <f t="shared" ref="A8:A16" si="0">A7+1</f>
        <v>3</v>
      </c>
      <c r="C8" s="269">
        <v>352</v>
      </c>
      <c r="D8" s="16" t="s">
        <v>1125</v>
      </c>
      <c r="E8" s="603">
        <v>1.7999999999999999E-2</v>
      </c>
      <c r="F8" s="603">
        <v>7.7000000000000002E-3</v>
      </c>
      <c r="G8" s="603">
        <v>2.5700000000000001E-2</v>
      </c>
    </row>
    <row r="9" spans="1:7" x14ac:dyDescent="0.2">
      <c r="A9" s="2">
        <f t="shared" si="0"/>
        <v>4</v>
      </c>
      <c r="C9" s="269">
        <v>353</v>
      </c>
      <c r="D9" s="16" t="s">
        <v>1126</v>
      </c>
      <c r="E9" s="603">
        <v>2.1999999999999999E-2</v>
      </c>
      <c r="F9" s="603">
        <v>2.7000000000000001E-3</v>
      </c>
      <c r="G9" s="603">
        <v>2.47E-2</v>
      </c>
    </row>
    <row r="10" spans="1:7" x14ac:dyDescent="0.2">
      <c r="A10" s="2">
        <f t="shared" si="0"/>
        <v>5</v>
      </c>
      <c r="C10" s="269">
        <v>354</v>
      </c>
      <c r="D10" s="16" t="s">
        <v>1342</v>
      </c>
      <c r="E10" s="603">
        <v>1.35E-2</v>
      </c>
      <c r="F10" s="603">
        <v>1.09E-2</v>
      </c>
      <c r="G10" s="603">
        <v>2.4400000000000002E-2</v>
      </c>
    </row>
    <row r="11" spans="1:7" x14ac:dyDescent="0.2">
      <c r="A11" s="2">
        <f t="shared" si="0"/>
        <v>6</v>
      </c>
      <c r="C11" s="269">
        <v>355</v>
      </c>
      <c r="D11" s="16" t="s">
        <v>1127</v>
      </c>
      <c r="E11" s="603">
        <v>0.02</v>
      </c>
      <c r="F11" s="603">
        <v>1.67E-2</v>
      </c>
      <c r="G11" s="603">
        <v>3.6700000000000003E-2</v>
      </c>
    </row>
    <row r="12" spans="1:7" x14ac:dyDescent="0.2">
      <c r="A12" s="2">
        <f t="shared" si="0"/>
        <v>7</v>
      </c>
      <c r="C12" s="269">
        <v>356</v>
      </c>
      <c r="D12" s="16" t="s">
        <v>1128</v>
      </c>
      <c r="E12" s="603">
        <v>0.02</v>
      </c>
      <c r="F12" s="603">
        <v>1.0500000000000001E-2</v>
      </c>
      <c r="G12" s="603">
        <v>3.0499999999999999E-2</v>
      </c>
    </row>
    <row r="13" spans="1:7" x14ac:dyDescent="0.2">
      <c r="A13" s="2">
        <f t="shared" si="0"/>
        <v>8</v>
      </c>
      <c r="C13" s="269">
        <v>357</v>
      </c>
      <c r="D13" s="16" t="s">
        <v>1129</v>
      </c>
      <c r="E13" s="603">
        <v>1.6500000000000001E-2</v>
      </c>
      <c r="F13" s="603">
        <v>0</v>
      </c>
      <c r="G13" s="603">
        <v>1.6500000000000001E-2</v>
      </c>
    </row>
    <row r="14" spans="1:7" x14ac:dyDescent="0.2">
      <c r="A14" s="2">
        <f t="shared" si="0"/>
        <v>9</v>
      </c>
      <c r="C14" s="269">
        <v>358</v>
      </c>
      <c r="D14" s="16" t="s">
        <v>1130</v>
      </c>
      <c r="E14" s="603">
        <v>3.2599999999999997E-2</v>
      </c>
      <c r="F14" s="603">
        <v>6.1000000000000004E-3</v>
      </c>
      <c r="G14" s="603">
        <v>3.8699999999999998E-2</v>
      </c>
    </row>
    <row r="15" spans="1:7" x14ac:dyDescent="0.2">
      <c r="A15" s="2">
        <f t="shared" si="0"/>
        <v>10</v>
      </c>
      <c r="C15" s="269">
        <v>359</v>
      </c>
      <c r="D15" s="16" t="s">
        <v>1131</v>
      </c>
      <c r="E15" s="603">
        <v>1.5599999999999999E-2</v>
      </c>
      <c r="F15" s="603">
        <v>0</v>
      </c>
      <c r="G15" s="603">
        <v>1.5599999999999999E-2</v>
      </c>
    </row>
    <row r="16" spans="1:7" x14ac:dyDescent="0.2">
      <c r="A16" s="2">
        <f t="shared" si="0"/>
        <v>11</v>
      </c>
    </row>
    <row r="17" spans="1:7" ht="15" x14ac:dyDescent="0.25">
      <c r="B17" s="397" t="s">
        <v>354</v>
      </c>
      <c r="E17" s="421" t="s">
        <v>416</v>
      </c>
      <c r="F17" s="421"/>
      <c r="G17" s="421"/>
    </row>
    <row r="18" spans="1:7" ht="15" x14ac:dyDescent="0.25">
      <c r="C18" s="260" t="s">
        <v>13</v>
      </c>
      <c r="E18" s="421" t="s">
        <v>1119</v>
      </c>
      <c r="F18" s="4" t="s">
        <v>1120</v>
      </c>
      <c r="G18" s="4"/>
    </row>
    <row r="19" spans="1:7" ht="15" x14ac:dyDescent="0.25">
      <c r="C19" s="262" t="s">
        <v>112</v>
      </c>
      <c r="D19" s="262" t="s">
        <v>113</v>
      </c>
      <c r="E19" s="1115" t="s">
        <v>1121</v>
      </c>
      <c r="F19" s="1115" t="s">
        <v>1122</v>
      </c>
      <c r="G19" s="1115" t="s">
        <v>217</v>
      </c>
    </row>
    <row r="20" spans="1:7" ht="15" x14ac:dyDescent="0.25">
      <c r="A20" s="2">
        <f>A16+1</f>
        <v>12</v>
      </c>
      <c r="C20">
        <v>360</v>
      </c>
      <c r="D20" s="16" t="s">
        <v>1132</v>
      </c>
      <c r="E20" s="399">
        <v>1.67E-2</v>
      </c>
      <c r="F20" s="399">
        <v>0</v>
      </c>
      <c r="G20" s="399">
        <v>1.67E-2</v>
      </c>
    </row>
    <row r="21" spans="1:7" ht="15" x14ac:dyDescent="0.25">
      <c r="A21" s="2">
        <f>A20+1</f>
        <v>13</v>
      </c>
      <c r="C21">
        <v>361</v>
      </c>
      <c r="D21" s="16" t="s">
        <v>1125</v>
      </c>
      <c r="E21" s="399">
        <v>2.4299999999999999E-2</v>
      </c>
      <c r="F21" s="399">
        <v>7.7000000000000002E-3</v>
      </c>
      <c r="G21" s="399">
        <v>3.2000000000000001E-2</v>
      </c>
    </row>
    <row r="22" spans="1:7" ht="15" x14ac:dyDescent="0.25">
      <c r="A22" s="2">
        <f>A21+1</f>
        <v>14</v>
      </c>
      <c r="C22">
        <v>362</v>
      </c>
      <c r="D22" s="16" t="s">
        <v>1126</v>
      </c>
      <c r="E22" s="399">
        <v>2.29E-2</v>
      </c>
      <c r="F22" s="399">
        <v>8.3999999999999995E-3</v>
      </c>
      <c r="G22" s="399">
        <v>3.1300000000000001E-2</v>
      </c>
    </row>
    <row r="24" spans="1:7" ht="15" x14ac:dyDescent="0.25">
      <c r="B24" s="397" t="s">
        <v>1133</v>
      </c>
      <c r="E24" s="421" t="s">
        <v>416</v>
      </c>
    </row>
    <row r="25" spans="1:7" ht="15" x14ac:dyDescent="0.25">
      <c r="C25" s="260" t="s">
        <v>13</v>
      </c>
      <c r="E25" s="421" t="s">
        <v>1119</v>
      </c>
      <c r="F25" s="4" t="s">
        <v>1120</v>
      </c>
      <c r="G25" s="4"/>
    </row>
    <row r="26" spans="1:7" ht="15" x14ac:dyDescent="0.25">
      <c r="C26" s="262" t="s">
        <v>112</v>
      </c>
      <c r="D26" s="262" t="s">
        <v>113</v>
      </c>
      <c r="E26" s="1115" t="s">
        <v>1121</v>
      </c>
      <c r="F26" s="1115" t="s">
        <v>1122</v>
      </c>
      <c r="G26" s="1115" t="s">
        <v>217</v>
      </c>
    </row>
    <row r="27" spans="1:7" ht="15" x14ac:dyDescent="0.25">
      <c r="A27" s="2">
        <f>A22+1</f>
        <v>15</v>
      </c>
      <c r="C27" s="400">
        <v>389</v>
      </c>
      <c r="D27" s="398" t="s">
        <v>1132</v>
      </c>
      <c r="E27" s="399">
        <v>1.67E-2</v>
      </c>
      <c r="F27" s="399">
        <v>0</v>
      </c>
      <c r="G27" s="399">
        <v>1.67E-2</v>
      </c>
    </row>
    <row r="28" spans="1:7" ht="15" x14ac:dyDescent="0.25">
      <c r="A28" s="2">
        <f t="shared" ref="A28:A51" si="1">A27+1</f>
        <v>16</v>
      </c>
      <c r="C28" s="400">
        <v>390</v>
      </c>
      <c r="D28" s="398" t="s">
        <v>1125</v>
      </c>
      <c r="E28" s="399">
        <v>1.6899999999999998E-2</v>
      </c>
      <c r="F28" s="399">
        <v>1.1000000000000001E-3</v>
      </c>
      <c r="G28" s="399">
        <v>1.7999999999999999E-2</v>
      </c>
    </row>
    <row r="29" spans="1:7" ht="15" x14ac:dyDescent="0.25">
      <c r="A29" s="2">
        <f t="shared" si="1"/>
        <v>17</v>
      </c>
      <c r="C29" s="400">
        <v>391.1</v>
      </c>
      <c r="D29" s="399" t="s">
        <v>1134</v>
      </c>
      <c r="E29" s="1116">
        <f>G29-F29</f>
        <v>0.05</v>
      </c>
      <c r="F29" s="399">
        <v>0</v>
      </c>
      <c r="G29" s="399">
        <v>0.05</v>
      </c>
    </row>
    <row r="30" spans="1:7" ht="15" x14ac:dyDescent="0.25">
      <c r="A30" s="2">
        <f t="shared" si="1"/>
        <v>18</v>
      </c>
      <c r="C30" s="400">
        <v>391.5</v>
      </c>
      <c r="D30" s="399" t="s">
        <v>1840</v>
      </c>
      <c r="E30" s="1116">
        <f t="shared" ref="E30:E51" si="2">G30-F30</f>
        <v>0.2</v>
      </c>
      <c r="F30" s="399">
        <v>0</v>
      </c>
      <c r="G30" s="399">
        <v>0.2</v>
      </c>
    </row>
    <row r="31" spans="1:7" ht="15" x14ac:dyDescent="0.25">
      <c r="A31" s="2">
        <f t="shared" si="1"/>
        <v>19</v>
      </c>
      <c r="C31" s="400">
        <v>391.6</v>
      </c>
      <c r="D31" s="399" t="s">
        <v>1841</v>
      </c>
      <c r="E31" s="1116">
        <f t="shared" si="2"/>
        <v>0.2</v>
      </c>
      <c r="F31" s="399">
        <v>0</v>
      </c>
      <c r="G31" s="399">
        <v>0.2</v>
      </c>
    </row>
    <row r="32" spans="1:7" ht="15" x14ac:dyDescent="0.25">
      <c r="A32" s="2">
        <f t="shared" si="1"/>
        <v>20</v>
      </c>
      <c r="C32" s="400">
        <v>391.2</v>
      </c>
      <c r="D32" s="399" t="s">
        <v>1842</v>
      </c>
      <c r="E32" s="1116">
        <f t="shared" si="2"/>
        <v>0.2</v>
      </c>
      <c r="F32" s="399">
        <v>0</v>
      </c>
      <c r="G32" s="399">
        <v>0.2</v>
      </c>
    </row>
    <row r="33" spans="1:11" ht="15" x14ac:dyDescent="0.25">
      <c r="A33" s="2">
        <f t="shared" si="1"/>
        <v>21</v>
      </c>
      <c r="C33" s="400">
        <v>391.3</v>
      </c>
      <c r="D33" s="399" t="s">
        <v>1843</v>
      </c>
      <c r="E33" s="1116">
        <f t="shared" si="2"/>
        <v>0.2</v>
      </c>
      <c r="F33" s="399">
        <v>0</v>
      </c>
      <c r="G33" s="399">
        <v>0.2</v>
      </c>
    </row>
    <row r="34" spans="1:11" ht="15" x14ac:dyDescent="0.25">
      <c r="A34" s="2">
        <f t="shared" si="1"/>
        <v>22</v>
      </c>
      <c r="C34" s="401">
        <v>391.7</v>
      </c>
      <c r="D34" s="399" t="s">
        <v>1844</v>
      </c>
      <c r="E34" s="1116">
        <f t="shared" si="2"/>
        <v>0.2</v>
      </c>
      <c r="F34" s="399">
        <v>0</v>
      </c>
      <c r="G34" s="399">
        <v>0.2</v>
      </c>
    </row>
    <row r="35" spans="1:11" ht="15" x14ac:dyDescent="0.25">
      <c r="A35" s="641">
        <f t="shared" si="1"/>
        <v>23</v>
      </c>
      <c r="C35" s="401">
        <v>391.4</v>
      </c>
      <c r="D35" s="399" t="s">
        <v>1845</v>
      </c>
      <c r="E35" s="1116">
        <f t="shared" si="2"/>
        <v>0.1429</v>
      </c>
      <c r="F35" s="399">
        <v>0</v>
      </c>
      <c r="G35" s="399">
        <v>0.1429</v>
      </c>
    </row>
    <row r="36" spans="1:11" ht="15" x14ac:dyDescent="0.25">
      <c r="A36" s="641">
        <f t="shared" si="1"/>
        <v>24</v>
      </c>
      <c r="C36" s="400">
        <v>391.4</v>
      </c>
      <c r="D36" s="399" t="s">
        <v>1846</v>
      </c>
      <c r="E36" s="1116">
        <f t="shared" si="2"/>
        <v>0.1</v>
      </c>
      <c r="F36" s="399">
        <v>0</v>
      </c>
      <c r="G36" s="399">
        <v>0.1</v>
      </c>
    </row>
    <row r="37" spans="1:11" ht="15" x14ac:dyDescent="0.25">
      <c r="A37" s="641">
        <f t="shared" si="1"/>
        <v>25</v>
      </c>
      <c r="C37" s="401">
        <v>391.4</v>
      </c>
      <c r="D37" s="399" t="s">
        <v>1847</v>
      </c>
      <c r="E37" s="1116">
        <f t="shared" si="2"/>
        <v>6.6699999999999995E-2</v>
      </c>
      <c r="F37" s="399">
        <v>0</v>
      </c>
      <c r="G37" s="399">
        <v>6.6699999999999995E-2</v>
      </c>
    </row>
    <row r="38" spans="1:11" ht="15" x14ac:dyDescent="0.25">
      <c r="A38" s="641">
        <f t="shared" si="1"/>
        <v>26</v>
      </c>
      <c r="C38" s="401">
        <v>391.4</v>
      </c>
      <c r="D38" s="399" t="s">
        <v>1848</v>
      </c>
      <c r="E38" s="1116">
        <f t="shared" si="2"/>
        <v>0.05</v>
      </c>
      <c r="F38" s="399">
        <v>0</v>
      </c>
      <c r="G38" s="399">
        <v>0.05</v>
      </c>
    </row>
    <row r="39" spans="1:11" ht="15" x14ac:dyDescent="0.25">
      <c r="A39" s="641">
        <f t="shared" si="1"/>
        <v>27</v>
      </c>
      <c r="C39" s="401">
        <v>391.4</v>
      </c>
      <c r="D39" s="399" t="s">
        <v>1849</v>
      </c>
      <c r="E39" s="1116">
        <f t="shared" si="2"/>
        <v>0.04</v>
      </c>
      <c r="F39" s="399">
        <v>0</v>
      </c>
      <c r="G39" s="399">
        <v>0.04</v>
      </c>
      <c r="I39" s="399"/>
      <c r="J39" s="399"/>
      <c r="K39" s="399"/>
    </row>
    <row r="40" spans="1:11" ht="15" x14ac:dyDescent="0.25">
      <c r="A40" s="641">
        <f t="shared" si="1"/>
        <v>28</v>
      </c>
      <c r="C40" s="401">
        <v>393</v>
      </c>
      <c r="D40" t="s">
        <v>1850</v>
      </c>
      <c r="E40" s="1116">
        <f t="shared" si="2"/>
        <v>0.05</v>
      </c>
      <c r="F40" s="399">
        <v>0</v>
      </c>
      <c r="G40" s="399">
        <v>0.05</v>
      </c>
      <c r="I40" s="399"/>
      <c r="J40" s="399"/>
      <c r="K40" s="399"/>
    </row>
    <row r="41" spans="1:11" ht="15" x14ac:dyDescent="0.25">
      <c r="A41" s="641">
        <f t="shared" si="1"/>
        <v>29</v>
      </c>
      <c r="C41" s="401">
        <v>395</v>
      </c>
      <c r="D41" t="s">
        <v>1851</v>
      </c>
      <c r="E41" s="1116">
        <f t="shared" si="2"/>
        <v>6.6699999999999995E-2</v>
      </c>
      <c r="F41" s="399">
        <v>0</v>
      </c>
      <c r="G41" s="399">
        <v>6.6699999999999995E-2</v>
      </c>
      <c r="I41" s="399"/>
      <c r="J41" s="399"/>
      <c r="K41" s="399"/>
    </row>
    <row r="42" spans="1:11" ht="15" x14ac:dyDescent="0.25">
      <c r="A42" s="641">
        <f t="shared" si="1"/>
        <v>30</v>
      </c>
      <c r="C42" s="401">
        <v>398</v>
      </c>
      <c r="D42" t="s">
        <v>1852</v>
      </c>
      <c r="E42" s="1116">
        <f t="shared" si="2"/>
        <v>0.05</v>
      </c>
      <c r="F42" s="399">
        <v>0</v>
      </c>
      <c r="G42" s="399">
        <v>0.05</v>
      </c>
      <c r="I42" s="399"/>
      <c r="J42" s="399"/>
      <c r="K42" s="399"/>
    </row>
    <row r="43" spans="1:11" ht="15" x14ac:dyDescent="0.25">
      <c r="A43" s="641">
        <f t="shared" si="1"/>
        <v>31</v>
      </c>
      <c r="C43" s="401">
        <v>397</v>
      </c>
      <c r="D43" t="s">
        <v>1853</v>
      </c>
      <c r="E43" s="1116">
        <f t="shared" si="2"/>
        <v>0.1429</v>
      </c>
      <c r="F43" s="399">
        <v>0</v>
      </c>
      <c r="G43" s="399">
        <v>0.1429</v>
      </c>
      <c r="I43" s="399"/>
      <c r="J43" s="399"/>
      <c r="K43" s="399"/>
    </row>
    <row r="44" spans="1:11" ht="15" x14ac:dyDescent="0.25">
      <c r="A44" s="641">
        <f t="shared" si="1"/>
        <v>32</v>
      </c>
      <c r="C44" s="401">
        <v>397</v>
      </c>
      <c r="D44" t="s">
        <v>1854</v>
      </c>
      <c r="E44" s="1116">
        <f t="shared" si="2"/>
        <v>0.1</v>
      </c>
      <c r="F44" s="399">
        <v>0</v>
      </c>
      <c r="G44" s="399">
        <v>0.1</v>
      </c>
      <c r="I44" s="399"/>
      <c r="J44" s="399"/>
      <c r="K44" s="399"/>
    </row>
    <row r="45" spans="1:11" ht="15" x14ac:dyDescent="0.25">
      <c r="A45" s="641">
        <f t="shared" si="1"/>
        <v>33</v>
      </c>
      <c r="C45" s="401">
        <v>397</v>
      </c>
      <c r="D45" t="s">
        <v>1855</v>
      </c>
      <c r="E45" s="1116">
        <f t="shared" si="2"/>
        <v>6.6699999999999995E-2</v>
      </c>
      <c r="F45" s="399">
        <v>0</v>
      </c>
      <c r="G45" s="399">
        <v>6.6699999999999995E-2</v>
      </c>
      <c r="I45" s="399"/>
      <c r="J45" s="399"/>
      <c r="K45" s="399"/>
    </row>
    <row r="46" spans="1:11" ht="15" x14ac:dyDescent="0.25">
      <c r="A46" s="641">
        <f t="shared" si="1"/>
        <v>34</v>
      </c>
      <c r="C46" s="401">
        <v>397</v>
      </c>
      <c r="D46" t="s">
        <v>1856</v>
      </c>
      <c r="E46" s="1116">
        <v>6.0600000000000001E-2</v>
      </c>
      <c r="F46" s="399">
        <v>0</v>
      </c>
      <c r="G46" s="399">
        <v>6.0600000000000001E-2</v>
      </c>
    </row>
    <row r="47" spans="1:11" ht="15" x14ac:dyDescent="0.25">
      <c r="A47" s="641">
        <f t="shared" si="1"/>
        <v>35</v>
      </c>
      <c r="C47" s="401">
        <v>397</v>
      </c>
      <c r="D47" t="s">
        <v>1857</v>
      </c>
      <c r="E47" s="1116">
        <v>3.7499999999999999E-2</v>
      </c>
      <c r="F47" s="399">
        <v>0</v>
      </c>
      <c r="G47" s="399">
        <v>3.7499999999999999E-2</v>
      </c>
    </row>
    <row r="48" spans="1:11" ht="15" x14ac:dyDescent="0.25">
      <c r="A48" s="641">
        <f t="shared" si="1"/>
        <v>36</v>
      </c>
      <c r="C48" s="401">
        <v>392</v>
      </c>
      <c r="D48" t="s">
        <v>1858</v>
      </c>
      <c r="E48" s="1116">
        <f t="shared" si="2"/>
        <v>0.1429</v>
      </c>
      <c r="F48" s="399">
        <v>0</v>
      </c>
      <c r="G48" s="399">
        <v>0.1429</v>
      </c>
    </row>
    <row r="49" spans="1:7" ht="15" x14ac:dyDescent="0.25">
      <c r="A49" s="641">
        <f t="shared" si="1"/>
        <v>37</v>
      </c>
      <c r="C49" s="401">
        <v>394.4</v>
      </c>
      <c r="D49" t="s">
        <v>1859</v>
      </c>
      <c r="E49" s="1116">
        <f t="shared" si="2"/>
        <v>0.1</v>
      </c>
      <c r="F49" s="399">
        <v>0</v>
      </c>
      <c r="G49" s="399">
        <v>0.1</v>
      </c>
    </row>
    <row r="50" spans="1:7" ht="15" x14ac:dyDescent="0.25">
      <c r="A50" s="641">
        <f t="shared" si="1"/>
        <v>38</v>
      </c>
      <c r="C50" s="401">
        <v>394.5</v>
      </c>
      <c r="D50" t="s">
        <v>1860</v>
      </c>
      <c r="E50" s="1116">
        <f t="shared" si="2"/>
        <v>0.1</v>
      </c>
      <c r="F50" s="399">
        <v>0</v>
      </c>
      <c r="G50" s="399">
        <v>0.1</v>
      </c>
    </row>
    <row r="51" spans="1:7" ht="15" x14ac:dyDescent="0.25">
      <c r="A51" s="641">
        <f t="shared" si="1"/>
        <v>39</v>
      </c>
      <c r="C51" s="401">
        <v>396</v>
      </c>
      <c r="D51" t="s">
        <v>1861</v>
      </c>
      <c r="E51" s="1116">
        <f t="shared" si="2"/>
        <v>6.6699999999999995E-2</v>
      </c>
      <c r="F51" s="399">
        <v>0</v>
      </c>
      <c r="G51" s="399">
        <v>6.6699999999999995E-2</v>
      </c>
    </row>
    <row r="53" spans="1:7" ht="15" x14ac:dyDescent="0.25">
      <c r="B53" s="397" t="s">
        <v>1135</v>
      </c>
      <c r="E53" s="421" t="s">
        <v>416</v>
      </c>
    </row>
    <row r="54" spans="1:7" ht="15" x14ac:dyDescent="0.25">
      <c r="C54" s="260" t="s">
        <v>13</v>
      </c>
      <c r="E54" s="421" t="s">
        <v>1119</v>
      </c>
      <c r="F54" s="4" t="s">
        <v>1120</v>
      </c>
      <c r="G54" s="4"/>
    </row>
    <row r="55" spans="1:7" ht="15" x14ac:dyDescent="0.25">
      <c r="C55" s="262" t="s">
        <v>112</v>
      </c>
      <c r="D55" s="262" t="s">
        <v>113</v>
      </c>
      <c r="E55" s="1115" t="s">
        <v>1121</v>
      </c>
      <c r="F55" s="1115" t="s">
        <v>1122</v>
      </c>
      <c r="G55" s="1115" t="s">
        <v>217</v>
      </c>
    </row>
    <row r="56" spans="1:7" ht="15" x14ac:dyDescent="0.25">
      <c r="A56" s="2">
        <f>A51+1</f>
        <v>40</v>
      </c>
      <c r="C56" s="401">
        <v>302</v>
      </c>
      <c r="D56" s="398" t="s">
        <v>1136</v>
      </c>
      <c r="E56" s="399">
        <v>2.64E-2</v>
      </c>
      <c r="F56" s="399">
        <v>0</v>
      </c>
      <c r="G56" s="399">
        <v>2.64E-2</v>
      </c>
    </row>
    <row r="57" spans="1:7" ht="15" x14ac:dyDescent="0.25">
      <c r="A57" s="2">
        <f t="shared" ref="A57:A62" si="3">A56+1</f>
        <v>41</v>
      </c>
      <c r="C57" s="401">
        <v>303</v>
      </c>
      <c r="D57" s="398" t="s">
        <v>1137</v>
      </c>
      <c r="E57" s="399">
        <v>2.5000000000000001E-2</v>
      </c>
      <c r="F57" s="399">
        <v>0</v>
      </c>
      <c r="G57" s="399">
        <v>2.5000000000000001E-2</v>
      </c>
    </row>
    <row r="58" spans="1:7" ht="15" x14ac:dyDescent="0.25">
      <c r="A58" s="2">
        <f t="shared" si="3"/>
        <v>42</v>
      </c>
      <c r="C58" s="401">
        <v>301</v>
      </c>
      <c r="D58" s="398" t="s">
        <v>1138</v>
      </c>
      <c r="E58" s="399">
        <v>0.05</v>
      </c>
      <c r="F58" s="399">
        <v>0</v>
      </c>
      <c r="G58" s="399">
        <v>0.05</v>
      </c>
    </row>
    <row r="59" spans="1:7" ht="15" x14ac:dyDescent="0.25">
      <c r="A59" s="2">
        <f t="shared" si="3"/>
        <v>43</v>
      </c>
      <c r="C59" s="401">
        <v>303</v>
      </c>
      <c r="D59" s="398" t="s">
        <v>1139</v>
      </c>
      <c r="E59" s="399">
        <v>0.21410000000000001</v>
      </c>
      <c r="F59" s="399">
        <v>0</v>
      </c>
      <c r="G59" s="399">
        <v>0.21410000000000001</v>
      </c>
    </row>
    <row r="60" spans="1:7" ht="15" x14ac:dyDescent="0.25">
      <c r="A60" s="2">
        <f t="shared" si="3"/>
        <v>44</v>
      </c>
      <c r="C60" s="401">
        <v>303</v>
      </c>
      <c r="D60" s="398" t="s">
        <v>1140</v>
      </c>
      <c r="E60" s="399">
        <v>0.14710000000000001</v>
      </c>
      <c r="F60" s="399">
        <v>0</v>
      </c>
      <c r="G60" s="399">
        <v>0.14710000000000001</v>
      </c>
    </row>
    <row r="61" spans="1:7" ht="15" x14ac:dyDescent="0.25">
      <c r="A61" s="2">
        <f t="shared" si="3"/>
        <v>45</v>
      </c>
      <c r="C61" s="401">
        <v>303</v>
      </c>
      <c r="D61" s="398" t="s">
        <v>1141</v>
      </c>
      <c r="E61" s="399">
        <v>0.1</v>
      </c>
      <c r="F61" s="399">
        <v>0</v>
      </c>
      <c r="G61" s="399">
        <v>0.1</v>
      </c>
    </row>
    <row r="62" spans="1:7" ht="15" x14ac:dyDescent="0.25">
      <c r="A62" s="2">
        <f t="shared" si="3"/>
        <v>46</v>
      </c>
      <c r="C62" s="401">
        <v>303</v>
      </c>
      <c r="D62" s="398" t="s">
        <v>1142</v>
      </c>
      <c r="E62" s="399">
        <v>6.6699999999999995E-2</v>
      </c>
      <c r="F62" s="399">
        <v>0</v>
      </c>
      <c r="G62" s="399">
        <v>6.6699999999999995E-2</v>
      </c>
    </row>
    <row r="63" spans="1:7" x14ac:dyDescent="0.2">
      <c r="B63" s="550" t="s">
        <v>2038</v>
      </c>
      <c r="C63" s="14"/>
      <c r="D63" s="14"/>
      <c r="E63" s="550"/>
      <c r="F63" s="550"/>
    </row>
    <row r="64" spans="1:7" x14ac:dyDescent="0.2">
      <c r="B64" s="550" t="s">
        <v>2037</v>
      </c>
      <c r="C64" s="14"/>
      <c r="D64" s="14"/>
      <c r="E64" s="550"/>
      <c r="F64" s="550"/>
    </row>
  </sheetData>
  <pageMargins left="0.7" right="0.7" top="0.75" bottom="0.75" header="0.3" footer="0.3"/>
  <pageSetup scale="75" orientation="portrait" cellComments="asDisplayed" r:id="rId1"/>
  <headerFooter>
    <oddHeader>&amp;CSchedule 18
Depreciation Rates
&amp;RTO8 Annual Update (Revised)
Attachment  1</oddHeader>
    <oddFooter>&amp;R18-DepRates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view="pageLayout" topLeftCell="C1" zoomScaleNormal="90" workbookViewId="0">
      <selection activeCell="G25" sqref="G25"/>
    </sheetView>
  </sheetViews>
  <sheetFormatPr defaultColWidth="9.140625" defaultRowHeight="12.75" x14ac:dyDescent="0.2"/>
  <cols>
    <col min="1" max="1" width="5.7109375" style="561" customWidth="1"/>
    <col min="2" max="2" width="50.7109375" style="561" customWidth="1"/>
    <col min="3" max="5" width="14.7109375" style="559" customWidth="1"/>
    <col min="6" max="6" width="12.7109375" style="1103" customWidth="1"/>
    <col min="7" max="7" width="16.7109375" style="1061" customWidth="1"/>
    <col min="8" max="9" width="14.7109375" style="1062" customWidth="1"/>
    <col min="10" max="12" width="14.7109375" style="561" customWidth="1"/>
    <col min="13" max="13" width="9.140625" style="548"/>
    <col min="14" max="14" width="12.140625" style="548" bestFit="1" customWidth="1"/>
    <col min="15" max="15" width="11.7109375" style="548" bestFit="1" customWidth="1"/>
    <col min="16" max="16384" width="9.140625" style="548"/>
  </cols>
  <sheetData>
    <row r="1" spans="1:12" ht="12.75" customHeight="1" x14ac:dyDescent="0.3">
      <c r="A1" s="469" t="s">
        <v>1434</v>
      </c>
      <c r="C1" s="470"/>
      <c r="D1" s="471"/>
      <c r="E1" s="471"/>
      <c r="F1" s="472"/>
      <c r="G1" s="473"/>
      <c r="H1" s="473"/>
      <c r="I1" s="473"/>
      <c r="J1" s="473"/>
      <c r="K1" s="548"/>
      <c r="L1" s="548"/>
    </row>
    <row r="2" spans="1:12" ht="12.75" customHeight="1" x14ac:dyDescent="0.3">
      <c r="A2" s="474"/>
      <c r="C2" s="470"/>
      <c r="D2" s="471"/>
      <c r="E2" s="471"/>
      <c r="F2" s="475"/>
      <c r="G2" s="831" t="s">
        <v>334</v>
      </c>
      <c r="H2" s="558"/>
      <c r="I2" s="471"/>
      <c r="J2" s="473"/>
      <c r="K2" s="473"/>
      <c r="L2" s="473"/>
    </row>
    <row r="3" spans="1:12" ht="12.75" customHeight="1" x14ac:dyDescent="0.2">
      <c r="A3" s="476"/>
      <c r="B3" s="477" t="s">
        <v>1435</v>
      </c>
      <c r="C3" s="479"/>
      <c r="D3" s="479"/>
      <c r="E3" s="479"/>
      <c r="F3" s="480"/>
      <c r="G3" s="478"/>
      <c r="H3" s="478"/>
      <c r="I3" s="478"/>
      <c r="J3" s="478"/>
      <c r="K3" s="478"/>
      <c r="L3" s="481"/>
    </row>
    <row r="4" spans="1:12" ht="12.75" customHeight="1" x14ac:dyDescent="0.3">
      <c r="A4" s="482"/>
      <c r="B4" s="474"/>
      <c r="C4" s="483"/>
      <c r="D4" s="483"/>
      <c r="E4" s="483"/>
      <c r="F4" s="484"/>
      <c r="G4" s="26"/>
      <c r="H4" s="26"/>
      <c r="I4" s="26"/>
      <c r="J4" s="26"/>
      <c r="K4" s="26"/>
      <c r="L4" s="473"/>
    </row>
    <row r="5" spans="1:12" ht="12.75" customHeight="1" x14ac:dyDescent="0.2">
      <c r="A5" s="478"/>
      <c r="B5" s="485" t="s">
        <v>396</v>
      </c>
      <c r="C5" s="485" t="s">
        <v>380</v>
      </c>
      <c r="D5" s="485" t="s">
        <v>381</v>
      </c>
      <c r="E5" s="485" t="s">
        <v>382</v>
      </c>
      <c r="F5" s="486" t="s">
        <v>383</v>
      </c>
      <c r="G5" s="485" t="s">
        <v>384</v>
      </c>
      <c r="H5" s="485" t="s">
        <v>385</v>
      </c>
      <c r="I5" s="485" t="s">
        <v>599</v>
      </c>
      <c r="J5" s="485" t="s">
        <v>1048</v>
      </c>
      <c r="K5" s="485" t="s">
        <v>1064</v>
      </c>
      <c r="L5" s="485" t="s">
        <v>1067</v>
      </c>
    </row>
    <row r="6" spans="1:12" ht="12.75" customHeight="1" x14ac:dyDescent="0.2">
      <c r="A6" s="482"/>
      <c r="B6" s="474"/>
      <c r="C6" s="660" t="s">
        <v>1436</v>
      </c>
      <c r="D6" s="483"/>
      <c r="E6" s="483"/>
      <c r="F6" s="1057" t="s">
        <v>398</v>
      </c>
      <c r="G6" s="660" t="s">
        <v>1437</v>
      </c>
      <c r="H6" s="487"/>
      <c r="I6" s="487"/>
      <c r="J6" s="660" t="s">
        <v>1438</v>
      </c>
      <c r="K6" s="660" t="s">
        <v>1439</v>
      </c>
      <c r="L6" s="661" t="s">
        <v>1440</v>
      </c>
    </row>
    <row r="7" spans="1:12" ht="12.75" customHeight="1" x14ac:dyDescent="0.2">
      <c r="C7" s="1058"/>
      <c r="D7" s="1059"/>
      <c r="E7" s="1059"/>
      <c r="F7" s="1060"/>
      <c r="J7" s="1063"/>
    </row>
    <row r="8" spans="1:12" x14ac:dyDescent="0.2">
      <c r="A8" s="488"/>
      <c r="B8" s="1416" t="s">
        <v>1441</v>
      </c>
      <c r="C8" s="1418" t="s">
        <v>1442</v>
      </c>
      <c r="D8" s="1418"/>
      <c r="E8" s="1418"/>
      <c r="F8" s="489"/>
      <c r="G8" s="1419" t="s">
        <v>1443</v>
      </c>
      <c r="H8" s="1419"/>
      <c r="I8" s="1420"/>
      <c r="J8" s="1422" t="s">
        <v>1444</v>
      </c>
      <c r="K8" s="1419"/>
      <c r="L8" s="1420"/>
    </row>
    <row r="9" spans="1:12" x14ac:dyDescent="0.2">
      <c r="A9" s="52"/>
      <c r="B9" s="1417"/>
      <c r="C9" s="1056" t="s">
        <v>217</v>
      </c>
      <c r="D9" s="1056" t="s">
        <v>1445</v>
      </c>
      <c r="E9" s="490" t="s">
        <v>1446</v>
      </c>
      <c r="F9" s="491" t="s">
        <v>1378</v>
      </c>
      <c r="G9" s="490" t="s">
        <v>217</v>
      </c>
      <c r="H9" s="490" t="s">
        <v>1445</v>
      </c>
      <c r="I9" s="490" t="s">
        <v>1446</v>
      </c>
      <c r="J9" s="1056" t="s">
        <v>217</v>
      </c>
      <c r="K9" s="490" t="s">
        <v>1445</v>
      </c>
      <c r="L9" s="490" t="s">
        <v>1446</v>
      </c>
    </row>
    <row r="10" spans="1:12" x14ac:dyDescent="0.2">
      <c r="A10" s="52" t="s">
        <v>362</v>
      </c>
      <c r="B10" s="492" t="s">
        <v>1447</v>
      </c>
      <c r="C10" s="276"/>
      <c r="D10" s="276"/>
      <c r="E10" s="493"/>
      <c r="F10" s="494"/>
      <c r="G10" s="493"/>
      <c r="H10" s="493"/>
      <c r="I10" s="493"/>
      <c r="J10" s="276"/>
      <c r="K10" s="493"/>
      <c r="L10" s="493"/>
    </row>
    <row r="11" spans="1:12" x14ac:dyDescent="0.2">
      <c r="A11" s="679">
        <v>1</v>
      </c>
      <c r="B11" s="568" t="s">
        <v>1448</v>
      </c>
      <c r="C11" s="1064">
        <f>SUM(D11:E11)</f>
        <v>11891955.749999996</v>
      </c>
      <c r="D11" s="562">
        <v>6169237.2999999942</v>
      </c>
      <c r="E11" s="562">
        <v>5722718.450000003</v>
      </c>
      <c r="F11" s="1065" t="s">
        <v>2960</v>
      </c>
      <c r="G11" s="1066">
        <f t="shared" ref="G11:G61" si="0">SUM(H11:I11)</f>
        <v>-744778.31</v>
      </c>
      <c r="H11" s="562"/>
      <c r="I11" s="562">
        <f>-250-744528.31</f>
        <v>-744778.31</v>
      </c>
      <c r="J11" s="708">
        <f>SUM(K11:L11)</f>
        <v>11147177.439999998</v>
      </c>
      <c r="K11" s="708">
        <f>D11+H11</f>
        <v>6169237.2999999942</v>
      </c>
      <c r="L11" s="708">
        <f>E11+I11</f>
        <v>4977940.1400000025</v>
      </c>
    </row>
    <row r="12" spans="1:12" x14ac:dyDescent="0.2">
      <c r="A12" s="679">
        <f>A11+1</f>
        <v>2</v>
      </c>
      <c r="B12" s="568" t="s">
        <v>1449</v>
      </c>
      <c r="C12" s="1064">
        <f t="shared" ref="C12:C59" si="1">SUM(D12:E12)</f>
        <v>131182.46</v>
      </c>
      <c r="D12" s="562">
        <v>0</v>
      </c>
      <c r="E12" s="562">
        <v>131182.46</v>
      </c>
      <c r="F12" s="1065"/>
      <c r="G12" s="1066">
        <f t="shared" si="0"/>
        <v>0</v>
      </c>
      <c r="H12" s="562"/>
      <c r="I12" s="562"/>
      <c r="J12" s="708">
        <f t="shared" ref="J12:J61" si="2">SUM(K12:L12)</f>
        <v>131182.46</v>
      </c>
      <c r="K12" s="708">
        <f t="shared" ref="K12:L27" si="3">D12+H12</f>
        <v>0</v>
      </c>
      <c r="L12" s="708">
        <f t="shared" si="3"/>
        <v>131182.46</v>
      </c>
    </row>
    <row r="13" spans="1:12" x14ac:dyDescent="0.2">
      <c r="A13" s="679">
        <f t="shared" ref="A13:A63" si="4">A12+1</f>
        <v>3</v>
      </c>
      <c r="B13" s="705" t="s">
        <v>1450</v>
      </c>
      <c r="C13" s="1064">
        <f t="shared" si="1"/>
        <v>0</v>
      </c>
      <c r="D13" s="562">
        <v>0</v>
      </c>
      <c r="E13" s="562">
        <v>0</v>
      </c>
      <c r="F13" s="1065"/>
      <c r="G13" s="1066">
        <f t="shared" si="0"/>
        <v>0</v>
      </c>
      <c r="H13" s="562"/>
      <c r="I13" s="562"/>
      <c r="J13" s="708">
        <f t="shared" si="2"/>
        <v>0</v>
      </c>
      <c r="K13" s="708">
        <f t="shared" si="3"/>
        <v>0</v>
      </c>
      <c r="L13" s="708">
        <f t="shared" si="3"/>
        <v>0</v>
      </c>
    </row>
    <row r="14" spans="1:12" x14ac:dyDescent="0.2">
      <c r="A14" s="679">
        <f t="shared" si="4"/>
        <v>4</v>
      </c>
      <c r="B14" s="705" t="s">
        <v>1451</v>
      </c>
      <c r="C14" s="1064">
        <f t="shared" si="1"/>
        <v>609477.08000000019</v>
      </c>
      <c r="D14" s="562">
        <v>437554.28000000014</v>
      </c>
      <c r="E14" s="562">
        <v>171922.80000000005</v>
      </c>
      <c r="F14" s="1065" t="s">
        <v>623</v>
      </c>
      <c r="G14" s="1066">
        <f t="shared" si="0"/>
        <v>-90000</v>
      </c>
      <c r="H14" s="562">
        <v>-90000</v>
      </c>
      <c r="I14" s="562"/>
      <c r="J14" s="708">
        <f t="shared" si="2"/>
        <v>519477.08000000019</v>
      </c>
      <c r="K14" s="708">
        <f t="shared" si="3"/>
        <v>347554.28000000014</v>
      </c>
      <c r="L14" s="708">
        <f t="shared" si="3"/>
        <v>171922.80000000005</v>
      </c>
    </row>
    <row r="15" spans="1:12" x14ac:dyDescent="0.2">
      <c r="A15" s="679">
        <f t="shared" si="4"/>
        <v>5</v>
      </c>
      <c r="B15" s="705" t="s">
        <v>1452</v>
      </c>
      <c r="C15" s="1064">
        <f t="shared" si="1"/>
        <v>5471075.9399999985</v>
      </c>
      <c r="D15" s="562">
        <v>4481285.6799999978</v>
      </c>
      <c r="E15" s="562">
        <v>989790.26000000094</v>
      </c>
      <c r="F15" s="1065" t="s">
        <v>623</v>
      </c>
      <c r="G15" s="1066">
        <f t="shared" si="0"/>
        <v>-305</v>
      </c>
      <c r="H15" s="562"/>
      <c r="I15" s="562">
        <v>-305</v>
      </c>
      <c r="J15" s="708">
        <f t="shared" si="2"/>
        <v>5470770.9399999985</v>
      </c>
      <c r="K15" s="708">
        <f t="shared" si="3"/>
        <v>4481285.6799999978</v>
      </c>
      <c r="L15" s="708">
        <f t="shared" si="3"/>
        <v>989485.26000000094</v>
      </c>
    </row>
    <row r="16" spans="1:12" x14ac:dyDescent="0.2">
      <c r="A16" s="679">
        <f t="shared" si="4"/>
        <v>6</v>
      </c>
      <c r="B16" s="705" t="s">
        <v>1453</v>
      </c>
      <c r="C16" s="1064">
        <f t="shared" si="1"/>
        <v>36735242.899999999</v>
      </c>
      <c r="D16" s="562">
        <v>0</v>
      </c>
      <c r="E16" s="562">
        <v>36735242.899999999</v>
      </c>
      <c r="F16" s="1067" t="s">
        <v>617</v>
      </c>
      <c r="G16" s="1066">
        <f t="shared" si="0"/>
        <v>-36735242.899999999</v>
      </c>
      <c r="H16" s="562">
        <v>0</v>
      </c>
      <c r="I16" s="562">
        <v>-36735242.899999999</v>
      </c>
      <c r="J16" s="708">
        <f t="shared" si="2"/>
        <v>0</v>
      </c>
      <c r="K16" s="708">
        <f t="shared" si="3"/>
        <v>0</v>
      </c>
      <c r="L16" s="708">
        <f t="shared" si="3"/>
        <v>0</v>
      </c>
    </row>
    <row r="17" spans="1:12" x14ac:dyDescent="0.2">
      <c r="A17" s="679">
        <f t="shared" si="4"/>
        <v>7</v>
      </c>
      <c r="B17" s="705" t="s">
        <v>1454</v>
      </c>
      <c r="C17" s="1064">
        <f t="shared" si="1"/>
        <v>4595002.49</v>
      </c>
      <c r="D17" s="562">
        <v>4003257.1999999997</v>
      </c>
      <c r="E17" s="562">
        <v>591745.29</v>
      </c>
      <c r="F17" s="1065" t="s">
        <v>623</v>
      </c>
      <c r="G17" s="1066">
        <f t="shared" si="0"/>
        <v>-63</v>
      </c>
      <c r="H17" s="562"/>
      <c r="I17" s="562">
        <v>-63</v>
      </c>
      <c r="J17" s="708">
        <f t="shared" si="2"/>
        <v>4594939.49</v>
      </c>
      <c r="K17" s="708">
        <f t="shared" si="3"/>
        <v>4003257.1999999997</v>
      </c>
      <c r="L17" s="708">
        <f t="shared" si="3"/>
        <v>591682.29</v>
      </c>
    </row>
    <row r="18" spans="1:12" x14ac:dyDescent="0.2">
      <c r="A18" s="679">
        <f t="shared" si="4"/>
        <v>8</v>
      </c>
      <c r="B18" s="705" t="s">
        <v>1455</v>
      </c>
      <c r="C18" s="1064">
        <f t="shared" si="1"/>
        <v>115314.05</v>
      </c>
      <c r="D18" s="562">
        <v>0</v>
      </c>
      <c r="E18" s="562">
        <v>115314.05</v>
      </c>
      <c r="F18" s="1065" t="s">
        <v>618</v>
      </c>
      <c r="G18" s="1066">
        <f t="shared" si="0"/>
        <v>-115314.05</v>
      </c>
      <c r="H18" s="562">
        <v>0</v>
      </c>
      <c r="I18" s="562">
        <v>-115314.05</v>
      </c>
      <c r="J18" s="708">
        <f t="shared" si="2"/>
        <v>0</v>
      </c>
      <c r="K18" s="708">
        <f t="shared" si="3"/>
        <v>0</v>
      </c>
      <c r="L18" s="708">
        <f t="shared" si="3"/>
        <v>0</v>
      </c>
    </row>
    <row r="19" spans="1:12" ht="13.5" thickBot="1" x14ac:dyDescent="0.25">
      <c r="A19" s="679">
        <f t="shared" si="4"/>
        <v>9</v>
      </c>
      <c r="B19" s="705" t="s">
        <v>1456</v>
      </c>
      <c r="C19" s="1064">
        <f t="shared" si="1"/>
        <v>16881989.03000002</v>
      </c>
      <c r="D19" s="562">
        <v>11531073.530000024</v>
      </c>
      <c r="E19" s="562">
        <v>5350915.4999999963</v>
      </c>
      <c r="F19" s="1065"/>
      <c r="G19" s="1066">
        <f t="shared" si="0"/>
        <v>0</v>
      </c>
      <c r="H19" s="562"/>
      <c r="I19" s="562"/>
      <c r="J19" s="708">
        <f t="shared" si="2"/>
        <v>16881989.03000002</v>
      </c>
      <c r="K19" s="708">
        <f t="shared" si="3"/>
        <v>11531073.530000024</v>
      </c>
      <c r="L19" s="708">
        <f t="shared" si="3"/>
        <v>5350915.4999999963</v>
      </c>
    </row>
    <row r="20" spans="1:12" ht="13.5" thickBot="1" x14ac:dyDescent="0.25">
      <c r="A20" s="679">
        <f t="shared" si="4"/>
        <v>10</v>
      </c>
      <c r="B20" s="705" t="s">
        <v>1457</v>
      </c>
      <c r="C20" s="1064">
        <f t="shared" si="1"/>
        <v>3771471.1900000041</v>
      </c>
      <c r="D20" s="562">
        <v>2359352.7500000023</v>
      </c>
      <c r="E20" s="562">
        <v>1412118.4400000018</v>
      </c>
      <c r="F20" s="1266" t="s">
        <v>626</v>
      </c>
      <c r="G20" s="1305">
        <f t="shared" si="0"/>
        <v>3501043</v>
      </c>
      <c r="H20" s="562"/>
      <c r="I20" s="1265">
        <v>3501043</v>
      </c>
      <c r="J20" s="1310">
        <f t="shared" si="2"/>
        <v>7272514.1900000032</v>
      </c>
      <c r="K20" s="708">
        <f t="shared" si="3"/>
        <v>2359352.7500000023</v>
      </c>
      <c r="L20" s="1310">
        <f t="shared" si="3"/>
        <v>4913161.4400000013</v>
      </c>
    </row>
    <row r="21" spans="1:12" x14ac:dyDescent="0.2">
      <c r="A21" s="679">
        <f t="shared" si="4"/>
        <v>11</v>
      </c>
      <c r="B21" s="705" t="s">
        <v>1458</v>
      </c>
      <c r="C21" s="1064">
        <f t="shared" si="1"/>
        <v>1269360.8199999998</v>
      </c>
      <c r="D21" s="562">
        <v>0</v>
      </c>
      <c r="E21" s="562">
        <v>1269360.8199999998</v>
      </c>
      <c r="F21" s="1065"/>
      <c r="G21" s="1066">
        <f t="shared" si="0"/>
        <v>0</v>
      </c>
      <c r="H21" s="562"/>
      <c r="I21" s="562"/>
      <c r="J21" s="708">
        <f t="shared" si="2"/>
        <v>1269360.8199999998</v>
      </c>
      <c r="K21" s="708">
        <f t="shared" si="3"/>
        <v>0</v>
      </c>
      <c r="L21" s="708">
        <f t="shared" si="3"/>
        <v>1269360.8199999998</v>
      </c>
    </row>
    <row r="22" spans="1:12" x14ac:dyDescent="0.2">
      <c r="A22" s="679">
        <f t="shared" si="4"/>
        <v>12</v>
      </c>
      <c r="B22" s="705" t="s">
        <v>1459</v>
      </c>
      <c r="C22" s="1064">
        <f t="shared" si="1"/>
        <v>4850100.919999999</v>
      </c>
      <c r="D22" s="562">
        <v>3025175.7699999991</v>
      </c>
      <c r="E22" s="562">
        <v>1824925.1499999997</v>
      </c>
      <c r="F22" s="1065"/>
      <c r="G22" s="1068">
        <f t="shared" si="0"/>
        <v>0</v>
      </c>
      <c r="H22" s="562"/>
      <c r="I22" s="562"/>
      <c r="J22" s="708">
        <f t="shared" si="2"/>
        <v>4850100.919999999</v>
      </c>
      <c r="K22" s="708">
        <f t="shared" si="3"/>
        <v>3025175.7699999991</v>
      </c>
      <c r="L22" s="708">
        <f t="shared" si="3"/>
        <v>1824925.1499999997</v>
      </c>
    </row>
    <row r="23" spans="1:12" x14ac:dyDescent="0.2">
      <c r="A23" s="679">
        <f t="shared" si="4"/>
        <v>13</v>
      </c>
      <c r="B23" s="705" t="s">
        <v>1460</v>
      </c>
      <c r="C23" s="1064">
        <f t="shared" si="1"/>
        <v>1293879.8700000001</v>
      </c>
      <c r="D23" s="562">
        <v>974808.04000000027</v>
      </c>
      <c r="E23" s="562">
        <v>319071.8299999999</v>
      </c>
      <c r="F23" s="1065"/>
      <c r="G23" s="1066">
        <f t="shared" si="0"/>
        <v>0</v>
      </c>
      <c r="H23" s="562"/>
      <c r="I23" s="562"/>
      <c r="J23" s="708">
        <f t="shared" si="2"/>
        <v>1293879.8700000001</v>
      </c>
      <c r="K23" s="708">
        <f t="shared" si="3"/>
        <v>974808.04000000027</v>
      </c>
      <c r="L23" s="708">
        <f t="shared" si="3"/>
        <v>319071.8299999999</v>
      </c>
    </row>
    <row r="24" spans="1:12" x14ac:dyDescent="0.2">
      <c r="A24" s="679">
        <f t="shared" si="4"/>
        <v>14</v>
      </c>
      <c r="B24" s="705" t="s">
        <v>1461</v>
      </c>
      <c r="C24" s="1064">
        <f t="shared" si="1"/>
        <v>19297507.09</v>
      </c>
      <c r="D24" s="562"/>
      <c r="E24" s="562">
        <v>19297507.09</v>
      </c>
      <c r="F24" s="1065" t="s">
        <v>619</v>
      </c>
      <c r="G24" s="1066">
        <f>SUM(H24:I24)</f>
        <v>-19297507.09</v>
      </c>
      <c r="H24" s="562">
        <v>0</v>
      </c>
      <c r="I24" s="562">
        <v>-19297507.09</v>
      </c>
      <c r="J24" s="708">
        <f>SUM(K24:L24)</f>
        <v>0</v>
      </c>
      <c r="K24" s="708">
        <f t="shared" si="3"/>
        <v>0</v>
      </c>
      <c r="L24" s="708">
        <f t="shared" si="3"/>
        <v>0</v>
      </c>
    </row>
    <row r="25" spans="1:12" x14ac:dyDescent="0.2">
      <c r="A25" s="679">
        <f t="shared" si="4"/>
        <v>15</v>
      </c>
      <c r="B25" s="705" t="s">
        <v>1462</v>
      </c>
      <c r="C25" s="1064">
        <f t="shared" si="1"/>
        <v>213116.22</v>
      </c>
      <c r="D25" s="562">
        <v>0</v>
      </c>
      <c r="E25" s="562">
        <v>213116.22</v>
      </c>
      <c r="F25" s="1069"/>
      <c r="G25" s="1066">
        <f t="shared" si="0"/>
        <v>0</v>
      </c>
      <c r="H25" s="892"/>
      <c r="I25" s="892"/>
      <c r="J25" s="708">
        <f t="shared" si="2"/>
        <v>213116.22</v>
      </c>
      <c r="K25" s="708">
        <f t="shared" si="3"/>
        <v>0</v>
      </c>
      <c r="L25" s="708">
        <f t="shared" si="3"/>
        <v>213116.22</v>
      </c>
    </row>
    <row r="26" spans="1:12" x14ac:dyDescent="0.2">
      <c r="A26" s="679">
        <f t="shared" si="4"/>
        <v>16</v>
      </c>
      <c r="B26" s="705" t="s">
        <v>1463</v>
      </c>
      <c r="C26" s="1064">
        <f t="shared" si="1"/>
        <v>7174782.3600000003</v>
      </c>
      <c r="D26" s="562">
        <v>0</v>
      </c>
      <c r="E26" s="562">
        <v>7174782.3600000003</v>
      </c>
      <c r="F26" s="1065"/>
      <c r="G26" s="1066">
        <f t="shared" si="0"/>
        <v>0</v>
      </c>
      <c r="H26" s="562"/>
      <c r="I26" s="562"/>
      <c r="J26" s="708">
        <f t="shared" si="2"/>
        <v>7174782.3600000003</v>
      </c>
      <c r="K26" s="708">
        <f t="shared" si="3"/>
        <v>0</v>
      </c>
      <c r="L26" s="708">
        <f t="shared" si="3"/>
        <v>7174782.3600000003</v>
      </c>
    </row>
    <row r="27" spans="1:12" x14ac:dyDescent="0.2">
      <c r="A27" s="679">
        <f t="shared" si="4"/>
        <v>17</v>
      </c>
      <c r="B27" s="705" t="s">
        <v>1464</v>
      </c>
      <c r="C27" s="1064">
        <f t="shared" si="1"/>
        <v>34234537.149999999</v>
      </c>
      <c r="D27" s="562">
        <v>782457.35000000172</v>
      </c>
      <c r="E27" s="562">
        <v>33452079.799999997</v>
      </c>
      <c r="F27" s="1065" t="s">
        <v>620</v>
      </c>
      <c r="G27" s="1068">
        <f t="shared" si="0"/>
        <v>-34234537.149999999</v>
      </c>
      <c r="H27" s="562">
        <v>-782457.35000000172</v>
      </c>
      <c r="I27" s="562">
        <v>-33452079.799999997</v>
      </c>
      <c r="J27" s="708">
        <f t="shared" si="2"/>
        <v>0</v>
      </c>
      <c r="K27" s="708">
        <f t="shared" si="3"/>
        <v>0</v>
      </c>
      <c r="L27" s="708">
        <f t="shared" si="3"/>
        <v>0</v>
      </c>
    </row>
    <row r="28" spans="1:12" x14ac:dyDescent="0.2">
      <c r="A28" s="117">
        <f t="shared" si="4"/>
        <v>18</v>
      </c>
      <c r="B28" s="705" t="s">
        <v>2124</v>
      </c>
      <c r="C28" s="1064">
        <f t="shared" si="1"/>
        <v>7127151.0700000012</v>
      </c>
      <c r="D28" s="562">
        <v>5250031.1100000013</v>
      </c>
      <c r="E28" s="562">
        <v>1877119.9599999997</v>
      </c>
      <c r="F28" s="1117"/>
      <c r="G28" s="1066">
        <f t="shared" si="0"/>
        <v>0</v>
      </c>
      <c r="H28" s="562"/>
      <c r="I28" s="562"/>
      <c r="J28" s="1083">
        <f t="shared" si="2"/>
        <v>7127151.0700000012</v>
      </c>
      <c r="K28" s="1083">
        <f t="shared" ref="K28:L59" si="5">D28+H28</f>
        <v>5250031.1100000013</v>
      </c>
      <c r="L28" s="1083">
        <f t="shared" si="5"/>
        <v>1877119.9599999997</v>
      </c>
    </row>
    <row r="29" spans="1:12" x14ac:dyDescent="0.2">
      <c r="A29" s="117">
        <f t="shared" si="4"/>
        <v>19</v>
      </c>
      <c r="B29" s="705" t="s">
        <v>2125</v>
      </c>
      <c r="C29" s="1064">
        <f t="shared" si="1"/>
        <v>25818516.280000001</v>
      </c>
      <c r="D29" s="562">
        <v>7658712.4399999995</v>
      </c>
      <c r="E29" s="562">
        <v>18159803.84</v>
      </c>
      <c r="F29" s="1065" t="s">
        <v>2695</v>
      </c>
      <c r="G29" s="1068">
        <f t="shared" si="0"/>
        <v>-279138.73</v>
      </c>
      <c r="H29" s="562">
        <f>-218900-166.839999999995</f>
        <v>-219066.84</v>
      </c>
      <c r="I29" s="562">
        <f>-21730-38341.89</f>
        <v>-60071.89</v>
      </c>
      <c r="J29" s="1083">
        <f>SUM(K29:L29)</f>
        <v>25539377.549999997</v>
      </c>
      <c r="K29" s="1083">
        <f t="shared" ref="K29" si="6">D29+H29</f>
        <v>7439645.5999999996</v>
      </c>
      <c r="L29" s="1083">
        <f t="shared" ref="L29" si="7">E29+I29</f>
        <v>18099731.949999999</v>
      </c>
    </row>
    <row r="30" spans="1:12" x14ac:dyDescent="0.2">
      <c r="A30" s="117">
        <f t="shared" si="4"/>
        <v>20</v>
      </c>
      <c r="B30" s="705" t="s">
        <v>1465</v>
      </c>
      <c r="C30" s="1064">
        <f t="shared" si="1"/>
        <v>1285320.6399999999</v>
      </c>
      <c r="D30" s="562">
        <v>929087.54999999993</v>
      </c>
      <c r="E30" s="562">
        <v>356233.08999999991</v>
      </c>
      <c r="F30" s="1065"/>
      <c r="G30" s="1066">
        <f t="shared" si="0"/>
        <v>0</v>
      </c>
      <c r="H30" s="562"/>
      <c r="I30" s="562"/>
      <c r="J30" s="708">
        <f t="shared" si="2"/>
        <v>1285320.6399999999</v>
      </c>
      <c r="K30" s="708">
        <f t="shared" si="5"/>
        <v>929087.54999999993</v>
      </c>
      <c r="L30" s="708">
        <f t="shared" si="5"/>
        <v>356233.08999999991</v>
      </c>
    </row>
    <row r="31" spans="1:12" x14ac:dyDescent="0.2">
      <c r="A31" s="117">
        <f t="shared" si="4"/>
        <v>21</v>
      </c>
      <c r="B31" s="705" t="s">
        <v>1466</v>
      </c>
      <c r="C31" s="1064">
        <f t="shared" si="1"/>
        <v>1053464.77</v>
      </c>
      <c r="D31" s="562">
        <v>1003596.1200000001</v>
      </c>
      <c r="E31" s="562">
        <v>49868.649999999994</v>
      </c>
      <c r="F31" s="1065"/>
      <c r="G31" s="1066">
        <f t="shared" si="0"/>
        <v>0</v>
      </c>
      <c r="H31" s="562"/>
      <c r="I31" s="562"/>
      <c r="J31" s="708">
        <f t="shared" si="2"/>
        <v>1053464.77</v>
      </c>
      <c r="K31" s="708">
        <f t="shared" si="5"/>
        <v>1003596.1200000001</v>
      </c>
      <c r="L31" s="708">
        <f t="shared" si="5"/>
        <v>49868.649999999994</v>
      </c>
    </row>
    <row r="32" spans="1:12" x14ac:dyDescent="0.2">
      <c r="A32" s="117">
        <f t="shared" si="4"/>
        <v>22</v>
      </c>
      <c r="B32" s="705" t="s">
        <v>1467</v>
      </c>
      <c r="C32" s="1064">
        <f t="shared" si="1"/>
        <v>5354105.8000000007</v>
      </c>
      <c r="D32" s="562">
        <v>3372171.8300000015</v>
      </c>
      <c r="E32" s="562">
        <v>1981933.9699999997</v>
      </c>
      <c r="F32" s="1065" t="s">
        <v>623</v>
      </c>
      <c r="G32" s="1066">
        <f t="shared" si="0"/>
        <v>-2000</v>
      </c>
      <c r="H32" s="562">
        <v>-2000</v>
      </c>
      <c r="I32" s="562"/>
      <c r="J32" s="708">
        <f t="shared" si="2"/>
        <v>5352105.8000000007</v>
      </c>
      <c r="K32" s="708">
        <f t="shared" si="5"/>
        <v>3370171.8300000015</v>
      </c>
      <c r="L32" s="708">
        <f t="shared" si="5"/>
        <v>1981933.9699999997</v>
      </c>
    </row>
    <row r="33" spans="1:14" x14ac:dyDescent="0.2">
      <c r="A33" s="117">
        <f t="shared" si="4"/>
        <v>23</v>
      </c>
      <c r="B33" s="705" t="s">
        <v>1468</v>
      </c>
      <c r="C33" s="1064">
        <f t="shared" si="1"/>
        <v>1879678.5100000005</v>
      </c>
      <c r="D33" s="562">
        <v>1713252.7900000005</v>
      </c>
      <c r="E33" s="562">
        <v>166425.71999999997</v>
      </c>
      <c r="F33" s="1065"/>
      <c r="G33" s="1066">
        <f t="shared" si="0"/>
        <v>0</v>
      </c>
      <c r="H33" s="562"/>
      <c r="I33" s="562"/>
      <c r="J33" s="708">
        <f t="shared" si="2"/>
        <v>1879678.5100000005</v>
      </c>
      <c r="K33" s="708">
        <f t="shared" si="5"/>
        <v>1713252.7900000005</v>
      </c>
      <c r="L33" s="708">
        <f t="shared" si="5"/>
        <v>166425.71999999997</v>
      </c>
    </row>
    <row r="34" spans="1:14" x14ac:dyDescent="0.2">
      <c r="A34" s="117">
        <f t="shared" si="4"/>
        <v>24</v>
      </c>
      <c r="B34" s="705" t="s">
        <v>1469</v>
      </c>
      <c r="C34" s="1064">
        <f t="shared" si="1"/>
        <v>-280150.78000000003</v>
      </c>
      <c r="D34" s="562">
        <v>0</v>
      </c>
      <c r="E34" s="562">
        <v>-280150.78000000003</v>
      </c>
      <c r="F34" s="1065"/>
      <c r="G34" s="1066">
        <f t="shared" si="0"/>
        <v>0</v>
      </c>
      <c r="H34" s="562"/>
      <c r="I34" s="562"/>
      <c r="J34" s="708">
        <f t="shared" si="2"/>
        <v>-280150.78000000003</v>
      </c>
      <c r="K34" s="708">
        <f t="shared" si="5"/>
        <v>0</v>
      </c>
      <c r="L34" s="708">
        <f t="shared" si="5"/>
        <v>-280150.78000000003</v>
      </c>
    </row>
    <row r="35" spans="1:14" x14ac:dyDescent="0.2">
      <c r="A35" s="117">
        <f t="shared" si="4"/>
        <v>25</v>
      </c>
      <c r="B35" s="705" t="s">
        <v>1470</v>
      </c>
      <c r="C35" s="1064">
        <f t="shared" si="1"/>
        <v>7966718.4199999999</v>
      </c>
      <c r="D35" s="562">
        <v>-536.06000000003723</v>
      </c>
      <c r="E35" s="562">
        <v>7967254.4799999995</v>
      </c>
      <c r="F35" s="1065"/>
      <c r="G35" s="1066">
        <f t="shared" si="0"/>
        <v>0</v>
      </c>
      <c r="H35" s="562"/>
      <c r="I35" s="562"/>
      <c r="J35" s="708">
        <f t="shared" si="2"/>
        <v>7966718.4199999999</v>
      </c>
      <c r="K35" s="708">
        <f t="shared" si="5"/>
        <v>-536.06000000003723</v>
      </c>
      <c r="L35" s="708">
        <f t="shared" si="5"/>
        <v>7967254.4799999995</v>
      </c>
    </row>
    <row r="36" spans="1:14" x14ac:dyDescent="0.2">
      <c r="A36" s="117">
        <f t="shared" si="4"/>
        <v>26</v>
      </c>
      <c r="B36" s="705" t="s">
        <v>1471</v>
      </c>
      <c r="C36" s="1064">
        <f t="shared" si="1"/>
        <v>1500000</v>
      </c>
      <c r="D36" s="562">
        <v>0</v>
      </c>
      <c r="E36" s="562">
        <v>1500000</v>
      </c>
      <c r="F36" s="1065"/>
      <c r="G36" s="1066">
        <f t="shared" si="0"/>
        <v>0</v>
      </c>
      <c r="H36" s="562"/>
      <c r="I36" s="562"/>
      <c r="J36" s="708">
        <f t="shared" si="2"/>
        <v>1500000</v>
      </c>
      <c r="K36" s="708">
        <f t="shared" si="5"/>
        <v>0</v>
      </c>
      <c r="L36" s="708">
        <f t="shared" si="5"/>
        <v>1500000</v>
      </c>
    </row>
    <row r="37" spans="1:14" x14ac:dyDescent="0.2">
      <c r="A37" s="117">
        <f t="shared" si="4"/>
        <v>27</v>
      </c>
      <c r="B37" s="705" t="s">
        <v>1472</v>
      </c>
      <c r="C37" s="1064">
        <f t="shared" si="1"/>
        <v>24054.209999999981</v>
      </c>
      <c r="D37" s="562">
        <v>0</v>
      </c>
      <c r="E37" s="562">
        <v>24054.209999999981</v>
      </c>
      <c r="F37" s="1065"/>
      <c r="G37" s="1066">
        <f t="shared" si="0"/>
        <v>0</v>
      </c>
      <c r="H37" s="562"/>
      <c r="I37" s="562"/>
      <c r="J37" s="708">
        <f t="shared" si="2"/>
        <v>24054.209999999981</v>
      </c>
      <c r="K37" s="708">
        <f t="shared" si="5"/>
        <v>0</v>
      </c>
      <c r="L37" s="708">
        <f t="shared" si="5"/>
        <v>24054.209999999981</v>
      </c>
    </row>
    <row r="38" spans="1:14" x14ac:dyDescent="0.2">
      <c r="A38" s="117">
        <f t="shared" si="4"/>
        <v>28</v>
      </c>
      <c r="B38" s="705" t="s">
        <v>1473</v>
      </c>
      <c r="C38" s="1064">
        <f t="shared" si="1"/>
        <v>314395.44000000006</v>
      </c>
      <c r="D38" s="562">
        <v>0</v>
      </c>
      <c r="E38" s="562">
        <v>314395.44000000006</v>
      </c>
      <c r="F38" s="1065"/>
      <c r="G38" s="1066">
        <f t="shared" si="0"/>
        <v>0</v>
      </c>
      <c r="H38" s="562"/>
      <c r="I38" s="562"/>
      <c r="J38" s="708">
        <f t="shared" si="2"/>
        <v>314395.44000000006</v>
      </c>
      <c r="K38" s="708">
        <f t="shared" si="5"/>
        <v>0</v>
      </c>
      <c r="L38" s="708">
        <f t="shared" si="5"/>
        <v>314395.44000000006</v>
      </c>
    </row>
    <row r="39" spans="1:14" x14ac:dyDescent="0.2">
      <c r="A39" s="117">
        <f t="shared" si="4"/>
        <v>29</v>
      </c>
      <c r="B39" s="705" t="s">
        <v>1474</v>
      </c>
      <c r="C39" s="1064">
        <f t="shared" si="1"/>
        <v>2282907.6800000011</v>
      </c>
      <c r="D39" s="562">
        <v>1817597.1500000011</v>
      </c>
      <c r="E39" s="562">
        <v>465310.53000000014</v>
      </c>
      <c r="F39" s="1065"/>
      <c r="G39" s="1066">
        <f t="shared" si="0"/>
        <v>0</v>
      </c>
      <c r="H39" s="562"/>
      <c r="I39" s="562"/>
      <c r="J39" s="708">
        <f t="shared" si="2"/>
        <v>2282907.6800000011</v>
      </c>
      <c r="K39" s="708">
        <f t="shared" si="5"/>
        <v>1817597.1500000011</v>
      </c>
      <c r="L39" s="708">
        <f t="shared" si="5"/>
        <v>465310.53000000014</v>
      </c>
    </row>
    <row r="40" spans="1:14" x14ac:dyDescent="0.2">
      <c r="A40" s="117">
        <f t="shared" si="4"/>
        <v>30</v>
      </c>
      <c r="B40" s="705" t="s">
        <v>1475</v>
      </c>
      <c r="C40" s="1064">
        <f t="shared" si="1"/>
        <v>106702.95</v>
      </c>
      <c r="D40" s="562">
        <v>0</v>
      </c>
      <c r="E40" s="562">
        <v>106702.95</v>
      </c>
      <c r="F40" s="1065"/>
      <c r="G40" s="1066">
        <f t="shared" si="0"/>
        <v>0</v>
      </c>
      <c r="H40" s="562"/>
      <c r="I40" s="562"/>
      <c r="J40" s="708">
        <f t="shared" si="2"/>
        <v>106702.95</v>
      </c>
      <c r="K40" s="708">
        <f t="shared" si="5"/>
        <v>0</v>
      </c>
      <c r="L40" s="708">
        <f t="shared" si="5"/>
        <v>106702.95</v>
      </c>
    </row>
    <row r="41" spans="1:14" x14ac:dyDescent="0.2">
      <c r="A41" s="117">
        <f t="shared" si="4"/>
        <v>31</v>
      </c>
      <c r="B41" s="705" t="s">
        <v>1476</v>
      </c>
      <c r="C41" s="1064">
        <f t="shared" si="1"/>
        <v>34474.859999999993</v>
      </c>
      <c r="D41" s="562">
        <v>353.85999999999763</v>
      </c>
      <c r="E41" s="562">
        <v>34120.999999999993</v>
      </c>
      <c r="F41" s="1065"/>
      <c r="G41" s="1066">
        <f t="shared" si="0"/>
        <v>0</v>
      </c>
      <c r="H41" s="562"/>
      <c r="I41" s="562"/>
      <c r="J41" s="708">
        <f t="shared" si="2"/>
        <v>34474.859999999993</v>
      </c>
      <c r="K41" s="708">
        <f t="shared" si="5"/>
        <v>353.85999999999763</v>
      </c>
      <c r="L41" s="708">
        <f t="shared" si="5"/>
        <v>34120.999999999993</v>
      </c>
    </row>
    <row r="42" spans="1:14" x14ac:dyDescent="0.2">
      <c r="A42" s="117">
        <f t="shared" si="4"/>
        <v>32</v>
      </c>
      <c r="B42" s="705" t="s">
        <v>2944</v>
      </c>
      <c r="C42" s="1064">
        <f t="shared" si="1"/>
        <v>6112402.1400000006</v>
      </c>
      <c r="D42" s="562"/>
      <c r="E42" s="562">
        <v>6112402.1400000006</v>
      </c>
      <c r="F42" s="1065" t="s">
        <v>622</v>
      </c>
      <c r="G42" s="1066">
        <f t="shared" si="0"/>
        <v>-5697714</v>
      </c>
      <c r="H42" s="562"/>
      <c r="I42" s="562">
        <v>-5697714</v>
      </c>
      <c r="J42" s="708">
        <f t="shared" si="2"/>
        <v>414688.1400000006</v>
      </c>
      <c r="K42" s="708">
        <f t="shared" si="5"/>
        <v>0</v>
      </c>
      <c r="L42" s="708">
        <f t="shared" si="5"/>
        <v>414688.1400000006</v>
      </c>
      <c r="N42" s="555"/>
    </row>
    <row r="43" spans="1:14" x14ac:dyDescent="0.2">
      <c r="A43" s="117">
        <f t="shared" si="4"/>
        <v>33</v>
      </c>
      <c r="B43" s="705" t="s">
        <v>2945</v>
      </c>
      <c r="C43" s="1064">
        <f t="shared" si="1"/>
        <v>8851685.1600000001</v>
      </c>
      <c r="D43" s="562"/>
      <c r="E43" s="562">
        <v>8851685.1600000001</v>
      </c>
      <c r="F43" s="1065" t="s">
        <v>622</v>
      </c>
      <c r="G43" s="1066">
        <f t="shared" si="0"/>
        <v>-8851685.1600000001</v>
      </c>
      <c r="H43" s="562"/>
      <c r="I43" s="562">
        <v>-8851685.1600000001</v>
      </c>
      <c r="J43" s="708">
        <f t="shared" si="2"/>
        <v>0</v>
      </c>
      <c r="K43" s="708">
        <f t="shared" si="5"/>
        <v>0</v>
      </c>
      <c r="L43" s="708">
        <f t="shared" si="5"/>
        <v>0</v>
      </c>
      <c r="N43" s="555"/>
    </row>
    <row r="44" spans="1:14" x14ac:dyDescent="0.2">
      <c r="A44" s="117">
        <f t="shared" si="4"/>
        <v>34</v>
      </c>
      <c r="B44" s="705" t="s">
        <v>2946</v>
      </c>
      <c r="C44" s="1064">
        <f t="shared" si="1"/>
        <v>3619242.0199999996</v>
      </c>
      <c r="D44" s="562"/>
      <c r="E44" s="562">
        <v>3619242.0199999996</v>
      </c>
      <c r="F44" s="1065" t="s">
        <v>622</v>
      </c>
      <c r="G44" s="1066">
        <f t="shared" si="0"/>
        <v>-3117308</v>
      </c>
      <c r="H44" s="562"/>
      <c r="I44" s="562">
        <v>-3117308</v>
      </c>
      <c r="J44" s="708">
        <f t="shared" si="2"/>
        <v>501934.01999999955</v>
      </c>
      <c r="K44" s="708">
        <f t="shared" si="5"/>
        <v>0</v>
      </c>
      <c r="L44" s="708">
        <f t="shared" si="5"/>
        <v>501934.01999999955</v>
      </c>
      <c r="N44" s="555"/>
    </row>
    <row r="45" spans="1:14" x14ac:dyDescent="0.2">
      <c r="A45" s="117">
        <f t="shared" si="4"/>
        <v>35</v>
      </c>
      <c r="B45" s="705" t="s">
        <v>1477</v>
      </c>
      <c r="C45" s="1064">
        <f t="shared" si="1"/>
        <v>110077.86</v>
      </c>
      <c r="D45" s="562">
        <v>0</v>
      </c>
      <c r="E45" s="562">
        <v>110077.86</v>
      </c>
      <c r="F45" s="1065"/>
      <c r="G45" s="1066">
        <f t="shared" si="0"/>
        <v>0</v>
      </c>
      <c r="H45" s="562"/>
      <c r="I45" s="562"/>
      <c r="J45" s="708">
        <f t="shared" si="2"/>
        <v>110077.86</v>
      </c>
      <c r="K45" s="708">
        <f t="shared" si="5"/>
        <v>0</v>
      </c>
      <c r="L45" s="708">
        <f t="shared" si="5"/>
        <v>110077.86</v>
      </c>
    </row>
    <row r="46" spans="1:14" x14ac:dyDescent="0.2">
      <c r="A46" s="117">
        <f t="shared" si="4"/>
        <v>36</v>
      </c>
      <c r="B46" s="705" t="s">
        <v>1478</v>
      </c>
      <c r="C46" s="1064">
        <f t="shared" si="1"/>
        <v>919185.19000000053</v>
      </c>
      <c r="D46" s="562">
        <v>499563.45000000024</v>
      </c>
      <c r="E46" s="562">
        <v>419621.74000000028</v>
      </c>
      <c r="F46" s="1065"/>
      <c r="G46" s="1066">
        <f t="shared" si="0"/>
        <v>0</v>
      </c>
      <c r="H46" s="562"/>
      <c r="I46" s="562"/>
      <c r="J46" s="708">
        <f t="shared" si="2"/>
        <v>919185.19000000053</v>
      </c>
      <c r="K46" s="708">
        <f t="shared" si="5"/>
        <v>499563.45000000024</v>
      </c>
      <c r="L46" s="708">
        <f t="shared" si="5"/>
        <v>419621.74000000028</v>
      </c>
    </row>
    <row r="47" spans="1:14" x14ac:dyDescent="0.2">
      <c r="A47" s="117">
        <f t="shared" si="4"/>
        <v>37</v>
      </c>
      <c r="B47" s="705" t="s">
        <v>1479</v>
      </c>
      <c r="C47" s="1064">
        <f t="shared" si="1"/>
        <v>1743473.7100000009</v>
      </c>
      <c r="D47" s="562">
        <v>1352737.8100000008</v>
      </c>
      <c r="E47" s="562">
        <v>390735.9</v>
      </c>
      <c r="F47" s="1065"/>
      <c r="G47" s="1066">
        <f t="shared" si="0"/>
        <v>0</v>
      </c>
      <c r="H47" s="562"/>
      <c r="I47" s="562"/>
      <c r="J47" s="708">
        <f t="shared" si="2"/>
        <v>1743473.7100000009</v>
      </c>
      <c r="K47" s="708">
        <f t="shared" si="5"/>
        <v>1352737.8100000008</v>
      </c>
      <c r="L47" s="708">
        <f t="shared" si="5"/>
        <v>390735.9</v>
      </c>
    </row>
    <row r="48" spans="1:14" x14ac:dyDescent="0.2">
      <c r="A48" s="117">
        <f t="shared" si="4"/>
        <v>38</v>
      </c>
      <c r="B48" s="705" t="s">
        <v>1480</v>
      </c>
      <c r="C48" s="1064">
        <f t="shared" si="1"/>
        <v>184880.10000000003</v>
      </c>
      <c r="D48" s="562">
        <v>457757.66999999987</v>
      </c>
      <c r="E48" s="562">
        <v>-272877.56999999983</v>
      </c>
      <c r="F48" s="1065"/>
      <c r="G48" s="1066">
        <f t="shared" si="0"/>
        <v>0</v>
      </c>
      <c r="H48" s="562"/>
      <c r="I48" s="562"/>
      <c r="J48" s="708">
        <f t="shared" si="2"/>
        <v>184880.10000000003</v>
      </c>
      <c r="K48" s="708">
        <f t="shared" si="5"/>
        <v>457757.66999999987</v>
      </c>
      <c r="L48" s="708">
        <f t="shared" si="5"/>
        <v>-272877.56999999983</v>
      </c>
    </row>
    <row r="49" spans="1:12" x14ac:dyDescent="0.2">
      <c r="A49" s="117">
        <f t="shared" si="4"/>
        <v>39</v>
      </c>
      <c r="B49" s="705" t="s">
        <v>1481</v>
      </c>
      <c r="C49" s="1064">
        <f t="shared" si="1"/>
        <v>2400625.339999998</v>
      </c>
      <c r="D49" s="562">
        <v>1307754.7399999974</v>
      </c>
      <c r="E49" s="562">
        <v>1092870.6000000008</v>
      </c>
      <c r="F49" s="1065"/>
      <c r="G49" s="1066">
        <f t="shared" si="0"/>
        <v>0</v>
      </c>
      <c r="H49" s="562"/>
      <c r="I49" s="562"/>
      <c r="J49" s="708">
        <f t="shared" si="2"/>
        <v>2400625.339999998</v>
      </c>
      <c r="K49" s="708">
        <f t="shared" si="5"/>
        <v>1307754.7399999974</v>
      </c>
      <c r="L49" s="708">
        <f t="shared" si="5"/>
        <v>1092870.6000000008</v>
      </c>
    </row>
    <row r="50" spans="1:12" x14ac:dyDescent="0.2">
      <c r="A50" s="117">
        <f t="shared" si="4"/>
        <v>40</v>
      </c>
      <c r="B50" s="550" t="s">
        <v>1884</v>
      </c>
      <c r="C50" s="1064">
        <f t="shared" si="1"/>
        <v>4422892.6099999985</v>
      </c>
      <c r="D50" s="562">
        <v>759766.47000000009</v>
      </c>
      <c r="E50" s="562">
        <v>3663126.1399999987</v>
      </c>
      <c r="F50" s="1065"/>
      <c r="G50" s="1066">
        <f t="shared" si="0"/>
        <v>0</v>
      </c>
      <c r="H50" s="562"/>
      <c r="I50" s="562"/>
      <c r="J50" s="708">
        <f t="shared" si="2"/>
        <v>4422892.6099999985</v>
      </c>
      <c r="K50" s="708">
        <f t="shared" si="5"/>
        <v>759766.47000000009</v>
      </c>
      <c r="L50" s="708">
        <f t="shared" si="5"/>
        <v>3663126.1399999987</v>
      </c>
    </row>
    <row r="51" spans="1:12" x14ac:dyDescent="0.2">
      <c r="A51" s="117">
        <f t="shared" si="4"/>
        <v>41</v>
      </c>
      <c r="B51" s="705" t="s">
        <v>1482</v>
      </c>
      <c r="C51" s="1064">
        <f t="shared" si="1"/>
        <v>788022.09</v>
      </c>
      <c r="D51" s="562">
        <v>0.88999999999998602</v>
      </c>
      <c r="E51" s="562">
        <v>788021.2</v>
      </c>
      <c r="F51" s="1065"/>
      <c r="G51" s="1066">
        <f t="shared" si="0"/>
        <v>0</v>
      </c>
      <c r="H51" s="562"/>
      <c r="I51" s="562"/>
      <c r="J51" s="708">
        <f t="shared" si="2"/>
        <v>788022.09</v>
      </c>
      <c r="K51" s="708">
        <f t="shared" si="5"/>
        <v>0.88999999999998602</v>
      </c>
      <c r="L51" s="708">
        <f t="shared" si="5"/>
        <v>788021.2</v>
      </c>
    </row>
    <row r="52" spans="1:12" x14ac:dyDescent="0.2">
      <c r="A52" s="117">
        <f t="shared" si="4"/>
        <v>42</v>
      </c>
      <c r="B52" s="705" t="s">
        <v>1483</v>
      </c>
      <c r="C52" s="1064">
        <f t="shared" si="1"/>
        <v>2584988.5199999972</v>
      </c>
      <c r="D52" s="562">
        <v>1812440.7099999972</v>
      </c>
      <c r="E52" s="562">
        <v>772547.80999999994</v>
      </c>
      <c r="F52" s="1065"/>
      <c r="G52" s="1066">
        <f t="shared" si="0"/>
        <v>0</v>
      </c>
      <c r="H52" s="562"/>
      <c r="I52" s="562"/>
      <c r="J52" s="708">
        <f t="shared" si="2"/>
        <v>2584988.5199999972</v>
      </c>
      <c r="K52" s="708">
        <f t="shared" si="5"/>
        <v>1812440.7099999972</v>
      </c>
      <c r="L52" s="708">
        <f t="shared" si="5"/>
        <v>772547.80999999994</v>
      </c>
    </row>
    <row r="53" spans="1:12" x14ac:dyDescent="0.2">
      <c r="A53" s="117">
        <f t="shared" si="4"/>
        <v>43</v>
      </c>
      <c r="B53" s="705" t="s">
        <v>1484</v>
      </c>
      <c r="C53" s="1064">
        <f t="shared" si="1"/>
        <v>7442521.8499999987</v>
      </c>
      <c r="D53" s="562">
        <v>3522714.0199999972</v>
      </c>
      <c r="E53" s="562">
        <v>3919807.8300000015</v>
      </c>
      <c r="F53" s="1065"/>
      <c r="G53" s="1066">
        <f t="shared" si="0"/>
        <v>0</v>
      </c>
      <c r="H53" s="562"/>
      <c r="I53" s="562"/>
      <c r="J53" s="708">
        <f t="shared" si="2"/>
        <v>7442521.8499999987</v>
      </c>
      <c r="K53" s="708">
        <f t="shared" si="5"/>
        <v>3522714.0199999972</v>
      </c>
      <c r="L53" s="708">
        <f t="shared" si="5"/>
        <v>3919807.8300000015</v>
      </c>
    </row>
    <row r="54" spans="1:12" x14ac:dyDescent="0.2">
      <c r="A54" s="117">
        <f t="shared" si="4"/>
        <v>44</v>
      </c>
      <c r="B54" s="705" t="s">
        <v>1485</v>
      </c>
      <c r="C54" s="1064">
        <f t="shared" si="1"/>
        <v>12468841.099999962</v>
      </c>
      <c r="D54" s="562">
        <v>1207068.9399999978</v>
      </c>
      <c r="E54" s="562">
        <v>11261772.159999965</v>
      </c>
      <c r="F54" s="1065"/>
      <c r="G54" s="1068">
        <f t="shared" si="0"/>
        <v>0</v>
      </c>
      <c r="H54" s="562"/>
      <c r="I54" s="562"/>
      <c r="J54" s="708">
        <f t="shared" si="2"/>
        <v>12468841.099999962</v>
      </c>
      <c r="K54" s="708">
        <f t="shared" si="5"/>
        <v>1207068.9399999978</v>
      </c>
      <c r="L54" s="708">
        <f t="shared" si="5"/>
        <v>11261772.159999965</v>
      </c>
    </row>
    <row r="55" spans="1:12" x14ac:dyDescent="0.2">
      <c r="A55" s="117">
        <f t="shared" si="4"/>
        <v>45</v>
      </c>
      <c r="B55" s="705" t="s">
        <v>1683</v>
      </c>
      <c r="C55" s="1064">
        <f t="shared" si="1"/>
        <v>6496602.0800000019</v>
      </c>
      <c r="D55" s="562">
        <v>1071427.3799999994</v>
      </c>
      <c r="E55" s="562">
        <v>5425174.700000002</v>
      </c>
      <c r="F55" s="1065"/>
      <c r="G55" s="1068">
        <f t="shared" si="0"/>
        <v>0</v>
      </c>
      <c r="H55" s="562"/>
      <c r="I55" s="562"/>
      <c r="J55" s="708">
        <f t="shared" ref="J55" si="8">SUM(K55:L55)</f>
        <v>6496602.0800000019</v>
      </c>
      <c r="K55" s="708">
        <f t="shared" ref="K55" si="9">D55+H55</f>
        <v>1071427.3799999994</v>
      </c>
      <c r="L55" s="708">
        <f t="shared" ref="L55" si="10">E55+I55</f>
        <v>5425174.700000002</v>
      </c>
    </row>
    <row r="56" spans="1:12" x14ac:dyDescent="0.2">
      <c r="A56" s="117">
        <f t="shared" si="4"/>
        <v>46</v>
      </c>
      <c r="B56" s="705" t="s">
        <v>1486</v>
      </c>
      <c r="C56" s="1064">
        <f t="shared" si="1"/>
        <v>474217.91000000003</v>
      </c>
      <c r="D56" s="562">
        <v>0</v>
      </c>
      <c r="E56" s="562">
        <v>474217.91000000003</v>
      </c>
      <c r="F56" s="1065"/>
      <c r="G56" s="1066">
        <f t="shared" si="0"/>
        <v>0</v>
      </c>
      <c r="H56" s="562"/>
      <c r="I56" s="562"/>
      <c r="J56" s="708">
        <f t="shared" si="2"/>
        <v>474217.91000000003</v>
      </c>
      <c r="K56" s="708">
        <f t="shared" si="5"/>
        <v>0</v>
      </c>
      <c r="L56" s="708">
        <f t="shared" si="5"/>
        <v>474217.91000000003</v>
      </c>
    </row>
    <row r="57" spans="1:12" x14ac:dyDescent="0.2">
      <c r="A57" s="117">
        <f t="shared" si="4"/>
        <v>47</v>
      </c>
      <c r="B57" s="705" t="s">
        <v>1487</v>
      </c>
      <c r="C57" s="1064">
        <f t="shared" si="1"/>
        <v>342167.80999999994</v>
      </c>
      <c r="D57" s="562">
        <v>110697.83000000002</v>
      </c>
      <c r="E57" s="562">
        <v>231469.97999999992</v>
      </c>
      <c r="F57" s="1065"/>
      <c r="G57" s="1066">
        <f t="shared" si="0"/>
        <v>0</v>
      </c>
      <c r="H57" s="562"/>
      <c r="I57" s="562"/>
      <c r="J57" s="708">
        <f t="shared" si="2"/>
        <v>342167.80999999994</v>
      </c>
      <c r="K57" s="708">
        <f t="shared" si="5"/>
        <v>110697.83000000002</v>
      </c>
      <c r="L57" s="708">
        <f t="shared" si="5"/>
        <v>231469.97999999992</v>
      </c>
    </row>
    <row r="58" spans="1:12" x14ac:dyDescent="0.2">
      <c r="A58" s="117">
        <f t="shared" si="4"/>
        <v>48</v>
      </c>
      <c r="B58" s="705" t="s">
        <v>1488</v>
      </c>
      <c r="C58" s="1064">
        <f t="shared" si="1"/>
        <v>17493.63</v>
      </c>
      <c r="D58" s="562">
        <v>0</v>
      </c>
      <c r="E58" s="562">
        <v>17493.63</v>
      </c>
      <c r="F58" s="1065"/>
      <c r="G58" s="1066">
        <f t="shared" si="0"/>
        <v>0</v>
      </c>
      <c r="H58" s="562"/>
      <c r="I58" s="562"/>
      <c r="J58" s="708">
        <f t="shared" si="2"/>
        <v>17493.63</v>
      </c>
      <c r="K58" s="708">
        <f t="shared" si="5"/>
        <v>0</v>
      </c>
      <c r="L58" s="708">
        <f t="shared" si="5"/>
        <v>17493.63</v>
      </c>
    </row>
    <row r="59" spans="1:12" ht="15" x14ac:dyDescent="0.35">
      <c r="A59" s="117">
        <f t="shared" si="4"/>
        <v>49</v>
      </c>
      <c r="B59" s="705" t="s">
        <v>1489</v>
      </c>
      <c r="C59" s="1064">
        <f t="shared" si="1"/>
        <v>3148853.0800000005</v>
      </c>
      <c r="D59" s="562">
        <v>473032.69000000041</v>
      </c>
      <c r="E59" s="562">
        <v>2675820.39</v>
      </c>
      <c r="F59" s="495"/>
      <c r="G59" s="1066">
        <f t="shared" si="0"/>
        <v>0</v>
      </c>
      <c r="H59" s="512"/>
      <c r="I59" s="512"/>
      <c r="J59" s="708">
        <f t="shared" si="2"/>
        <v>3148853.0800000005</v>
      </c>
      <c r="K59" s="708">
        <f t="shared" si="5"/>
        <v>473032.69000000041</v>
      </c>
      <c r="L59" s="708">
        <f t="shared" si="5"/>
        <v>2675820.39</v>
      </c>
    </row>
    <row r="60" spans="1:12" ht="15" x14ac:dyDescent="0.35">
      <c r="A60" s="117">
        <f t="shared" si="4"/>
        <v>50</v>
      </c>
      <c r="B60" s="620" t="s">
        <v>567</v>
      </c>
      <c r="C60" s="1071" t="s">
        <v>88</v>
      </c>
      <c r="D60" s="1071" t="s">
        <v>88</v>
      </c>
      <c r="E60" s="1071" t="s">
        <v>88</v>
      </c>
      <c r="F60" s="1071" t="s">
        <v>88</v>
      </c>
      <c r="G60" s="1068">
        <f t="shared" si="0"/>
        <v>0</v>
      </c>
      <c r="H60" s="1071" t="s">
        <v>88</v>
      </c>
      <c r="I60" s="1071" t="s">
        <v>88</v>
      </c>
      <c r="J60" s="496"/>
      <c r="K60" s="496"/>
      <c r="L60" s="496"/>
    </row>
    <row r="61" spans="1:12" x14ac:dyDescent="0.2">
      <c r="A61" s="117">
        <f t="shared" si="4"/>
        <v>51</v>
      </c>
      <c r="B61" s="705" t="s">
        <v>2579</v>
      </c>
      <c r="C61" s="1072">
        <v>0</v>
      </c>
      <c r="D61" s="1072">
        <v>0</v>
      </c>
      <c r="E61" s="1072">
        <v>0</v>
      </c>
      <c r="F61" s="1086"/>
      <c r="G61" s="1306">
        <f t="shared" si="0"/>
        <v>7840039.9222637657</v>
      </c>
      <c r="H61" s="1307">
        <f>+C87*C193</f>
        <v>7840039.9222637657</v>
      </c>
      <c r="I61" s="1307">
        <v>0</v>
      </c>
      <c r="J61" s="1073">
        <f t="shared" si="2"/>
        <v>7840039.9222637657</v>
      </c>
      <c r="K61" s="1073">
        <f>D61+H61</f>
        <v>7840039.9222637657</v>
      </c>
      <c r="L61" s="1073">
        <f>E61+I61</f>
        <v>0</v>
      </c>
    </row>
    <row r="62" spans="1:12" x14ac:dyDescent="0.2">
      <c r="A62" s="117">
        <f t="shared" si="4"/>
        <v>52</v>
      </c>
      <c r="B62" s="497" t="s">
        <v>1490</v>
      </c>
      <c r="C62" s="1064">
        <f>SUM(D62:E62)</f>
        <v>265131507.36999989</v>
      </c>
      <c r="D62" s="1074">
        <f>SUM(D11:D61)</f>
        <v>68083431.289999992</v>
      </c>
      <c r="E62" s="1074">
        <f>SUM(E11:E61)</f>
        <v>197048076.07999989</v>
      </c>
      <c r="F62" s="1075"/>
      <c r="G62" s="1308">
        <f t="shared" ref="G62:L62" si="11">SUM(G11:G61)</f>
        <v>-97824510.467736229</v>
      </c>
      <c r="H62" s="1076">
        <f t="shared" si="11"/>
        <v>6746515.7322637644</v>
      </c>
      <c r="I62" s="1309">
        <f t="shared" si="11"/>
        <v>-104571026.19999999</v>
      </c>
      <c r="J62" s="1309">
        <f t="shared" si="11"/>
        <v>167306996.90226376</v>
      </c>
      <c r="K62" s="1076">
        <f t="shared" si="11"/>
        <v>74829947.022263765</v>
      </c>
      <c r="L62" s="1309">
        <f t="shared" si="11"/>
        <v>92477049.879999965</v>
      </c>
    </row>
    <row r="63" spans="1:12" x14ac:dyDescent="0.2">
      <c r="A63" s="117">
        <f t="shared" si="4"/>
        <v>53</v>
      </c>
      <c r="B63" s="597"/>
      <c r="C63" s="1077"/>
      <c r="D63" s="1078"/>
      <c r="E63" s="1078"/>
      <c r="F63" s="1079"/>
      <c r="G63" s="1080"/>
      <c r="H63" s="1081"/>
      <c r="I63" s="1081"/>
      <c r="J63" s="708"/>
      <c r="K63" s="708"/>
      <c r="L63" s="708"/>
    </row>
    <row r="64" spans="1:12" x14ac:dyDescent="0.2">
      <c r="A64" s="679"/>
      <c r="B64" s="498"/>
      <c r="C64" s="1078"/>
      <c r="D64" s="1078"/>
      <c r="E64" s="1078"/>
      <c r="F64" s="1079"/>
      <c r="G64" s="1082"/>
      <c r="H64" s="1078"/>
      <c r="I64" s="1078"/>
      <c r="J64" s="1078"/>
      <c r="K64" s="1078"/>
      <c r="L64" s="1078"/>
    </row>
    <row r="65" spans="1:15" x14ac:dyDescent="0.2">
      <c r="A65" s="679"/>
      <c r="B65" s="485" t="s">
        <v>396</v>
      </c>
      <c r="C65" s="485" t="s">
        <v>380</v>
      </c>
      <c r="D65" s="485" t="s">
        <v>381</v>
      </c>
      <c r="E65" s="485" t="s">
        <v>382</v>
      </c>
      <c r="F65" s="486" t="s">
        <v>383</v>
      </c>
      <c r="G65" s="485" t="s">
        <v>384</v>
      </c>
      <c r="H65" s="485" t="s">
        <v>385</v>
      </c>
      <c r="I65" s="485" t="s">
        <v>599</v>
      </c>
      <c r="J65" s="485" t="s">
        <v>1048</v>
      </c>
      <c r="K65" s="485" t="s">
        <v>1064</v>
      </c>
      <c r="L65" s="485" t="s">
        <v>1067</v>
      </c>
    </row>
    <row r="66" spans="1:15" x14ac:dyDescent="0.2">
      <c r="A66" s="679"/>
      <c r="B66" s="498"/>
      <c r="C66" s="660" t="s">
        <v>1436</v>
      </c>
      <c r="D66" s="483"/>
      <c r="E66" s="483"/>
      <c r="F66" s="1057" t="s">
        <v>398</v>
      </c>
      <c r="G66" s="660" t="s">
        <v>1437</v>
      </c>
      <c r="H66" s="487"/>
      <c r="I66" s="487"/>
      <c r="J66" s="660" t="s">
        <v>1438</v>
      </c>
      <c r="K66" s="660" t="s">
        <v>1439</v>
      </c>
      <c r="L66" s="661" t="s">
        <v>1440</v>
      </c>
    </row>
    <row r="67" spans="1:15" x14ac:dyDescent="0.2">
      <c r="A67" s="679"/>
      <c r="C67" s="1077"/>
      <c r="D67" s="1078"/>
      <c r="E67" s="1078"/>
      <c r="F67" s="1079"/>
      <c r="G67" s="1080"/>
      <c r="H67" s="1078"/>
      <c r="I67" s="1078"/>
      <c r="J67" s="708"/>
      <c r="K67" s="708"/>
      <c r="L67" s="708"/>
    </row>
    <row r="68" spans="1:15" x14ac:dyDescent="0.2">
      <c r="A68" s="679"/>
      <c r="B68" s="1416" t="s">
        <v>1441</v>
      </c>
      <c r="C68" s="1418" t="s">
        <v>1442</v>
      </c>
      <c r="D68" s="1418"/>
      <c r="E68" s="1418"/>
      <c r="F68" s="489"/>
      <c r="G68" s="1419" t="s">
        <v>1443</v>
      </c>
      <c r="H68" s="1419"/>
      <c r="I68" s="1420"/>
      <c r="J68" s="1422" t="s">
        <v>1444</v>
      </c>
      <c r="K68" s="1419"/>
      <c r="L68" s="1420"/>
    </row>
    <row r="69" spans="1:15" x14ac:dyDescent="0.2">
      <c r="A69" s="679"/>
      <c r="B69" s="1417"/>
      <c r="C69" s="1056" t="s">
        <v>217</v>
      </c>
      <c r="D69" s="1056" t="s">
        <v>1445</v>
      </c>
      <c r="E69" s="490" t="s">
        <v>1446</v>
      </c>
      <c r="F69" s="491" t="s">
        <v>1378</v>
      </c>
      <c r="G69" s="490" t="s">
        <v>217</v>
      </c>
      <c r="H69" s="490" t="s">
        <v>1445</v>
      </c>
      <c r="I69" s="490" t="s">
        <v>1446</v>
      </c>
      <c r="J69" s="1056" t="s">
        <v>217</v>
      </c>
      <c r="K69" s="490" t="s">
        <v>1445</v>
      </c>
      <c r="L69" s="490" t="s">
        <v>1446</v>
      </c>
    </row>
    <row r="70" spans="1:15" x14ac:dyDescent="0.2">
      <c r="A70" s="679"/>
      <c r="B70" s="499" t="s">
        <v>1491</v>
      </c>
      <c r="C70" s="276"/>
      <c r="D70" s="276"/>
      <c r="E70" s="493"/>
      <c r="F70" s="494"/>
      <c r="G70" s="493"/>
      <c r="H70" s="493"/>
      <c r="I70" s="493"/>
      <c r="J70" s="276"/>
      <c r="K70" s="493"/>
      <c r="L70" s="493"/>
    </row>
    <row r="71" spans="1:15" x14ac:dyDescent="0.2">
      <c r="A71" s="117">
        <f>A63+1</f>
        <v>54</v>
      </c>
      <c r="B71" s="705" t="s">
        <v>1492</v>
      </c>
      <c r="C71" s="1083">
        <f t="shared" ref="C71:C79" si="12">SUM(D71:E71)</f>
        <v>19976391.669999994</v>
      </c>
      <c r="D71" s="562">
        <v>13694748.369999995</v>
      </c>
      <c r="E71" s="562">
        <v>6281643.2999999989</v>
      </c>
      <c r="F71" s="1065"/>
      <c r="G71" s="1080">
        <f t="shared" ref="G71:G79" si="13">SUM(H71:I71)</f>
        <v>0</v>
      </c>
      <c r="H71" s="562"/>
      <c r="I71" s="562"/>
      <c r="J71" s="708">
        <f t="shared" ref="J71:J78" si="14">SUM(K71:L71)</f>
        <v>19976391.669999994</v>
      </c>
      <c r="K71" s="708">
        <f t="shared" ref="K71:L80" si="15">D71+H71</f>
        <v>13694748.369999995</v>
      </c>
      <c r="L71" s="708">
        <f t="shared" si="15"/>
        <v>6281643.2999999989</v>
      </c>
    </row>
    <row r="72" spans="1:15" x14ac:dyDescent="0.2">
      <c r="A72" s="117">
        <f t="shared" ref="A72:A85" si="16">A71+1</f>
        <v>55</v>
      </c>
      <c r="B72" s="705" t="s">
        <v>1493</v>
      </c>
      <c r="C72" s="1083">
        <f t="shared" si="12"/>
        <v>10011035.219999999</v>
      </c>
      <c r="D72" s="562">
        <v>7181278.4099999983</v>
      </c>
      <c r="E72" s="562">
        <v>2829756.8100000005</v>
      </c>
      <c r="F72" s="1065"/>
      <c r="G72" s="1080">
        <f t="shared" si="13"/>
        <v>0</v>
      </c>
      <c r="H72" s="562"/>
      <c r="I72" s="562"/>
      <c r="J72" s="708">
        <f t="shared" si="14"/>
        <v>10011035.219999999</v>
      </c>
      <c r="K72" s="708">
        <f t="shared" si="15"/>
        <v>7181278.4099999983</v>
      </c>
      <c r="L72" s="708">
        <f t="shared" si="15"/>
        <v>2829756.8100000005</v>
      </c>
    </row>
    <row r="73" spans="1:15" x14ac:dyDescent="0.2">
      <c r="A73" s="117">
        <f t="shared" si="16"/>
        <v>56</v>
      </c>
      <c r="B73" s="705" t="s">
        <v>1494</v>
      </c>
      <c r="C73" s="1083">
        <f t="shared" si="12"/>
        <v>2267016.58</v>
      </c>
      <c r="D73" s="562">
        <v>1811480.8600000003</v>
      </c>
      <c r="E73" s="562">
        <v>455535.72</v>
      </c>
      <c r="F73" s="1065"/>
      <c r="G73" s="1080">
        <f t="shared" si="13"/>
        <v>0</v>
      </c>
      <c r="H73" s="562"/>
      <c r="I73" s="562"/>
      <c r="J73" s="708">
        <f t="shared" si="14"/>
        <v>2267016.58</v>
      </c>
      <c r="K73" s="708">
        <f t="shared" si="15"/>
        <v>1811480.8600000003</v>
      </c>
      <c r="L73" s="708">
        <f t="shared" si="15"/>
        <v>455535.72</v>
      </c>
    </row>
    <row r="74" spans="1:15" x14ac:dyDescent="0.2">
      <c r="A74" s="117">
        <f t="shared" si="16"/>
        <v>57</v>
      </c>
      <c r="B74" s="705" t="s">
        <v>1495</v>
      </c>
      <c r="C74" s="1083">
        <f t="shared" si="12"/>
        <v>110635.80999999998</v>
      </c>
      <c r="D74" s="562">
        <v>19025.289999999997</v>
      </c>
      <c r="E74" s="562">
        <v>91610.51999999999</v>
      </c>
      <c r="F74" s="1065"/>
      <c r="G74" s="1080">
        <f t="shared" si="13"/>
        <v>0</v>
      </c>
      <c r="H74" s="562"/>
      <c r="I74" s="562"/>
      <c r="J74" s="708">
        <f t="shared" si="14"/>
        <v>110635.80999999998</v>
      </c>
      <c r="K74" s="708">
        <f t="shared" si="15"/>
        <v>19025.289999999997</v>
      </c>
      <c r="L74" s="708">
        <f t="shared" si="15"/>
        <v>91610.51999999999</v>
      </c>
    </row>
    <row r="75" spans="1:15" x14ac:dyDescent="0.2">
      <c r="A75" s="117">
        <f t="shared" si="16"/>
        <v>58</v>
      </c>
      <c r="B75" s="705" t="s">
        <v>1496</v>
      </c>
      <c r="C75" s="1083">
        <f t="shared" si="12"/>
        <v>792709.81</v>
      </c>
      <c r="D75" s="562">
        <v>520742.43</v>
      </c>
      <c r="E75" s="562">
        <v>271967.38000000006</v>
      </c>
      <c r="F75" s="1065"/>
      <c r="G75" s="1080">
        <f t="shared" si="13"/>
        <v>0</v>
      </c>
      <c r="H75" s="562"/>
      <c r="I75" s="562"/>
      <c r="J75" s="708">
        <f t="shared" si="14"/>
        <v>792709.81</v>
      </c>
      <c r="K75" s="708">
        <f t="shared" si="15"/>
        <v>520742.43</v>
      </c>
      <c r="L75" s="708">
        <f t="shared" si="15"/>
        <v>271967.38000000006</v>
      </c>
    </row>
    <row r="76" spans="1:15" x14ac:dyDescent="0.2">
      <c r="A76" s="117">
        <f t="shared" si="16"/>
        <v>59</v>
      </c>
      <c r="B76" s="705" t="s">
        <v>1497</v>
      </c>
      <c r="C76" s="1083">
        <f t="shared" si="12"/>
        <v>2143515.19</v>
      </c>
      <c r="D76" s="562">
        <v>1792190.25</v>
      </c>
      <c r="E76" s="562">
        <v>351324.94000000006</v>
      </c>
      <c r="F76" s="1065"/>
      <c r="G76" s="1080">
        <f t="shared" si="13"/>
        <v>0</v>
      </c>
      <c r="H76" s="562"/>
      <c r="I76" s="562"/>
      <c r="J76" s="708">
        <f t="shared" si="14"/>
        <v>2143515.19</v>
      </c>
      <c r="K76" s="708">
        <f t="shared" si="15"/>
        <v>1792190.25</v>
      </c>
      <c r="L76" s="708">
        <f t="shared" si="15"/>
        <v>351324.94000000006</v>
      </c>
    </row>
    <row r="77" spans="1:15" x14ac:dyDescent="0.2">
      <c r="A77" s="117">
        <f t="shared" si="16"/>
        <v>60</v>
      </c>
      <c r="B77" s="705" t="s">
        <v>1498</v>
      </c>
      <c r="C77" s="1083">
        <f t="shared" si="12"/>
        <v>579608.49999999988</v>
      </c>
      <c r="D77" s="562">
        <v>450933.48999999987</v>
      </c>
      <c r="E77" s="562">
        <v>128675.01000000001</v>
      </c>
      <c r="F77" s="1065"/>
      <c r="G77" s="1080">
        <f t="shared" si="13"/>
        <v>0</v>
      </c>
      <c r="H77" s="562"/>
      <c r="I77" s="562"/>
      <c r="J77" s="708">
        <f t="shared" si="14"/>
        <v>579608.49999999988</v>
      </c>
      <c r="K77" s="708">
        <f t="shared" si="15"/>
        <v>450933.48999999987</v>
      </c>
      <c r="L77" s="708">
        <f t="shared" si="15"/>
        <v>128675.01000000001</v>
      </c>
    </row>
    <row r="78" spans="1:15" x14ac:dyDescent="0.2">
      <c r="A78" s="117">
        <f t="shared" si="16"/>
        <v>61</v>
      </c>
      <c r="B78" s="705" t="s">
        <v>1499</v>
      </c>
      <c r="C78" s="1083">
        <f t="shared" si="12"/>
        <v>2721487.68</v>
      </c>
      <c r="D78" s="562">
        <v>1031422.7700000001</v>
      </c>
      <c r="E78" s="562">
        <v>1690064.9100000001</v>
      </c>
      <c r="F78" s="1065"/>
      <c r="G78" s="1172">
        <f t="shared" si="13"/>
        <v>0</v>
      </c>
      <c r="H78" s="562"/>
      <c r="I78" s="562"/>
      <c r="J78" s="708">
        <f t="shared" si="14"/>
        <v>2721487.68</v>
      </c>
      <c r="K78" s="708">
        <f t="shared" si="15"/>
        <v>1031422.7700000001</v>
      </c>
      <c r="L78" s="708">
        <f t="shared" si="15"/>
        <v>1690064.9100000001</v>
      </c>
    </row>
    <row r="79" spans="1:15" x14ac:dyDescent="0.2">
      <c r="A79" s="117">
        <f t="shared" si="16"/>
        <v>62</v>
      </c>
      <c r="B79" s="705" t="s">
        <v>1500</v>
      </c>
      <c r="C79" s="1083">
        <f t="shared" si="12"/>
        <v>429042657.41999996</v>
      </c>
      <c r="D79" s="1084">
        <v>179213312.13</v>
      </c>
      <c r="E79" s="1084">
        <v>249829345.28999999</v>
      </c>
      <c r="F79" s="1065" t="s">
        <v>2695</v>
      </c>
      <c r="G79" s="1172">
        <f t="shared" si="13"/>
        <v>-619643.78</v>
      </c>
      <c r="H79" s="562">
        <f>-23150-126554.13</f>
        <v>-149704.13</v>
      </c>
      <c r="I79" s="562">
        <f>-134543-335396.65</f>
        <v>-469939.65</v>
      </c>
      <c r="J79" s="708">
        <f>C79+G79</f>
        <v>428423013.63999999</v>
      </c>
      <c r="K79" s="708">
        <f t="shared" si="15"/>
        <v>179063608</v>
      </c>
      <c r="L79" s="708">
        <f t="shared" si="15"/>
        <v>249359405.63999999</v>
      </c>
      <c r="N79" s="1262"/>
      <c r="O79" s="1260"/>
    </row>
    <row r="80" spans="1:15" x14ac:dyDescent="0.2">
      <c r="A80" s="117">
        <f>A79+1</f>
        <v>63</v>
      </c>
      <c r="B80" s="705" t="s">
        <v>2580</v>
      </c>
      <c r="C80" s="1072">
        <v>0</v>
      </c>
      <c r="D80" s="1072">
        <v>0</v>
      </c>
      <c r="E80" s="1072">
        <v>0</v>
      </c>
      <c r="F80" s="1086"/>
      <c r="G80" s="1085">
        <f>SUM(H80:I80)</f>
        <v>23688801.116737023</v>
      </c>
      <c r="H80" s="1086">
        <f>+C87*C194</f>
        <v>23688801.116737023</v>
      </c>
      <c r="I80" s="1086">
        <v>0</v>
      </c>
      <c r="J80" s="1087">
        <f>SUM(K80:L80)</f>
        <v>23688801.116737023</v>
      </c>
      <c r="K80" s="1087">
        <f t="shared" si="15"/>
        <v>23688801.116737023</v>
      </c>
      <c r="L80" s="1087">
        <f t="shared" si="15"/>
        <v>0</v>
      </c>
      <c r="N80" s="1262"/>
      <c r="O80" s="1260"/>
    </row>
    <row r="81" spans="1:15" x14ac:dyDescent="0.2">
      <c r="A81" s="117">
        <f t="shared" si="16"/>
        <v>64</v>
      </c>
      <c r="B81" s="498" t="s">
        <v>1501</v>
      </c>
      <c r="C81" s="1078">
        <f>SUM(C71:C80)</f>
        <v>467645057.87999994</v>
      </c>
      <c r="D81" s="1078">
        <f>SUM(D71:D80)</f>
        <v>205715134</v>
      </c>
      <c r="E81" s="1078">
        <f>SUM(E71:E80)</f>
        <v>261929923.88</v>
      </c>
      <c r="F81" s="1079"/>
      <c r="G81" s="1082">
        <f t="shared" ref="G81:L81" si="17">SUM(G71:G80)</f>
        <v>23069157.336737022</v>
      </c>
      <c r="H81" s="1078">
        <f t="shared" si="17"/>
        <v>23539096.986737024</v>
      </c>
      <c r="I81" s="1078">
        <f t="shared" si="17"/>
        <v>-469939.65</v>
      </c>
      <c r="J81" s="1078">
        <f>SUM(J71:J80)</f>
        <v>490714215.21673697</v>
      </c>
      <c r="K81" s="1078">
        <f t="shared" si="17"/>
        <v>229254230.98673701</v>
      </c>
      <c r="L81" s="1078">
        <f t="shared" si="17"/>
        <v>261459984.22999999</v>
      </c>
      <c r="N81" s="1263"/>
      <c r="O81" s="1261"/>
    </row>
    <row r="82" spans="1:15" x14ac:dyDescent="0.2">
      <c r="A82" s="117">
        <f t="shared" si="16"/>
        <v>65</v>
      </c>
      <c r="B82" s="1077"/>
      <c r="C82" s="1083"/>
      <c r="D82" s="1078"/>
      <c r="E82" s="1078"/>
      <c r="F82" s="1088"/>
      <c r="G82" s="1080"/>
      <c r="H82" s="1081"/>
      <c r="I82" s="1081"/>
      <c r="J82" s="708"/>
      <c r="K82" s="708"/>
      <c r="L82" s="708"/>
    </row>
    <row r="83" spans="1:15" x14ac:dyDescent="0.2">
      <c r="A83" s="117">
        <f t="shared" si="16"/>
        <v>66</v>
      </c>
      <c r="B83" s="498" t="s">
        <v>1502</v>
      </c>
      <c r="C83" s="1083">
        <f>+C62+C81</f>
        <v>732776565.24999976</v>
      </c>
      <c r="D83" s="1083">
        <f>D81+D62</f>
        <v>273798565.28999996</v>
      </c>
      <c r="E83" s="1083">
        <f>E81+E62</f>
        <v>458977999.95999992</v>
      </c>
      <c r="F83" s="1089"/>
      <c r="G83" s="1311">
        <f>+G62+G81</f>
        <v>-74755353.130999207</v>
      </c>
      <c r="H83" s="708">
        <f>H81+H62</f>
        <v>30285612.719000787</v>
      </c>
      <c r="I83" s="1310">
        <f>I81+I62</f>
        <v>-105040965.84999999</v>
      </c>
      <c r="J83" s="1310">
        <f>J81+J62</f>
        <v>658021212.11900067</v>
      </c>
      <c r="K83" s="708">
        <f>K81+K62</f>
        <v>304084178.00900078</v>
      </c>
      <c r="L83" s="1310">
        <f>L81+L62</f>
        <v>353937034.10999995</v>
      </c>
    </row>
    <row r="84" spans="1:15" x14ac:dyDescent="0.2">
      <c r="A84" s="117">
        <f t="shared" si="16"/>
        <v>67</v>
      </c>
      <c r="B84" s="1077"/>
      <c r="C84" s="1077"/>
      <c r="D84" s="1077"/>
      <c r="E84" s="1077"/>
      <c r="F84" s="1089"/>
      <c r="G84" s="1090"/>
      <c r="H84" s="1081"/>
      <c r="I84" s="1081"/>
      <c r="J84" s="597"/>
      <c r="K84" s="597"/>
      <c r="L84" s="597"/>
    </row>
    <row r="85" spans="1:15" x14ac:dyDescent="0.2">
      <c r="A85" s="117">
        <f t="shared" si="16"/>
        <v>68</v>
      </c>
      <c r="B85" s="705" t="s">
        <v>1503</v>
      </c>
      <c r="C85" s="1091">
        <v>265131506</v>
      </c>
      <c r="D85" s="1092" t="s">
        <v>1504</v>
      </c>
      <c r="E85" s="1083" t="str">
        <f>"Must equal Line "&amp;A62&amp;", Column 2."</f>
        <v>Must equal Line 52, Column 2.</v>
      </c>
      <c r="F85" s="1089"/>
      <c r="G85" s="500"/>
      <c r="H85" s="501"/>
      <c r="I85" s="501"/>
      <c r="J85" s="501"/>
      <c r="K85" s="501"/>
      <c r="L85" s="501"/>
    </row>
    <row r="86" spans="1:15" x14ac:dyDescent="0.2">
      <c r="A86" s="117">
        <f>A85+1</f>
        <v>69</v>
      </c>
      <c r="B86" s="705" t="s">
        <v>1505</v>
      </c>
      <c r="C86" s="1091">
        <v>467645059</v>
      </c>
      <c r="D86" s="1092" t="s">
        <v>1506</v>
      </c>
      <c r="E86" s="1083" t="str">
        <f>"Must equal Line "&amp;A81&amp;", Column 2."</f>
        <v>Must equal Line 64, Column 2.</v>
      </c>
      <c r="F86" s="1089"/>
      <c r="G86" s="1080"/>
      <c r="H86" s="708"/>
      <c r="I86" s="708"/>
      <c r="J86" s="708"/>
      <c r="K86" s="708"/>
      <c r="L86" s="708"/>
    </row>
    <row r="87" spans="1:15" x14ac:dyDescent="0.2">
      <c r="A87" s="117">
        <f>A86+1</f>
        <v>70</v>
      </c>
      <c r="B87" s="705" t="s">
        <v>2581</v>
      </c>
      <c r="C87" s="1093">
        <f>'20-AandG'!E63</f>
        <v>31528841.039000787</v>
      </c>
      <c r="D87" s="1092" t="str">
        <f>"20-AandG, Note 2, "&amp;'20-AandG'!B63&amp;""</f>
        <v>20-AandG, Note 2, f</v>
      </c>
      <c r="E87" s="1083"/>
      <c r="F87" s="679"/>
      <c r="G87" s="1080"/>
      <c r="H87" s="708"/>
      <c r="I87" s="708"/>
      <c r="J87" s="708"/>
      <c r="K87" s="708"/>
      <c r="L87" s="708"/>
    </row>
    <row r="88" spans="1:15" x14ac:dyDescent="0.2">
      <c r="A88" s="502"/>
      <c r="C88" s="503"/>
      <c r="D88" s="1083"/>
      <c r="E88" s="1083"/>
      <c r="F88" s="1089"/>
      <c r="G88" s="1080"/>
      <c r="H88" s="708"/>
      <c r="I88" s="708"/>
      <c r="J88" s="708"/>
      <c r="K88" s="708"/>
      <c r="L88" s="708"/>
    </row>
    <row r="89" spans="1:15" x14ac:dyDescent="0.2">
      <c r="A89" s="597"/>
      <c r="B89" s="474" t="s">
        <v>1582</v>
      </c>
      <c r="C89" s="1077"/>
      <c r="D89" s="1077"/>
      <c r="E89" s="1077"/>
      <c r="F89" s="1089"/>
      <c r="G89" s="1090"/>
      <c r="H89" s="597"/>
      <c r="I89" s="597"/>
      <c r="J89" s="597"/>
      <c r="K89" s="597"/>
      <c r="L89" s="597"/>
    </row>
    <row r="90" spans="1:15" x14ac:dyDescent="0.2">
      <c r="A90" s="597"/>
      <c r="C90" s="1077"/>
      <c r="D90" s="1077"/>
      <c r="E90" s="1077"/>
      <c r="F90" s="1089"/>
      <c r="G90" s="1090"/>
      <c r="H90" s="597"/>
      <c r="I90" s="597"/>
      <c r="J90" s="597"/>
      <c r="K90" s="597"/>
      <c r="L90" s="597"/>
    </row>
    <row r="91" spans="1:15" x14ac:dyDescent="0.2">
      <c r="A91" s="597"/>
      <c r="B91" s="90" t="s">
        <v>396</v>
      </c>
      <c r="C91" s="485" t="s">
        <v>380</v>
      </c>
      <c r="D91" s="485" t="s">
        <v>381</v>
      </c>
      <c r="E91" s="485" t="s">
        <v>382</v>
      </c>
      <c r="F91" s="486" t="s">
        <v>383</v>
      </c>
      <c r="G91" s="485" t="s">
        <v>384</v>
      </c>
      <c r="H91" s="485" t="s">
        <v>385</v>
      </c>
      <c r="I91" s="485" t="s">
        <v>599</v>
      </c>
      <c r="J91" s="1173" t="s">
        <v>1048</v>
      </c>
      <c r="K91" s="384"/>
      <c r="L91" s="1321"/>
    </row>
    <row r="92" spans="1:15" x14ac:dyDescent="0.2">
      <c r="A92" s="597"/>
      <c r="C92" s="1077" t="s">
        <v>1507</v>
      </c>
      <c r="D92" s="1077" t="s">
        <v>1508</v>
      </c>
      <c r="E92" s="1077" t="s">
        <v>1509</v>
      </c>
      <c r="F92" s="1090" t="s">
        <v>1314</v>
      </c>
      <c r="G92" s="661" t="s">
        <v>1437</v>
      </c>
      <c r="H92" s="662" t="s">
        <v>1936</v>
      </c>
      <c r="I92" s="662" t="s">
        <v>1937</v>
      </c>
      <c r="J92" s="559"/>
      <c r="K92" s="1077"/>
      <c r="L92" s="597"/>
    </row>
    <row r="93" spans="1:15" x14ac:dyDescent="0.2">
      <c r="C93" s="1077"/>
      <c r="D93" s="1077"/>
      <c r="E93" s="1077"/>
      <c r="F93" s="1089"/>
      <c r="G93" s="1090"/>
      <c r="H93" s="597"/>
      <c r="I93" s="597"/>
      <c r="J93" s="1077"/>
      <c r="K93" s="1077"/>
      <c r="L93" s="597"/>
    </row>
    <row r="94" spans="1:15" x14ac:dyDescent="0.2">
      <c r="A94" s="488"/>
      <c r="B94" s="1421" t="s">
        <v>1441</v>
      </c>
      <c r="C94" s="1422" t="s">
        <v>1444</v>
      </c>
      <c r="D94" s="1419"/>
      <c r="E94" s="1420"/>
      <c r="F94" s="504" t="s">
        <v>1647</v>
      </c>
      <c r="G94" s="1413" t="s">
        <v>1510</v>
      </c>
      <c r="H94" s="1414"/>
      <c r="I94" s="1415"/>
      <c r="J94" s="1174" t="s">
        <v>2040</v>
      </c>
      <c r="K94" s="1077"/>
    </row>
    <row r="95" spans="1:15" x14ac:dyDescent="0.2">
      <c r="B95" s="1421"/>
      <c r="C95" s="1056" t="s">
        <v>217</v>
      </c>
      <c r="D95" s="490" t="s">
        <v>1445</v>
      </c>
      <c r="E95" s="490" t="s">
        <v>1446</v>
      </c>
      <c r="F95" s="504" t="s">
        <v>480</v>
      </c>
      <c r="G95" s="1056" t="s">
        <v>217</v>
      </c>
      <c r="H95" s="490" t="s">
        <v>1445</v>
      </c>
      <c r="I95" s="490" t="s">
        <v>1446</v>
      </c>
      <c r="J95" s="1118" t="s">
        <v>226</v>
      </c>
      <c r="K95" s="1077"/>
      <c r="L95" s="597"/>
    </row>
    <row r="96" spans="1:15" x14ac:dyDescent="0.2">
      <c r="A96" s="52" t="s">
        <v>362</v>
      </c>
      <c r="B96" s="492" t="s">
        <v>1447</v>
      </c>
      <c r="C96" s="276"/>
      <c r="D96" s="493"/>
      <c r="E96" s="493"/>
      <c r="F96" s="505"/>
      <c r="G96" s="276"/>
      <c r="H96" s="493"/>
      <c r="I96" s="493"/>
      <c r="J96" s="559"/>
      <c r="K96" s="1077"/>
      <c r="L96" s="597"/>
    </row>
    <row r="97" spans="1:12" x14ac:dyDescent="0.2">
      <c r="A97" s="117">
        <f>A87+1</f>
        <v>71</v>
      </c>
      <c r="B97" s="705" t="s">
        <v>1448</v>
      </c>
      <c r="C97" s="1083">
        <f t="shared" ref="C97:C112" si="18">J11</f>
        <v>11147177.439999998</v>
      </c>
      <c r="D97" s="1083">
        <f t="shared" ref="D97:D112" si="19">K11</f>
        <v>6169237.2999999942</v>
      </c>
      <c r="E97" s="1083">
        <f t="shared" ref="E97:E112" si="20">L11</f>
        <v>4977940.1400000025</v>
      </c>
      <c r="F97" s="1100">
        <f>J204</f>
        <v>0.43779016105210444</v>
      </c>
      <c r="G97" s="1094">
        <f>SUM(H97:I97)</f>
        <v>4880124.6067339834</v>
      </c>
      <c r="H97" s="1094">
        <f>D97*F97</f>
        <v>2700831.3911356474</v>
      </c>
      <c r="I97" s="1094">
        <f>E97*F97</f>
        <v>2179293.2155983364</v>
      </c>
      <c r="J97" s="559" t="s">
        <v>2210</v>
      </c>
      <c r="K97" s="1077"/>
      <c r="L97" s="597"/>
    </row>
    <row r="98" spans="1:12" x14ac:dyDescent="0.2">
      <c r="A98" s="117">
        <f t="shared" ref="A98:A149" si="21">A97+1</f>
        <v>72</v>
      </c>
      <c r="B98" s="705" t="s">
        <v>1449</v>
      </c>
      <c r="C98" s="1083">
        <f t="shared" si="18"/>
        <v>131182.46</v>
      </c>
      <c r="D98" s="1083">
        <f t="shared" si="19"/>
        <v>0</v>
      </c>
      <c r="E98" s="1083">
        <f t="shared" si="20"/>
        <v>131182.46</v>
      </c>
      <c r="F98" s="1100">
        <v>1</v>
      </c>
      <c r="G98" s="1094">
        <f t="shared" ref="G98:G145" si="22">SUM(H98:I98)</f>
        <v>131182.46</v>
      </c>
      <c r="H98" s="1094">
        <f t="shared" ref="H98:H145" si="23">D98*F98</f>
        <v>0</v>
      </c>
      <c r="I98" s="1094">
        <f t="shared" ref="I98:I145" si="24">E98*F98</f>
        <v>131182.46</v>
      </c>
      <c r="J98" s="1175" t="s">
        <v>2212</v>
      </c>
      <c r="K98" s="1077"/>
      <c r="L98" s="597"/>
    </row>
    <row r="99" spans="1:12" x14ac:dyDescent="0.2">
      <c r="A99" s="117">
        <f t="shared" si="21"/>
        <v>73</v>
      </c>
      <c r="B99" s="705" t="s">
        <v>1450</v>
      </c>
      <c r="C99" s="1083">
        <f t="shared" si="18"/>
        <v>0</v>
      </c>
      <c r="D99" s="1083">
        <f t="shared" si="19"/>
        <v>0</v>
      </c>
      <c r="E99" s="1083">
        <f t="shared" si="20"/>
        <v>0</v>
      </c>
      <c r="F99" s="1100">
        <f>'27-Allocators'!D36</f>
        <v>0.56534577452312051</v>
      </c>
      <c r="G99" s="1094">
        <f t="shared" si="22"/>
        <v>0</v>
      </c>
      <c r="H99" s="1094">
        <f t="shared" si="23"/>
        <v>0</v>
      </c>
      <c r="I99" s="1094">
        <f t="shared" si="24"/>
        <v>0</v>
      </c>
      <c r="J99" s="559" t="str">
        <f>"27-Allocators Line "&amp;'27-Allocators'!A36&amp;""</f>
        <v>27-Allocators Line 30</v>
      </c>
      <c r="K99" s="1077"/>
      <c r="L99" s="597"/>
    </row>
    <row r="100" spans="1:12" x14ac:dyDescent="0.2">
      <c r="A100" s="117">
        <f t="shared" si="21"/>
        <v>74</v>
      </c>
      <c r="B100" s="705" t="s">
        <v>1451</v>
      </c>
      <c r="C100" s="1083">
        <f t="shared" si="18"/>
        <v>519477.08000000019</v>
      </c>
      <c r="D100" s="1083">
        <f t="shared" si="19"/>
        <v>347554.28000000014</v>
      </c>
      <c r="E100" s="1083">
        <f t="shared" si="20"/>
        <v>171922.80000000005</v>
      </c>
      <c r="F100" s="1100">
        <f>'27-Allocators'!D36</f>
        <v>0.56534577452312051</v>
      </c>
      <c r="G100" s="1094">
        <f t="shared" si="22"/>
        <v>293684.17213960912</v>
      </c>
      <c r="H100" s="1094">
        <f t="shared" si="23"/>
        <v>196488.34361542558</v>
      </c>
      <c r="I100" s="1094">
        <f t="shared" si="24"/>
        <v>97195.828524183569</v>
      </c>
      <c r="J100" s="559" t="str">
        <f>"27-Allocators Line "&amp;'27-Allocators'!A36&amp;""</f>
        <v>27-Allocators Line 30</v>
      </c>
      <c r="K100" s="1077"/>
      <c r="L100" s="597"/>
    </row>
    <row r="101" spans="1:12" x14ac:dyDescent="0.2">
      <c r="A101" s="117">
        <f t="shared" si="21"/>
        <v>75</v>
      </c>
      <c r="B101" s="705" t="s">
        <v>1452</v>
      </c>
      <c r="C101" s="1083">
        <f t="shared" si="18"/>
        <v>5470770.9399999985</v>
      </c>
      <c r="D101" s="1083">
        <f t="shared" si="19"/>
        <v>4481285.6799999978</v>
      </c>
      <c r="E101" s="1083">
        <f t="shared" si="20"/>
        <v>989485.26000000094</v>
      </c>
      <c r="F101" s="1100">
        <f>'27-Allocators'!D36</f>
        <v>0.56534577452312051</v>
      </c>
      <c r="G101" s="1094">
        <f t="shared" si="22"/>
        <v>3092877.2343128794</v>
      </c>
      <c r="H101" s="1094">
        <f t="shared" si="23"/>
        <v>2533475.9236189676</v>
      </c>
      <c r="I101" s="1094">
        <f t="shared" si="24"/>
        <v>559401.31069391186</v>
      </c>
      <c r="J101" s="559" t="str">
        <f>"27-Allocators Line "&amp;'27-Allocators'!A36&amp;""</f>
        <v>27-Allocators Line 30</v>
      </c>
      <c r="K101" s="1077"/>
      <c r="L101" s="597"/>
    </row>
    <row r="102" spans="1:12" x14ac:dyDescent="0.2">
      <c r="A102" s="117">
        <f t="shared" si="21"/>
        <v>76</v>
      </c>
      <c r="B102" s="705" t="s">
        <v>1453</v>
      </c>
      <c r="C102" s="1083">
        <f t="shared" si="18"/>
        <v>0</v>
      </c>
      <c r="D102" s="1083">
        <f t="shared" si="19"/>
        <v>0</v>
      </c>
      <c r="E102" s="1083">
        <f t="shared" si="20"/>
        <v>0</v>
      </c>
      <c r="F102" s="1100">
        <v>0</v>
      </c>
      <c r="G102" s="1094">
        <f t="shared" si="22"/>
        <v>0</v>
      </c>
      <c r="H102" s="1094">
        <f t="shared" si="23"/>
        <v>0</v>
      </c>
      <c r="I102" s="1094">
        <f t="shared" si="24"/>
        <v>0</v>
      </c>
      <c r="J102" s="1175" t="s">
        <v>2213</v>
      </c>
      <c r="K102" s="1077"/>
      <c r="L102" s="597"/>
    </row>
    <row r="103" spans="1:12" x14ac:dyDescent="0.2">
      <c r="A103" s="117">
        <f t="shared" si="21"/>
        <v>77</v>
      </c>
      <c r="B103" s="705" t="s">
        <v>1454</v>
      </c>
      <c r="C103" s="1083">
        <f t="shared" si="18"/>
        <v>4594939.49</v>
      </c>
      <c r="D103" s="1083">
        <f t="shared" si="19"/>
        <v>4003257.1999999997</v>
      </c>
      <c r="E103" s="1083">
        <f t="shared" si="20"/>
        <v>591682.29</v>
      </c>
      <c r="F103" s="1100">
        <v>1</v>
      </c>
      <c r="G103" s="1094">
        <f t="shared" si="22"/>
        <v>4594939.49</v>
      </c>
      <c r="H103" s="1094">
        <f t="shared" si="23"/>
        <v>4003257.1999999997</v>
      </c>
      <c r="I103" s="1094">
        <f t="shared" si="24"/>
        <v>591682.29</v>
      </c>
      <c r="J103" s="1175" t="s">
        <v>2212</v>
      </c>
      <c r="K103" s="1077"/>
      <c r="L103" s="597"/>
    </row>
    <row r="104" spans="1:12" x14ac:dyDescent="0.2">
      <c r="A104" s="117">
        <f t="shared" si="21"/>
        <v>78</v>
      </c>
      <c r="B104" s="705" t="s">
        <v>1455</v>
      </c>
      <c r="C104" s="1083">
        <f t="shared" si="18"/>
        <v>0</v>
      </c>
      <c r="D104" s="1083">
        <f t="shared" si="19"/>
        <v>0</v>
      </c>
      <c r="E104" s="1083">
        <f t="shared" si="20"/>
        <v>0</v>
      </c>
      <c r="F104" s="1100">
        <v>0</v>
      </c>
      <c r="G104" s="1094">
        <f t="shared" si="22"/>
        <v>0</v>
      </c>
      <c r="H104" s="1094">
        <f t="shared" si="23"/>
        <v>0</v>
      </c>
      <c r="I104" s="1094">
        <f t="shared" si="24"/>
        <v>0</v>
      </c>
      <c r="J104" s="1175" t="s">
        <v>2213</v>
      </c>
      <c r="K104" s="1083"/>
      <c r="L104" s="708"/>
    </row>
    <row r="105" spans="1:12" x14ac:dyDescent="0.2">
      <c r="A105" s="117">
        <f t="shared" si="21"/>
        <v>79</v>
      </c>
      <c r="B105" s="705" t="s">
        <v>1456</v>
      </c>
      <c r="C105" s="1083">
        <f t="shared" si="18"/>
        <v>16881989.03000002</v>
      </c>
      <c r="D105" s="1083">
        <f t="shared" si="19"/>
        <v>11531073.530000024</v>
      </c>
      <c r="E105" s="1083">
        <f t="shared" si="20"/>
        <v>5350915.4999999963</v>
      </c>
      <c r="F105" s="1100">
        <f>'27-Allocators'!D42</f>
        <v>0.19701986754966888</v>
      </c>
      <c r="G105" s="1094">
        <f t="shared" si="22"/>
        <v>3326087.242665567</v>
      </c>
      <c r="H105" s="1094">
        <f t="shared" si="23"/>
        <v>2271850.5795860975</v>
      </c>
      <c r="I105" s="1094">
        <f t="shared" si="24"/>
        <v>1054236.6630794695</v>
      </c>
      <c r="J105" s="559" t="str">
        <f>"27-Allocators Line "&amp;'27-Allocators'!A42&amp;""</f>
        <v>27-Allocators Line 36</v>
      </c>
      <c r="K105" s="1077"/>
      <c r="L105" s="597"/>
    </row>
    <row r="106" spans="1:12" ht="12.75" customHeight="1" x14ac:dyDescent="0.2">
      <c r="A106" s="117">
        <f t="shared" si="21"/>
        <v>80</v>
      </c>
      <c r="B106" s="1095" t="s">
        <v>1457</v>
      </c>
      <c r="C106" s="1313">
        <f t="shared" si="18"/>
        <v>7272514.1900000032</v>
      </c>
      <c r="D106" s="1092">
        <f t="shared" si="19"/>
        <v>2359352.7500000023</v>
      </c>
      <c r="E106" s="1313">
        <f t="shared" si="20"/>
        <v>4913161.4400000013</v>
      </c>
      <c r="F106" s="1184">
        <f>'27-Allocators'!D48</f>
        <v>0.20440251572327045</v>
      </c>
      <c r="G106" s="1314">
        <f t="shared" si="22"/>
        <v>1486520.1960691833</v>
      </c>
      <c r="H106" s="1096">
        <f t="shared" si="23"/>
        <v>482257.63757861685</v>
      </c>
      <c r="I106" s="1314">
        <f t="shared" si="24"/>
        <v>1004262.5584905663</v>
      </c>
      <c r="J106" s="559" t="str">
        <f>"27-Allocators Line "&amp;'27-Allocators'!A48&amp;""</f>
        <v>27-Allocators Line 42</v>
      </c>
      <c r="K106" s="1083"/>
      <c r="L106" s="597"/>
    </row>
    <row r="107" spans="1:12" x14ac:dyDescent="0.2">
      <c r="A107" s="117">
        <f t="shared" si="21"/>
        <v>81</v>
      </c>
      <c r="B107" s="705" t="s">
        <v>1458</v>
      </c>
      <c r="C107" s="1083">
        <f t="shared" si="18"/>
        <v>1269360.8199999998</v>
      </c>
      <c r="D107" s="1083">
        <f t="shared" si="19"/>
        <v>0</v>
      </c>
      <c r="E107" s="1083">
        <f t="shared" si="20"/>
        <v>1269360.8199999998</v>
      </c>
      <c r="F107" s="1100">
        <v>1</v>
      </c>
      <c r="G107" s="1094">
        <f t="shared" si="22"/>
        <v>1269360.8199999998</v>
      </c>
      <c r="H107" s="1094">
        <f t="shared" si="23"/>
        <v>0</v>
      </c>
      <c r="I107" s="1094">
        <f t="shared" si="24"/>
        <v>1269360.8199999998</v>
      </c>
      <c r="J107" s="1175" t="s">
        <v>2212</v>
      </c>
      <c r="K107" s="1077"/>
      <c r="L107" s="597"/>
    </row>
    <row r="108" spans="1:12" x14ac:dyDescent="0.2">
      <c r="A108" s="117">
        <f t="shared" si="21"/>
        <v>82</v>
      </c>
      <c r="B108" s="705" t="s">
        <v>1459</v>
      </c>
      <c r="C108" s="1083">
        <f t="shared" si="18"/>
        <v>4850100.919999999</v>
      </c>
      <c r="D108" s="1083">
        <f t="shared" si="19"/>
        <v>3025175.7699999991</v>
      </c>
      <c r="E108" s="1083">
        <f t="shared" si="20"/>
        <v>1824925.1499999997</v>
      </c>
      <c r="F108" s="1100">
        <f>'27-Allocators'!D54</f>
        <v>0.49195324411316282</v>
      </c>
      <c r="G108" s="1094">
        <f t="shared" si="22"/>
        <v>2386022.8818702353</v>
      </c>
      <c r="H108" s="1094">
        <f t="shared" si="23"/>
        <v>1488245.0340640349</v>
      </c>
      <c r="I108" s="1094">
        <f t="shared" si="24"/>
        <v>897777.84780620015</v>
      </c>
      <c r="J108" s="559" t="str">
        <f>"27-Allocators Line "&amp;'27-Allocators'!A54&amp;""</f>
        <v>27-Allocators Line 48</v>
      </c>
      <c r="K108" s="1077"/>
      <c r="L108" s="597"/>
    </row>
    <row r="109" spans="1:12" x14ac:dyDescent="0.2">
      <c r="A109" s="117">
        <f t="shared" si="21"/>
        <v>83</v>
      </c>
      <c r="B109" s="705" t="s">
        <v>1460</v>
      </c>
      <c r="C109" s="1083">
        <f t="shared" si="18"/>
        <v>1293879.8700000001</v>
      </c>
      <c r="D109" s="1083">
        <f t="shared" si="19"/>
        <v>974808.04000000027</v>
      </c>
      <c r="E109" s="1083">
        <f t="shared" si="20"/>
        <v>319071.8299999999</v>
      </c>
      <c r="F109" s="1100">
        <f>'27-Allocators'!D60</f>
        <v>1.7142857142857144E-2</v>
      </c>
      <c r="G109" s="1094">
        <f t="shared" si="22"/>
        <v>22180.797771428573</v>
      </c>
      <c r="H109" s="1094">
        <f t="shared" si="23"/>
        <v>16710.994971428576</v>
      </c>
      <c r="I109" s="1094">
        <f t="shared" si="24"/>
        <v>5469.8027999999986</v>
      </c>
      <c r="J109" s="559" t="str">
        <f>"27-Allocators Line "&amp;'27-Allocators'!A60&amp;""</f>
        <v>27-Allocators Line 54</v>
      </c>
      <c r="K109" s="1077"/>
      <c r="L109" s="597"/>
    </row>
    <row r="110" spans="1:12" x14ac:dyDescent="0.2">
      <c r="A110" s="117">
        <f t="shared" si="21"/>
        <v>84</v>
      </c>
      <c r="B110" s="705" t="s">
        <v>1461</v>
      </c>
      <c r="C110" s="1083">
        <f t="shared" si="18"/>
        <v>0</v>
      </c>
      <c r="D110" s="1083">
        <f t="shared" si="19"/>
        <v>0</v>
      </c>
      <c r="E110" s="1083">
        <f t="shared" si="20"/>
        <v>0</v>
      </c>
      <c r="F110" s="1100">
        <v>0</v>
      </c>
      <c r="G110" s="1094">
        <f t="shared" si="22"/>
        <v>0</v>
      </c>
      <c r="H110" s="1094">
        <f t="shared" si="23"/>
        <v>0</v>
      </c>
      <c r="I110" s="1094">
        <f t="shared" si="24"/>
        <v>0</v>
      </c>
      <c r="J110" s="1175" t="s">
        <v>2213</v>
      </c>
      <c r="K110" s="1083"/>
      <c r="L110" s="708"/>
    </row>
    <row r="111" spans="1:12" x14ac:dyDescent="0.2">
      <c r="A111" s="117">
        <f t="shared" si="21"/>
        <v>85</v>
      </c>
      <c r="B111" s="705" t="s">
        <v>1462</v>
      </c>
      <c r="C111" s="1083">
        <f t="shared" si="18"/>
        <v>213116.22</v>
      </c>
      <c r="D111" s="1083">
        <f t="shared" si="19"/>
        <v>0</v>
      </c>
      <c r="E111" s="1083">
        <f t="shared" si="20"/>
        <v>213116.22</v>
      </c>
      <c r="F111" s="1100">
        <v>0</v>
      </c>
      <c r="G111" s="1094">
        <f t="shared" si="22"/>
        <v>0</v>
      </c>
      <c r="H111" s="1094">
        <f t="shared" si="23"/>
        <v>0</v>
      </c>
      <c r="I111" s="1094">
        <f t="shared" si="24"/>
        <v>0</v>
      </c>
      <c r="J111" s="1175" t="s">
        <v>2213</v>
      </c>
      <c r="K111" s="1077"/>
      <c r="L111" s="597"/>
    </row>
    <row r="112" spans="1:12" x14ac:dyDescent="0.2">
      <c r="A112" s="117">
        <f t="shared" si="21"/>
        <v>86</v>
      </c>
      <c r="B112" s="705" t="s">
        <v>1463</v>
      </c>
      <c r="C112" s="1083">
        <f t="shared" si="18"/>
        <v>7174782.3600000003</v>
      </c>
      <c r="D112" s="1083">
        <f t="shared" si="19"/>
        <v>0</v>
      </c>
      <c r="E112" s="1083">
        <f t="shared" si="20"/>
        <v>7174782.3600000003</v>
      </c>
      <c r="F112" s="1100">
        <v>1</v>
      </c>
      <c r="G112" s="1094">
        <f t="shared" si="22"/>
        <v>7174782.3600000003</v>
      </c>
      <c r="H112" s="1094">
        <f t="shared" si="23"/>
        <v>0</v>
      </c>
      <c r="I112" s="1094">
        <f t="shared" si="24"/>
        <v>7174782.3600000003</v>
      </c>
      <c r="J112" s="1175" t="s">
        <v>2212</v>
      </c>
      <c r="K112" s="1077"/>
      <c r="L112" s="597"/>
    </row>
    <row r="113" spans="1:12" x14ac:dyDescent="0.2">
      <c r="A113" s="117">
        <f t="shared" si="21"/>
        <v>87</v>
      </c>
      <c r="B113" s="705" t="s">
        <v>1464</v>
      </c>
      <c r="C113" s="1083">
        <f>SUM(D113:E113)</f>
        <v>0</v>
      </c>
      <c r="D113" s="1083">
        <f t="shared" ref="D113:E115" si="25">K27</f>
        <v>0</v>
      </c>
      <c r="E113" s="1083">
        <f t="shared" si="25"/>
        <v>0</v>
      </c>
      <c r="F113" s="1100">
        <v>0</v>
      </c>
      <c r="G113" s="1094">
        <f t="shared" si="22"/>
        <v>0</v>
      </c>
      <c r="H113" s="1094">
        <f t="shared" si="23"/>
        <v>0</v>
      </c>
      <c r="I113" s="1094">
        <f t="shared" si="24"/>
        <v>0</v>
      </c>
      <c r="J113" s="1175" t="s">
        <v>2213</v>
      </c>
      <c r="K113" s="1083"/>
      <c r="L113" s="708"/>
    </row>
    <row r="114" spans="1:12" x14ac:dyDescent="0.2">
      <c r="A114" s="117">
        <f t="shared" si="21"/>
        <v>88</v>
      </c>
      <c r="B114" s="705" t="s">
        <v>2124</v>
      </c>
      <c r="C114" s="1083">
        <f>J28</f>
        <v>7127151.0700000012</v>
      </c>
      <c r="D114" s="1083">
        <f t="shared" si="25"/>
        <v>5250031.1100000013</v>
      </c>
      <c r="E114" s="1083">
        <f t="shared" si="25"/>
        <v>1877119.9599999997</v>
      </c>
      <c r="F114" s="1315">
        <f>J204</f>
        <v>0.43779016105210444</v>
      </c>
      <c r="G114" s="1316">
        <f t="shared" si="22"/>
        <v>3120196.614777979</v>
      </c>
      <c r="H114" s="1316">
        <f t="shared" si="23"/>
        <v>2298411.9651754592</v>
      </c>
      <c r="I114" s="1094">
        <f t="shared" si="24"/>
        <v>821784.6496025197</v>
      </c>
      <c r="J114" s="559" t="s">
        <v>2210</v>
      </c>
      <c r="K114" s="559"/>
      <c r="L114" s="497"/>
    </row>
    <row r="115" spans="1:12" x14ac:dyDescent="0.2">
      <c r="A115" s="117">
        <f t="shared" si="21"/>
        <v>89</v>
      </c>
      <c r="B115" s="705" t="s">
        <v>2125</v>
      </c>
      <c r="C115" s="1083">
        <f>J29</f>
        <v>25539377.549999997</v>
      </c>
      <c r="D115" s="1083">
        <f t="shared" si="25"/>
        <v>7439645.5999999996</v>
      </c>
      <c r="E115" s="1083">
        <f t="shared" si="25"/>
        <v>18099731.949999999</v>
      </c>
      <c r="F115" s="1315">
        <f>J204</f>
        <v>0.43779016105210444</v>
      </c>
      <c r="G115" s="1316">
        <f t="shared" ref="G115" si="26">SUM(H115:I115)</f>
        <v>11180888.210785</v>
      </c>
      <c r="H115" s="1316">
        <f t="shared" ref="H115" si="27">D115*F115</f>
        <v>3257003.64539458</v>
      </c>
      <c r="I115" s="1094">
        <f t="shared" ref="I115" si="28">E115*F115</f>
        <v>7923884.5653904201</v>
      </c>
      <c r="J115" s="559" t="s">
        <v>2210</v>
      </c>
      <c r="K115" s="559"/>
      <c r="L115" s="497"/>
    </row>
    <row r="116" spans="1:12" x14ac:dyDescent="0.2">
      <c r="A116" s="117">
        <f t="shared" si="21"/>
        <v>90</v>
      </c>
      <c r="B116" s="705" t="s">
        <v>1465</v>
      </c>
      <c r="C116" s="1083">
        <f t="shared" ref="C116:C141" si="29">J30</f>
        <v>1285320.6399999999</v>
      </c>
      <c r="D116" s="1083">
        <f t="shared" ref="D116:D141" si="30">K30</f>
        <v>929087.54999999993</v>
      </c>
      <c r="E116" s="1083">
        <f t="shared" ref="E116:E141" si="31">L30</f>
        <v>356233.08999999991</v>
      </c>
      <c r="F116" s="1315">
        <f>'7-PlantStudy'!F28</f>
        <v>0.57310418450686607</v>
      </c>
      <c r="G116" s="1316">
        <f t="shared" si="22"/>
        <v>736622.63721704308</v>
      </c>
      <c r="H116" s="1316">
        <f t="shared" si="23"/>
        <v>532463.96267823211</v>
      </c>
      <c r="I116" s="1094">
        <f t="shared" si="24"/>
        <v>204158.67453881097</v>
      </c>
      <c r="J116" s="559" t="str">
        <f>"7-PlantStudy, Line "&amp;'7-PlantStudy'!A28&amp;", C3"</f>
        <v>7-PlantStudy, Line 21, C3</v>
      </c>
      <c r="K116" s="1077"/>
      <c r="L116" s="597"/>
    </row>
    <row r="117" spans="1:12" x14ac:dyDescent="0.2">
      <c r="A117" s="117">
        <f t="shared" si="21"/>
        <v>91</v>
      </c>
      <c r="B117" s="705" t="s">
        <v>1466</v>
      </c>
      <c r="C117" s="1083">
        <f t="shared" si="29"/>
        <v>1053464.77</v>
      </c>
      <c r="D117" s="1083">
        <f t="shared" si="30"/>
        <v>1003596.1200000001</v>
      </c>
      <c r="E117" s="1083">
        <f t="shared" si="31"/>
        <v>49868.649999999994</v>
      </c>
      <c r="F117" s="1315">
        <f>'7-PlantStudy'!F28</f>
        <v>0.57310418450686607</v>
      </c>
      <c r="G117" s="1316">
        <f t="shared" si="22"/>
        <v>603745.06791756325</v>
      </c>
      <c r="H117" s="1316">
        <f t="shared" si="23"/>
        <v>575165.13592685491</v>
      </c>
      <c r="I117" s="1094">
        <f t="shared" si="24"/>
        <v>28579.931990708323</v>
      </c>
      <c r="J117" s="559" t="str">
        <f>"7-PlantStudy, Line "&amp;'7-PlantStudy'!A28&amp;", C3"</f>
        <v>7-PlantStudy, Line 21, C3</v>
      </c>
      <c r="K117" s="1083"/>
      <c r="L117" s="708"/>
    </row>
    <row r="118" spans="1:12" x14ac:dyDescent="0.2">
      <c r="A118" s="117">
        <f t="shared" si="21"/>
        <v>92</v>
      </c>
      <c r="B118" s="705" t="s">
        <v>1467</v>
      </c>
      <c r="C118" s="1083">
        <f t="shared" si="29"/>
        <v>5352105.8000000007</v>
      </c>
      <c r="D118" s="1083">
        <f t="shared" si="30"/>
        <v>3370171.8300000015</v>
      </c>
      <c r="E118" s="1083">
        <f t="shared" si="31"/>
        <v>1981933.9699999997</v>
      </c>
      <c r="F118" s="1315">
        <f>'7-PlantStudy'!F28</f>
        <v>0.57310418450686607</v>
      </c>
      <c r="G118" s="1316">
        <f t="shared" si="22"/>
        <v>3067314.2299034689</v>
      </c>
      <c r="H118" s="1316">
        <f t="shared" si="23"/>
        <v>1931459.5782801632</v>
      </c>
      <c r="I118" s="1094">
        <f t="shared" si="24"/>
        <v>1135854.6516233054</v>
      </c>
      <c r="J118" s="559" t="str">
        <f>"7-PlantStudy, Line "&amp;'7-PlantStudy'!A28&amp;", C3"</f>
        <v>7-PlantStudy, Line 21, C3</v>
      </c>
      <c r="K118" s="559"/>
    </row>
    <row r="119" spans="1:12" x14ac:dyDescent="0.2">
      <c r="A119" s="117">
        <f t="shared" si="21"/>
        <v>93</v>
      </c>
      <c r="B119" s="705" t="s">
        <v>1468</v>
      </c>
      <c r="C119" s="1083">
        <f t="shared" si="29"/>
        <v>1879678.5100000005</v>
      </c>
      <c r="D119" s="1083">
        <f t="shared" si="30"/>
        <v>1713252.7900000005</v>
      </c>
      <c r="E119" s="1083">
        <f t="shared" si="31"/>
        <v>166425.71999999997</v>
      </c>
      <c r="F119" s="1315">
        <f>'7-PlantStudy'!F28</f>
        <v>0.57310418450686607</v>
      </c>
      <c r="G119" s="1316">
        <f t="shared" si="22"/>
        <v>1077251.6196086314</v>
      </c>
      <c r="H119" s="1316">
        <f t="shared" si="23"/>
        <v>981872.34306706337</v>
      </c>
      <c r="I119" s="1094">
        <f t="shared" si="24"/>
        <v>95379.276541568019</v>
      </c>
      <c r="J119" s="559" t="str">
        <f>"7-PlantStudy, Line "&amp;'7-PlantStudy'!A28&amp;", C3"</f>
        <v>7-PlantStudy, Line 21, C3</v>
      </c>
      <c r="K119" s="559"/>
    </row>
    <row r="120" spans="1:12" x14ac:dyDescent="0.2">
      <c r="A120" s="117">
        <f t="shared" si="21"/>
        <v>94</v>
      </c>
      <c r="B120" s="705" t="s">
        <v>1469</v>
      </c>
      <c r="C120" s="1083">
        <f t="shared" si="29"/>
        <v>-280150.78000000003</v>
      </c>
      <c r="D120" s="1083">
        <f t="shared" si="30"/>
        <v>0</v>
      </c>
      <c r="E120" s="1083">
        <f t="shared" si="31"/>
        <v>-280150.78000000003</v>
      </c>
      <c r="F120" s="1100">
        <v>1</v>
      </c>
      <c r="G120" s="1094">
        <f t="shared" si="22"/>
        <v>-280150.78000000003</v>
      </c>
      <c r="H120" s="1094">
        <f t="shared" si="23"/>
        <v>0</v>
      </c>
      <c r="I120" s="1094">
        <f t="shared" si="24"/>
        <v>-280150.78000000003</v>
      </c>
      <c r="J120" s="1175" t="s">
        <v>2212</v>
      </c>
      <c r="K120" s="559"/>
    </row>
    <row r="121" spans="1:12" x14ac:dyDescent="0.2">
      <c r="A121" s="117">
        <f t="shared" si="21"/>
        <v>95</v>
      </c>
      <c r="B121" s="705" t="s">
        <v>1470</v>
      </c>
      <c r="C121" s="1083">
        <f t="shared" si="29"/>
        <v>7966718.4199999999</v>
      </c>
      <c r="D121" s="1083">
        <f t="shared" si="30"/>
        <v>-536.06000000003723</v>
      </c>
      <c r="E121" s="1083">
        <f t="shared" si="31"/>
        <v>7967254.4799999995</v>
      </c>
      <c r="F121" s="1100">
        <f>'27-Allocators'!D66</f>
        <v>0.67794943915424144</v>
      </c>
      <c r="G121" s="1094">
        <f t="shared" si="22"/>
        <v>5401032.2847387642</v>
      </c>
      <c r="H121" s="1094">
        <f t="shared" si="23"/>
        <v>-363.4215763530479</v>
      </c>
      <c r="I121" s="1094">
        <f t="shared" si="24"/>
        <v>5401395.706315117</v>
      </c>
      <c r="J121" s="559" t="str">
        <f>"27-Allocators Line "&amp;'27-Allocators'!A66&amp;""</f>
        <v>27-Allocators Line 60</v>
      </c>
      <c r="K121" s="559"/>
    </row>
    <row r="122" spans="1:12" x14ac:dyDescent="0.2">
      <c r="A122" s="117">
        <f t="shared" si="21"/>
        <v>96</v>
      </c>
      <c r="B122" s="705" t="s">
        <v>1471</v>
      </c>
      <c r="C122" s="1083">
        <f t="shared" si="29"/>
        <v>1500000</v>
      </c>
      <c r="D122" s="1083">
        <f t="shared" si="30"/>
        <v>0</v>
      </c>
      <c r="E122" s="1083">
        <f t="shared" si="31"/>
        <v>1500000</v>
      </c>
      <c r="F122" s="1100">
        <f>'27-Allocators'!D72</f>
        <v>0.90784408084696822</v>
      </c>
      <c r="G122" s="1094">
        <f t="shared" si="22"/>
        <v>1361766.1212704524</v>
      </c>
      <c r="H122" s="1094">
        <f t="shared" si="23"/>
        <v>0</v>
      </c>
      <c r="I122" s="1094">
        <f t="shared" si="24"/>
        <v>1361766.1212704524</v>
      </c>
      <c r="J122" s="559" t="str">
        <f>"27-Allocators Line "&amp;'27-Allocators'!A72&amp;""</f>
        <v>27-Allocators Line 66</v>
      </c>
      <c r="K122" s="559"/>
    </row>
    <row r="123" spans="1:12" x14ac:dyDescent="0.2">
      <c r="A123" s="117">
        <f t="shared" si="21"/>
        <v>97</v>
      </c>
      <c r="B123" s="705" t="s">
        <v>1472</v>
      </c>
      <c r="C123" s="1083">
        <f t="shared" si="29"/>
        <v>24054.209999999981</v>
      </c>
      <c r="D123" s="1083">
        <f t="shared" si="30"/>
        <v>0</v>
      </c>
      <c r="E123" s="1083">
        <f t="shared" si="31"/>
        <v>24054.209999999981</v>
      </c>
      <c r="F123" s="1100">
        <v>1</v>
      </c>
      <c r="G123" s="1094">
        <f t="shared" si="22"/>
        <v>24054.209999999981</v>
      </c>
      <c r="H123" s="1094">
        <f t="shared" si="23"/>
        <v>0</v>
      </c>
      <c r="I123" s="1094">
        <f t="shared" si="24"/>
        <v>24054.209999999981</v>
      </c>
      <c r="J123" s="1175" t="s">
        <v>2212</v>
      </c>
      <c r="K123" s="559"/>
      <c r="L123" s="559"/>
    </row>
    <row r="124" spans="1:12" x14ac:dyDescent="0.2">
      <c r="A124" s="117">
        <f t="shared" si="21"/>
        <v>98</v>
      </c>
      <c r="B124" s="705" t="s">
        <v>1473</v>
      </c>
      <c r="C124" s="1083">
        <f t="shared" si="29"/>
        <v>314395.44000000006</v>
      </c>
      <c r="D124" s="1083">
        <f t="shared" si="30"/>
        <v>0</v>
      </c>
      <c r="E124" s="1083">
        <f t="shared" si="31"/>
        <v>314395.44000000006</v>
      </c>
      <c r="F124" s="1100">
        <v>1</v>
      </c>
      <c r="G124" s="1094">
        <f t="shared" si="22"/>
        <v>314395.44000000006</v>
      </c>
      <c r="H124" s="1094">
        <f t="shared" si="23"/>
        <v>0</v>
      </c>
      <c r="I124" s="1094">
        <f t="shared" si="24"/>
        <v>314395.44000000006</v>
      </c>
      <c r="J124" s="1175" t="s">
        <v>2212</v>
      </c>
      <c r="K124" s="559"/>
    </row>
    <row r="125" spans="1:12" x14ac:dyDescent="0.2">
      <c r="A125" s="117">
        <f t="shared" si="21"/>
        <v>99</v>
      </c>
      <c r="B125" s="705" t="s">
        <v>1474</v>
      </c>
      <c r="C125" s="1083">
        <f t="shared" si="29"/>
        <v>2282907.6800000011</v>
      </c>
      <c r="D125" s="1083">
        <f t="shared" si="30"/>
        <v>1817597.1500000011</v>
      </c>
      <c r="E125" s="1083">
        <f t="shared" si="31"/>
        <v>465310.53000000014</v>
      </c>
      <c r="F125" s="1100">
        <f>J209</f>
        <v>0.36662625065184673</v>
      </c>
      <c r="G125" s="1094">
        <f t="shared" si="22"/>
        <v>836973.88330270641</v>
      </c>
      <c r="H125" s="1094">
        <f t="shared" si="23"/>
        <v>666378.82829998271</v>
      </c>
      <c r="I125" s="1094">
        <f t="shared" si="24"/>
        <v>170595.0550027237</v>
      </c>
      <c r="J125" s="559" t="s">
        <v>2215</v>
      </c>
      <c r="K125" s="559"/>
      <c r="L125" s="548"/>
    </row>
    <row r="126" spans="1:12" x14ac:dyDescent="0.2">
      <c r="A126" s="117">
        <f t="shared" si="21"/>
        <v>100</v>
      </c>
      <c r="B126" s="705" t="s">
        <v>1475</v>
      </c>
      <c r="C126" s="1083">
        <f t="shared" si="29"/>
        <v>106702.95</v>
      </c>
      <c r="D126" s="1083">
        <f t="shared" si="30"/>
        <v>0</v>
      </c>
      <c r="E126" s="1083">
        <f t="shared" si="31"/>
        <v>106702.95</v>
      </c>
      <c r="F126" s="1100">
        <v>1</v>
      </c>
      <c r="G126" s="1094">
        <f t="shared" si="22"/>
        <v>106702.95</v>
      </c>
      <c r="H126" s="1094">
        <f t="shared" si="23"/>
        <v>0</v>
      </c>
      <c r="I126" s="1094">
        <f t="shared" si="24"/>
        <v>106702.95</v>
      </c>
      <c r="J126" s="1175" t="s">
        <v>2212</v>
      </c>
      <c r="K126" s="559"/>
    </row>
    <row r="127" spans="1:12" x14ac:dyDescent="0.2">
      <c r="A127" s="117">
        <f t="shared" si="21"/>
        <v>101</v>
      </c>
      <c r="B127" s="705" t="s">
        <v>1476</v>
      </c>
      <c r="C127" s="1083">
        <f t="shared" si="29"/>
        <v>34474.859999999993</v>
      </c>
      <c r="D127" s="1083">
        <f t="shared" si="30"/>
        <v>353.85999999999763</v>
      </c>
      <c r="E127" s="1083">
        <f t="shared" si="31"/>
        <v>34120.999999999993</v>
      </c>
      <c r="F127" s="1100">
        <f>J207</f>
        <v>0.23861633219484921</v>
      </c>
      <c r="G127" s="1094">
        <f t="shared" si="22"/>
        <v>8226.2646461309159</v>
      </c>
      <c r="H127" s="1094">
        <f t="shared" si="23"/>
        <v>84.436775310468775</v>
      </c>
      <c r="I127" s="1094">
        <f t="shared" si="24"/>
        <v>8141.827870820448</v>
      </c>
      <c r="J127" s="559" t="s">
        <v>2214</v>
      </c>
      <c r="K127" s="559"/>
    </row>
    <row r="128" spans="1:12" x14ac:dyDescent="0.2">
      <c r="A128" s="117">
        <f t="shared" si="21"/>
        <v>102</v>
      </c>
      <c r="B128" s="705" t="s">
        <v>2944</v>
      </c>
      <c r="C128" s="1083">
        <f t="shared" si="29"/>
        <v>414688.1400000006</v>
      </c>
      <c r="D128" s="1083">
        <f t="shared" si="30"/>
        <v>0</v>
      </c>
      <c r="E128" s="1083">
        <f t="shared" si="31"/>
        <v>414688.1400000006</v>
      </c>
      <c r="F128" s="1315">
        <f>J204</f>
        <v>0.43779016105210444</v>
      </c>
      <c r="G128" s="1316">
        <f t="shared" si="22"/>
        <v>181546.3875969979</v>
      </c>
      <c r="H128" s="1094">
        <f t="shared" si="23"/>
        <v>0</v>
      </c>
      <c r="I128" s="1094">
        <f t="shared" si="24"/>
        <v>181546.3875969979</v>
      </c>
      <c r="J128" s="559" t="s">
        <v>2210</v>
      </c>
      <c r="K128" s="559"/>
    </row>
    <row r="129" spans="1:12" x14ac:dyDescent="0.2">
      <c r="A129" s="117">
        <f t="shared" si="21"/>
        <v>103</v>
      </c>
      <c r="B129" s="705" t="s">
        <v>2945</v>
      </c>
      <c r="C129" s="1083">
        <f t="shared" si="29"/>
        <v>0</v>
      </c>
      <c r="D129" s="1083">
        <f t="shared" si="30"/>
        <v>0</v>
      </c>
      <c r="E129" s="1083">
        <f t="shared" si="31"/>
        <v>0</v>
      </c>
      <c r="F129" s="1315">
        <f>J204</f>
        <v>0.43779016105210444</v>
      </c>
      <c r="G129" s="1316">
        <f t="shared" si="22"/>
        <v>0</v>
      </c>
      <c r="H129" s="1094">
        <f t="shared" si="23"/>
        <v>0</v>
      </c>
      <c r="I129" s="1094">
        <f t="shared" si="24"/>
        <v>0</v>
      </c>
      <c r="J129" s="559" t="s">
        <v>2210</v>
      </c>
      <c r="K129" s="559"/>
    </row>
    <row r="130" spans="1:12" x14ac:dyDescent="0.2">
      <c r="A130" s="117">
        <f t="shared" si="21"/>
        <v>104</v>
      </c>
      <c r="B130" s="705" t="s">
        <v>2946</v>
      </c>
      <c r="C130" s="1083">
        <f t="shared" si="29"/>
        <v>501934.01999999955</v>
      </c>
      <c r="D130" s="1083">
        <f t="shared" si="30"/>
        <v>0</v>
      </c>
      <c r="E130" s="1083">
        <f t="shared" si="31"/>
        <v>501934.01999999955</v>
      </c>
      <c r="F130" s="1315">
        <f>J204</f>
        <v>0.43779016105210444</v>
      </c>
      <c r="G130" s="1316">
        <f t="shared" si="22"/>
        <v>219741.77545333002</v>
      </c>
      <c r="H130" s="1094">
        <f t="shared" si="23"/>
        <v>0</v>
      </c>
      <c r="I130" s="1094">
        <f t="shared" si="24"/>
        <v>219741.77545333002</v>
      </c>
      <c r="J130" s="559" t="s">
        <v>2210</v>
      </c>
      <c r="K130" s="559"/>
    </row>
    <row r="131" spans="1:12" x14ac:dyDescent="0.2">
      <c r="A131" s="117">
        <f t="shared" si="21"/>
        <v>105</v>
      </c>
      <c r="B131" s="705" t="s">
        <v>1477</v>
      </c>
      <c r="C131" s="1083">
        <f t="shared" si="29"/>
        <v>110077.86</v>
      </c>
      <c r="D131" s="1083">
        <f t="shared" si="30"/>
        <v>0</v>
      </c>
      <c r="E131" s="1083">
        <f t="shared" si="31"/>
        <v>110077.86</v>
      </c>
      <c r="F131" s="1100">
        <v>1</v>
      </c>
      <c r="G131" s="1094">
        <f t="shared" si="22"/>
        <v>110077.86</v>
      </c>
      <c r="H131" s="1094">
        <f t="shared" si="23"/>
        <v>0</v>
      </c>
      <c r="I131" s="1094">
        <f t="shared" si="24"/>
        <v>110077.86</v>
      </c>
      <c r="J131" s="1175" t="s">
        <v>2212</v>
      </c>
      <c r="K131" s="559"/>
    </row>
    <row r="132" spans="1:12" x14ac:dyDescent="0.2">
      <c r="A132" s="117">
        <f t="shared" si="21"/>
        <v>106</v>
      </c>
      <c r="B132" s="705" t="s">
        <v>1478</v>
      </c>
      <c r="C132" s="1083">
        <f t="shared" si="29"/>
        <v>919185.19000000053</v>
      </c>
      <c r="D132" s="1083">
        <f t="shared" si="30"/>
        <v>499563.45000000024</v>
      </c>
      <c r="E132" s="1083">
        <f t="shared" si="31"/>
        <v>419621.74000000028</v>
      </c>
      <c r="F132" s="1100">
        <f>'27-Allocators'!D78</f>
        <v>0.22505307855626328</v>
      </c>
      <c r="G132" s="1094">
        <f t="shared" si="22"/>
        <v>206865.45677282391</v>
      </c>
      <c r="H132" s="1094">
        <f t="shared" si="23"/>
        <v>112428.29235668796</v>
      </c>
      <c r="I132" s="1094">
        <f t="shared" si="24"/>
        <v>94437.164416135944</v>
      </c>
      <c r="J132" s="559" t="str">
        <f>"27-Allocators Line "&amp;'27-Allocators'!A78&amp;""</f>
        <v>27-Allocators Line 72</v>
      </c>
      <c r="K132" s="559"/>
      <c r="L132" s="271"/>
    </row>
    <row r="133" spans="1:12" x14ac:dyDescent="0.2">
      <c r="A133" s="117">
        <f t="shared" si="21"/>
        <v>107</v>
      </c>
      <c r="B133" s="705" t="s">
        <v>1479</v>
      </c>
      <c r="C133" s="1083">
        <f t="shared" si="29"/>
        <v>1743473.7100000009</v>
      </c>
      <c r="D133" s="1083">
        <f t="shared" si="30"/>
        <v>1352737.8100000008</v>
      </c>
      <c r="E133" s="1083">
        <f t="shared" si="31"/>
        <v>390735.9</v>
      </c>
      <c r="F133" s="1100">
        <f>'27-Allocators'!D84</f>
        <v>0.30381086803105151</v>
      </c>
      <c r="G133" s="1094">
        <f t="shared" si="22"/>
        <v>529686.26122441795</v>
      </c>
      <c r="H133" s="1094">
        <f t="shared" si="23"/>
        <v>410976.44827452383</v>
      </c>
      <c r="I133" s="1094">
        <f t="shared" si="24"/>
        <v>118709.81294989414</v>
      </c>
      <c r="J133" s="559" t="str">
        <f>"27-Allocators Line "&amp;'27-Allocators'!A84&amp;""</f>
        <v>27-Allocators Line 78</v>
      </c>
      <c r="K133" s="559"/>
      <c r="L133" s="271"/>
    </row>
    <row r="134" spans="1:12" x14ac:dyDescent="0.2">
      <c r="A134" s="117">
        <f t="shared" si="21"/>
        <v>108</v>
      </c>
      <c r="B134" s="705" t="s">
        <v>1480</v>
      </c>
      <c r="C134" s="1083">
        <f t="shared" si="29"/>
        <v>184880.10000000003</v>
      </c>
      <c r="D134" s="1083">
        <f t="shared" si="30"/>
        <v>457757.66999999987</v>
      </c>
      <c r="E134" s="1083">
        <f t="shared" si="31"/>
        <v>-272877.56999999983</v>
      </c>
      <c r="F134" s="1100">
        <f>'27-Allocators'!D90</f>
        <v>0.79166666666666663</v>
      </c>
      <c r="G134" s="1094">
        <f t="shared" si="22"/>
        <v>146363.41250000003</v>
      </c>
      <c r="H134" s="1094">
        <f t="shared" si="23"/>
        <v>362391.4887499999</v>
      </c>
      <c r="I134" s="1094">
        <f t="shared" si="24"/>
        <v>-216028.07624999987</v>
      </c>
      <c r="J134" s="559" t="str">
        <f>"27-Allocators Line "&amp;'27-Allocators'!A90&amp;""</f>
        <v>27-Allocators Line 84</v>
      </c>
      <c r="K134" s="559"/>
      <c r="L134" s="271"/>
    </row>
    <row r="135" spans="1:12" x14ac:dyDescent="0.2">
      <c r="A135" s="117">
        <f t="shared" si="21"/>
        <v>109</v>
      </c>
      <c r="B135" s="705" t="s">
        <v>1481</v>
      </c>
      <c r="C135" s="1083">
        <f t="shared" si="29"/>
        <v>2400625.339999998</v>
      </c>
      <c r="D135" s="1083">
        <f t="shared" si="30"/>
        <v>1307754.7399999974</v>
      </c>
      <c r="E135" s="1083">
        <f t="shared" si="31"/>
        <v>1092870.6000000008</v>
      </c>
      <c r="F135" s="1100">
        <f>J209</f>
        <v>0.36662625065184673</v>
      </c>
      <c r="G135" s="1094">
        <f t="shared" si="22"/>
        <v>880132.26762401406</v>
      </c>
      <c r="H135" s="1094">
        <f t="shared" si="23"/>
        <v>479457.21709837968</v>
      </c>
      <c r="I135" s="1094">
        <f t="shared" si="24"/>
        <v>400675.05052563443</v>
      </c>
      <c r="J135" s="559" t="s">
        <v>2215</v>
      </c>
      <c r="K135" s="559"/>
    </row>
    <row r="136" spans="1:12" x14ac:dyDescent="0.2">
      <c r="A136" s="117">
        <f t="shared" si="21"/>
        <v>110</v>
      </c>
      <c r="B136" s="550" t="s">
        <v>1884</v>
      </c>
      <c r="C136" s="1083">
        <f t="shared" si="29"/>
        <v>4422892.6099999985</v>
      </c>
      <c r="D136" s="1083">
        <f t="shared" si="30"/>
        <v>759766.47000000009</v>
      </c>
      <c r="E136" s="1083">
        <f t="shared" si="31"/>
        <v>3663126.1399999987</v>
      </c>
      <c r="F136" s="1100">
        <f>'27-Allocators'!D96</f>
        <v>0.315468445424545</v>
      </c>
      <c r="G136" s="1094">
        <f t="shared" si="22"/>
        <v>1395283.0559564079</v>
      </c>
      <c r="H136" s="1094">
        <f t="shared" si="23"/>
        <v>239682.34717659422</v>
      </c>
      <c r="I136" s="1094">
        <f t="shared" si="24"/>
        <v>1155600.7087798137</v>
      </c>
      <c r="J136" s="559" t="str">
        <f>"27-Allocators Line "&amp;'27-Allocators'!A96&amp;""</f>
        <v>27-Allocators Line 90</v>
      </c>
      <c r="K136" s="559"/>
    </row>
    <row r="137" spans="1:12" x14ac:dyDescent="0.2">
      <c r="A137" s="117">
        <f t="shared" si="21"/>
        <v>111</v>
      </c>
      <c r="B137" s="705" t="s">
        <v>1482</v>
      </c>
      <c r="C137" s="1083">
        <f t="shared" si="29"/>
        <v>788022.09</v>
      </c>
      <c r="D137" s="1083">
        <f t="shared" si="30"/>
        <v>0.88999999999998602</v>
      </c>
      <c r="E137" s="1083">
        <f t="shared" si="31"/>
        <v>788021.2</v>
      </c>
      <c r="F137" s="1100">
        <v>1</v>
      </c>
      <c r="G137" s="1094">
        <f t="shared" si="22"/>
        <v>788022.09</v>
      </c>
      <c r="H137" s="1094">
        <f t="shared" si="23"/>
        <v>0.88999999999998602</v>
      </c>
      <c r="I137" s="1094">
        <f t="shared" si="24"/>
        <v>788021.2</v>
      </c>
      <c r="J137" s="1175" t="s">
        <v>2212</v>
      </c>
      <c r="K137" s="559"/>
    </row>
    <row r="138" spans="1:12" x14ac:dyDescent="0.2">
      <c r="A138" s="117">
        <f t="shared" si="21"/>
        <v>112</v>
      </c>
      <c r="B138" s="705" t="s">
        <v>1483</v>
      </c>
      <c r="C138" s="1083">
        <f t="shared" si="29"/>
        <v>2584988.5199999972</v>
      </c>
      <c r="D138" s="1083">
        <f t="shared" si="30"/>
        <v>1812440.7099999972</v>
      </c>
      <c r="E138" s="1083">
        <f t="shared" si="31"/>
        <v>772547.80999999994</v>
      </c>
      <c r="F138" s="1100">
        <f>'27-Allocators'!D54</f>
        <v>0.49195324411316282</v>
      </c>
      <c r="G138" s="1094">
        <f t="shared" si="22"/>
        <v>1271693.4884092819</v>
      </c>
      <c r="H138" s="1094">
        <f t="shared" si="23"/>
        <v>891636.0870472627</v>
      </c>
      <c r="I138" s="1094">
        <f t="shared" si="24"/>
        <v>380057.4013620193</v>
      </c>
      <c r="J138" s="559" t="str">
        <f>"27-Allocators Line "&amp;'27-Allocators'!A54&amp;""</f>
        <v>27-Allocators Line 48</v>
      </c>
      <c r="K138" s="559"/>
      <c r="L138" s="559"/>
    </row>
    <row r="139" spans="1:12" x14ac:dyDescent="0.2">
      <c r="A139" s="117">
        <f t="shared" si="21"/>
        <v>113</v>
      </c>
      <c r="B139" s="705" t="s">
        <v>1484</v>
      </c>
      <c r="C139" s="1083">
        <f t="shared" si="29"/>
        <v>7442521.8499999987</v>
      </c>
      <c r="D139" s="1083">
        <f t="shared" si="30"/>
        <v>3522714.0199999972</v>
      </c>
      <c r="E139" s="1083">
        <f t="shared" si="31"/>
        <v>3919807.8300000015</v>
      </c>
      <c r="F139" s="1100">
        <f>'27-Allocators'!D54</f>
        <v>0.49195324411316282</v>
      </c>
      <c r="G139" s="1094">
        <f t="shared" si="22"/>
        <v>3661372.7684905976</v>
      </c>
      <c r="H139" s="1094">
        <f t="shared" si="23"/>
        <v>1733010.5902219198</v>
      </c>
      <c r="I139" s="1094">
        <f t="shared" si="24"/>
        <v>1928362.1782686778</v>
      </c>
      <c r="J139" s="559" t="str">
        <f>"27-Allocators Line "&amp;'27-Allocators'!A54&amp;""</f>
        <v>27-Allocators Line 48</v>
      </c>
      <c r="K139" s="559"/>
      <c r="L139" s="559"/>
    </row>
    <row r="140" spans="1:12" x14ac:dyDescent="0.2">
      <c r="A140" s="117">
        <f t="shared" si="21"/>
        <v>114</v>
      </c>
      <c r="B140" s="705" t="s">
        <v>1485</v>
      </c>
      <c r="C140" s="1083">
        <f t="shared" si="29"/>
        <v>12468841.099999962</v>
      </c>
      <c r="D140" s="1083">
        <f t="shared" si="30"/>
        <v>1207068.9399999978</v>
      </c>
      <c r="E140" s="1083">
        <f t="shared" si="31"/>
        <v>11261772.159999965</v>
      </c>
      <c r="F140" s="1100">
        <f>'27-Allocators'!D54</f>
        <v>0.49195324411316282</v>
      </c>
      <c r="G140" s="1094">
        <f t="shared" si="22"/>
        <v>6134086.8294765195</v>
      </c>
      <c r="H140" s="1094">
        <f t="shared" si="23"/>
        <v>593821.4809012356</v>
      </c>
      <c r="I140" s="1094">
        <f t="shared" si="24"/>
        <v>5540265.3485752838</v>
      </c>
      <c r="J140" s="559" t="str">
        <f>"27-Allocators Line "&amp;'27-Allocators'!A54&amp;""</f>
        <v>27-Allocators Line 48</v>
      </c>
      <c r="K140" s="559"/>
      <c r="L140" s="559"/>
    </row>
    <row r="141" spans="1:12" x14ac:dyDescent="0.2">
      <c r="A141" s="117">
        <f t="shared" si="21"/>
        <v>115</v>
      </c>
      <c r="B141" s="705" t="s">
        <v>1683</v>
      </c>
      <c r="C141" s="1083">
        <f t="shared" si="29"/>
        <v>6496602.0800000019</v>
      </c>
      <c r="D141" s="1083">
        <f t="shared" si="30"/>
        <v>1071427.3799999994</v>
      </c>
      <c r="E141" s="1083">
        <f t="shared" si="31"/>
        <v>5425174.700000002</v>
      </c>
      <c r="F141" s="1100">
        <f>'27-Allocators'!D102</f>
        <v>0.21465806014087907</v>
      </c>
      <c r="G141" s="1094">
        <f t="shared" ref="G141" si="32">SUM(H141:I141)</f>
        <v>1394548.0000000002</v>
      </c>
      <c r="H141" s="1094">
        <f t="shared" ref="H141" si="33">D141*F141</f>
        <v>229990.52297262437</v>
      </c>
      <c r="I141" s="1094">
        <f t="shared" ref="I141" si="34">E141*F141</f>
        <v>1164557.4770273759</v>
      </c>
      <c r="J141" s="559" t="str">
        <f>"27-Allocators Line "&amp;'27-Allocators'!A102&amp;""</f>
        <v>27-Allocators Line 96</v>
      </c>
      <c r="K141" s="559"/>
      <c r="L141" s="559"/>
    </row>
    <row r="142" spans="1:12" x14ac:dyDescent="0.2">
      <c r="A142" s="117">
        <f t="shared" si="21"/>
        <v>116</v>
      </c>
      <c r="B142" s="705" t="s">
        <v>1486</v>
      </c>
      <c r="C142" s="1083">
        <f t="shared" ref="C142" si="35">J56</f>
        <v>474217.91000000003</v>
      </c>
      <c r="D142" s="1083">
        <f t="shared" ref="D142:E145" si="36">K56</f>
        <v>0</v>
      </c>
      <c r="E142" s="1083">
        <f t="shared" si="36"/>
        <v>474217.91000000003</v>
      </c>
      <c r="F142" s="1100">
        <v>1</v>
      </c>
      <c r="G142" s="1094">
        <f t="shared" si="22"/>
        <v>474217.91000000003</v>
      </c>
      <c r="H142" s="1094">
        <f t="shared" si="23"/>
        <v>0</v>
      </c>
      <c r="I142" s="1094">
        <f t="shared" si="24"/>
        <v>474217.91000000003</v>
      </c>
      <c r="J142" s="1175" t="s">
        <v>2212</v>
      </c>
      <c r="K142" s="559"/>
      <c r="L142" s="559"/>
    </row>
    <row r="143" spans="1:12" x14ac:dyDescent="0.2">
      <c r="A143" s="117">
        <f t="shared" si="21"/>
        <v>117</v>
      </c>
      <c r="B143" s="705" t="s">
        <v>1487</v>
      </c>
      <c r="C143" s="1083">
        <f>J57</f>
        <v>342167.80999999994</v>
      </c>
      <c r="D143" s="1083">
        <f t="shared" si="36"/>
        <v>110697.83000000002</v>
      </c>
      <c r="E143" s="1083">
        <f t="shared" si="36"/>
        <v>231469.97999999992</v>
      </c>
      <c r="F143" s="1100">
        <f>'27-Allocators'!D60</f>
        <v>1.7142857142857144E-2</v>
      </c>
      <c r="G143" s="1094">
        <f t="shared" si="22"/>
        <v>5865.733885714285</v>
      </c>
      <c r="H143" s="1094">
        <f t="shared" si="23"/>
        <v>1897.677085714286</v>
      </c>
      <c r="I143" s="1094">
        <f t="shared" si="24"/>
        <v>3968.0567999999989</v>
      </c>
      <c r="J143" s="559" t="str">
        <f>"27-Allocators Line "&amp;'27-Allocators'!A60&amp;""</f>
        <v>27-Allocators Line 54</v>
      </c>
      <c r="K143" s="559"/>
    </row>
    <row r="144" spans="1:12" x14ac:dyDescent="0.2">
      <c r="A144" s="117">
        <f t="shared" si="21"/>
        <v>118</v>
      </c>
      <c r="B144" s="705" t="s">
        <v>1488</v>
      </c>
      <c r="C144" s="1083">
        <f>J58</f>
        <v>17493.63</v>
      </c>
      <c r="D144" s="1083">
        <f t="shared" si="36"/>
        <v>0</v>
      </c>
      <c r="E144" s="1083">
        <f t="shared" si="36"/>
        <v>17493.63</v>
      </c>
      <c r="F144" s="1100">
        <v>1</v>
      </c>
      <c r="G144" s="1094">
        <f t="shared" si="22"/>
        <v>17493.63</v>
      </c>
      <c r="H144" s="1094">
        <f t="shared" si="23"/>
        <v>0</v>
      </c>
      <c r="I144" s="1094">
        <f t="shared" si="24"/>
        <v>17493.63</v>
      </c>
      <c r="J144" s="1175" t="s">
        <v>2212</v>
      </c>
      <c r="K144" s="559"/>
    </row>
    <row r="145" spans="1:12" x14ac:dyDescent="0.2">
      <c r="A145" s="117">
        <f t="shared" si="21"/>
        <v>119</v>
      </c>
      <c r="B145" s="705" t="s">
        <v>1489</v>
      </c>
      <c r="C145" s="1083">
        <f>J59</f>
        <v>3148853.0800000005</v>
      </c>
      <c r="D145" s="1083">
        <f t="shared" si="36"/>
        <v>473032.69000000041</v>
      </c>
      <c r="E145" s="1083">
        <f t="shared" si="36"/>
        <v>2675820.39</v>
      </c>
      <c r="F145" s="1100">
        <f>'27-Allocators'!D108</f>
        <v>0.46062100803299011</v>
      </c>
      <c r="G145" s="1094">
        <f t="shared" si="22"/>
        <v>1450427.879857386</v>
      </c>
      <c r="H145" s="1094">
        <f t="shared" si="23"/>
        <v>217888.79450035712</v>
      </c>
      <c r="I145" s="1094">
        <f t="shared" si="24"/>
        <v>1232539.0853570288</v>
      </c>
      <c r="J145" s="559" t="str">
        <f>"27-Allocators Line "&amp;'27-Allocators'!A108&amp;""</f>
        <v>27-Allocators Line 102</v>
      </c>
      <c r="K145" s="559"/>
      <c r="L145" s="271"/>
    </row>
    <row r="146" spans="1:12" x14ac:dyDescent="0.2">
      <c r="A146" s="117">
        <f t="shared" si="21"/>
        <v>120</v>
      </c>
      <c r="B146" s="620" t="s">
        <v>567</v>
      </c>
      <c r="C146" s="1071" t="s">
        <v>88</v>
      </c>
      <c r="D146" s="1071" t="s">
        <v>88</v>
      </c>
      <c r="E146" s="1071" t="s">
        <v>88</v>
      </c>
      <c r="F146" s="1071" t="s">
        <v>88</v>
      </c>
      <c r="G146" s="1071" t="s">
        <v>88</v>
      </c>
      <c r="H146" s="1071" t="s">
        <v>88</v>
      </c>
      <c r="I146" s="1071" t="s">
        <v>88</v>
      </c>
      <c r="J146" s="559"/>
      <c r="K146" s="559"/>
    </row>
    <row r="147" spans="1:12" x14ac:dyDescent="0.2">
      <c r="A147" s="117">
        <f t="shared" si="21"/>
        <v>121</v>
      </c>
      <c r="B147" s="705" t="s">
        <v>2582</v>
      </c>
      <c r="C147" s="1318">
        <f>J61</f>
        <v>7840039.9222637657</v>
      </c>
      <c r="D147" s="1318">
        <f>K61</f>
        <v>7840039.9222637657</v>
      </c>
      <c r="E147" s="1318">
        <f>L61</f>
        <v>0</v>
      </c>
      <c r="F147" s="1097"/>
      <c r="G147" s="1319">
        <f>SUM(H147:I147)</f>
        <v>3418395.0276571522</v>
      </c>
      <c r="H147" s="1319">
        <f>D147*C198</f>
        <v>3418395.0276571522</v>
      </c>
      <c r="I147" s="1098">
        <v>0</v>
      </c>
      <c r="J147" s="559"/>
      <c r="K147" s="559"/>
    </row>
    <row r="148" spans="1:12" x14ac:dyDescent="0.2">
      <c r="A148" s="117">
        <f t="shared" si="21"/>
        <v>122</v>
      </c>
      <c r="B148" s="497" t="s">
        <v>1511</v>
      </c>
      <c r="C148" s="1317">
        <f>SUM(C97:C147)</f>
        <v>167306996.90226376</v>
      </c>
      <c r="D148" s="1317">
        <f>SUM(D97:D147)</f>
        <v>74829947.022263765</v>
      </c>
      <c r="E148" s="1317">
        <f>SUM(E97:E147)</f>
        <v>92477049.879999965</v>
      </c>
      <c r="F148" s="1312"/>
      <c r="G148" s="1317">
        <f>SUM(G97:G147)</f>
        <v>78502600.850635275</v>
      </c>
      <c r="H148" s="1317">
        <f>SUM(H97:H147)</f>
        <v>32627170.44263396</v>
      </c>
      <c r="I148" s="1317">
        <f>SUM(I97:I147)</f>
        <v>45875430.408001311</v>
      </c>
      <c r="J148" s="559"/>
      <c r="K148" s="1058"/>
      <c r="L148" s="559"/>
    </row>
    <row r="149" spans="1:12" x14ac:dyDescent="0.2">
      <c r="A149" s="117">
        <f t="shared" si="21"/>
        <v>123</v>
      </c>
      <c r="B149" s="597"/>
      <c r="C149" s="708"/>
      <c r="D149" s="708"/>
      <c r="E149" s="708"/>
      <c r="F149" s="1099"/>
      <c r="G149" s="1100"/>
      <c r="H149" s="1094"/>
      <c r="I149" s="1094"/>
      <c r="J149" s="1094"/>
      <c r="K149" s="1058"/>
    </row>
    <row r="150" spans="1:12" x14ac:dyDescent="0.2">
      <c r="A150" s="117"/>
      <c r="B150" s="498"/>
      <c r="C150" s="506"/>
      <c r="D150" s="506"/>
      <c r="E150" s="506"/>
      <c r="F150" s="507"/>
      <c r="G150" s="508"/>
      <c r="H150" s="506"/>
      <c r="I150" s="506"/>
      <c r="J150" s="506"/>
      <c r="K150" s="559"/>
    </row>
    <row r="151" spans="1:12" x14ac:dyDescent="0.2">
      <c r="A151" s="117"/>
      <c r="B151" s="90" t="s">
        <v>396</v>
      </c>
      <c r="C151" s="485" t="s">
        <v>380</v>
      </c>
      <c r="D151" s="485" t="s">
        <v>381</v>
      </c>
      <c r="E151" s="485" t="s">
        <v>382</v>
      </c>
      <c r="F151" s="486" t="s">
        <v>383</v>
      </c>
      <c r="G151" s="485" t="s">
        <v>384</v>
      </c>
      <c r="H151" s="485" t="s">
        <v>385</v>
      </c>
      <c r="I151" s="485" t="s">
        <v>599</v>
      </c>
      <c r="J151" s="1173" t="s">
        <v>1048</v>
      </c>
      <c r="K151" s="559"/>
    </row>
    <row r="152" spans="1:12" x14ac:dyDescent="0.2">
      <c r="A152" s="117"/>
      <c r="C152" s="1077" t="s">
        <v>1507</v>
      </c>
      <c r="D152" s="1077" t="s">
        <v>1508</v>
      </c>
      <c r="E152" s="1077" t="s">
        <v>1509</v>
      </c>
      <c r="F152" s="1090" t="s">
        <v>1314</v>
      </c>
      <c r="G152" s="661" t="s">
        <v>1437</v>
      </c>
      <c r="H152" s="662" t="s">
        <v>1936</v>
      </c>
      <c r="I152" s="662" t="s">
        <v>1937</v>
      </c>
      <c r="J152" s="559"/>
      <c r="K152" s="559"/>
    </row>
    <row r="153" spans="1:12" x14ac:dyDescent="0.2">
      <c r="A153" s="117"/>
      <c r="C153" s="1077"/>
      <c r="D153" s="1077"/>
      <c r="E153" s="1077"/>
      <c r="F153" s="1089"/>
      <c r="G153" s="1090"/>
      <c r="H153" s="597"/>
      <c r="I153" s="597"/>
      <c r="J153" s="1077"/>
      <c r="K153" s="559"/>
    </row>
    <row r="154" spans="1:12" x14ac:dyDescent="0.2">
      <c r="A154" s="117"/>
      <c r="B154" s="1421" t="s">
        <v>1441</v>
      </c>
      <c r="C154" s="1422" t="s">
        <v>1444</v>
      </c>
      <c r="D154" s="1419"/>
      <c r="E154" s="1420"/>
      <c r="F154" s="504" t="s">
        <v>1647</v>
      </c>
      <c r="G154" s="1413" t="s">
        <v>1510</v>
      </c>
      <c r="H154" s="1414"/>
      <c r="I154" s="1415"/>
      <c r="J154" s="1174" t="s">
        <v>2040</v>
      </c>
      <c r="K154" s="559"/>
    </row>
    <row r="155" spans="1:12" x14ac:dyDescent="0.2">
      <c r="A155" s="117"/>
      <c r="B155" s="1421"/>
      <c r="C155" s="1056" t="s">
        <v>217</v>
      </c>
      <c r="D155" s="490" t="s">
        <v>1445</v>
      </c>
      <c r="E155" s="490" t="s">
        <v>1446</v>
      </c>
      <c r="F155" s="504" t="s">
        <v>480</v>
      </c>
      <c r="G155" s="1056" t="s">
        <v>217</v>
      </c>
      <c r="H155" s="490" t="s">
        <v>1445</v>
      </c>
      <c r="I155" s="490" t="s">
        <v>1446</v>
      </c>
      <c r="J155" s="1118" t="s">
        <v>226</v>
      </c>
      <c r="K155" s="559"/>
    </row>
    <row r="156" spans="1:12" ht="12.75" customHeight="1" x14ac:dyDescent="0.2">
      <c r="A156" s="117"/>
      <c r="B156" s="499" t="s">
        <v>1491</v>
      </c>
      <c r="C156" s="708"/>
      <c r="D156" s="708"/>
      <c r="E156" s="708"/>
      <c r="F156" s="1099"/>
      <c r="G156" s="1100"/>
      <c r="H156" s="1094"/>
      <c r="I156" s="1094"/>
      <c r="J156" s="1094"/>
      <c r="K156" s="559"/>
    </row>
    <row r="157" spans="1:12" ht="12.75" customHeight="1" x14ac:dyDescent="0.2">
      <c r="A157" s="117">
        <f>A149+1</f>
        <v>124</v>
      </c>
      <c r="B157" s="568" t="s">
        <v>1492</v>
      </c>
      <c r="C157" s="708">
        <f t="shared" ref="C157:E164" si="37">J71</f>
        <v>19976391.669999994</v>
      </c>
      <c r="D157" s="708">
        <f t="shared" si="37"/>
        <v>13694748.369999995</v>
      </c>
      <c r="E157" s="708">
        <f t="shared" si="37"/>
        <v>6281643.2999999989</v>
      </c>
      <c r="F157" s="1185">
        <f>J215</f>
        <v>2.4211854047218116E-2</v>
      </c>
      <c r="G157" s="1094">
        <f t="shared" ref="G157:G164" si="38">SUM(H157:I157)</f>
        <v>483665.47950410366</v>
      </c>
      <c r="H157" s="1094">
        <f>D157*F157</f>
        <v>331575.24874781811</v>
      </c>
      <c r="I157" s="1094">
        <f>E157*F157</f>
        <v>152090.23075628554</v>
      </c>
      <c r="J157" s="559" t="s">
        <v>2216</v>
      </c>
      <c r="K157" s="559"/>
    </row>
    <row r="158" spans="1:12" ht="12.75" customHeight="1" x14ac:dyDescent="0.2">
      <c r="A158" s="117">
        <f t="shared" ref="A158:A167" si="39">A157+1</f>
        <v>125</v>
      </c>
      <c r="B158" s="568" t="s">
        <v>1493</v>
      </c>
      <c r="C158" s="708">
        <f t="shared" si="37"/>
        <v>10011035.219999999</v>
      </c>
      <c r="D158" s="708">
        <f t="shared" si="37"/>
        <v>7181278.4099999983</v>
      </c>
      <c r="E158" s="708">
        <f t="shared" si="37"/>
        <v>2829756.8100000005</v>
      </c>
      <c r="F158" s="1185">
        <f>J215</f>
        <v>2.4211854047218116E-2</v>
      </c>
      <c r="G158" s="1094">
        <f t="shared" si="38"/>
        <v>242385.72360820006</v>
      </c>
      <c r="H158" s="1094">
        <f t="shared" ref="H158:H165" si="40">D158*F158</f>
        <v>173872.06473535852</v>
      </c>
      <c r="I158" s="1094">
        <f t="shared" ref="I158:I165" si="41">E158*F158</f>
        <v>68513.658872841537</v>
      </c>
      <c r="J158" s="559" t="s">
        <v>2216</v>
      </c>
      <c r="K158" s="559"/>
    </row>
    <row r="159" spans="1:12" ht="12.75" customHeight="1" x14ac:dyDescent="0.2">
      <c r="A159" s="117">
        <f t="shared" si="39"/>
        <v>126</v>
      </c>
      <c r="B159" s="568" t="s">
        <v>1494</v>
      </c>
      <c r="C159" s="708">
        <f t="shared" si="37"/>
        <v>2267016.58</v>
      </c>
      <c r="D159" s="708">
        <f t="shared" si="37"/>
        <v>1811480.8600000003</v>
      </c>
      <c r="E159" s="708">
        <f t="shared" si="37"/>
        <v>455535.72</v>
      </c>
      <c r="F159" s="1185">
        <f>J215</f>
        <v>2.4211854047218116E-2</v>
      </c>
      <c r="G159" s="1094">
        <f t="shared" si="38"/>
        <v>54888.674557583581</v>
      </c>
      <c r="H159" s="1094">
        <f t="shared" si="40"/>
        <v>43859.310191649165</v>
      </c>
      <c r="I159" s="1094">
        <f t="shared" si="41"/>
        <v>11029.364365934418</v>
      </c>
      <c r="J159" s="559" t="s">
        <v>2216</v>
      </c>
      <c r="K159" s="559"/>
    </row>
    <row r="160" spans="1:12" ht="12.75" customHeight="1" x14ac:dyDescent="0.2">
      <c r="A160" s="117">
        <f t="shared" si="39"/>
        <v>127</v>
      </c>
      <c r="B160" s="568" t="s">
        <v>1495</v>
      </c>
      <c r="C160" s="708">
        <f t="shared" si="37"/>
        <v>110635.80999999998</v>
      </c>
      <c r="D160" s="708">
        <f t="shared" si="37"/>
        <v>19025.289999999997</v>
      </c>
      <c r="E160" s="708">
        <f t="shared" si="37"/>
        <v>91610.51999999999</v>
      </c>
      <c r="F160" s="1185">
        <f>J215</f>
        <v>2.4211854047218116E-2</v>
      </c>
      <c r="G160" s="1094">
        <f t="shared" si="38"/>
        <v>2678.6980841157542</v>
      </c>
      <c r="H160" s="1094">
        <f t="shared" si="40"/>
        <v>460.63754468599831</v>
      </c>
      <c r="I160" s="1094">
        <f t="shared" si="41"/>
        <v>2218.0605394297559</v>
      </c>
      <c r="J160" s="559" t="s">
        <v>2216</v>
      </c>
      <c r="K160" s="559"/>
    </row>
    <row r="161" spans="1:12" ht="12.75" customHeight="1" x14ac:dyDescent="0.2">
      <c r="A161" s="117">
        <f t="shared" si="39"/>
        <v>128</v>
      </c>
      <c r="B161" s="568" t="s">
        <v>1496</v>
      </c>
      <c r="C161" s="708">
        <f t="shared" si="37"/>
        <v>792709.81</v>
      </c>
      <c r="D161" s="708">
        <f t="shared" si="37"/>
        <v>520742.43</v>
      </c>
      <c r="E161" s="708">
        <f t="shared" si="37"/>
        <v>271967.38000000006</v>
      </c>
      <c r="F161" s="1100">
        <f>'27-Allocators'!D114</f>
        <v>3.249390739236393E-3</v>
      </c>
      <c r="G161" s="1094">
        <f t="shared" si="38"/>
        <v>2575.8239155158408</v>
      </c>
      <c r="H161" s="1094">
        <f t="shared" si="40"/>
        <v>1692.0956295694557</v>
      </c>
      <c r="I161" s="1094">
        <f t="shared" si="41"/>
        <v>883.7282859463852</v>
      </c>
      <c r="J161" s="559" t="str">
        <f>"27-Allocators Line "&amp;'27-Allocators'!A114&amp;""</f>
        <v>27-Allocators Line 108</v>
      </c>
      <c r="K161" s="559"/>
    </row>
    <row r="162" spans="1:12" ht="12.75" customHeight="1" x14ac:dyDescent="0.2">
      <c r="A162" s="117">
        <f t="shared" si="39"/>
        <v>129</v>
      </c>
      <c r="B162" s="568" t="s">
        <v>1497</v>
      </c>
      <c r="C162" s="708">
        <f t="shared" si="37"/>
        <v>2143515.19</v>
      </c>
      <c r="D162" s="708">
        <f t="shared" si="37"/>
        <v>1792190.25</v>
      </c>
      <c r="E162" s="708">
        <f t="shared" si="37"/>
        <v>351324.94000000006</v>
      </c>
      <c r="F162" s="1100">
        <f>'27-Allocators'!D120</f>
        <v>1.8339333933393338E-2</v>
      </c>
      <c r="G162" s="1094">
        <f t="shared" si="38"/>
        <v>39310.640860711072</v>
      </c>
      <c r="H162" s="1094">
        <f t="shared" si="40"/>
        <v>32867.575466921691</v>
      </c>
      <c r="I162" s="1094">
        <f t="shared" si="41"/>
        <v>6443.0653937893794</v>
      </c>
      <c r="J162" s="559" t="str">
        <f>"27-Allocators Line "&amp;'27-Allocators'!A120&amp;""</f>
        <v>27-Allocators Line 114</v>
      </c>
      <c r="K162" s="559"/>
    </row>
    <row r="163" spans="1:12" ht="12.75" customHeight="1" x14ac:dyDescent="0.2">
      <c r="A163" s="117">
        <f t="shared" si="39"/>
        <v>130</v>
      </c>
      <c r="B163" s="568" t="s">
        <v>1498</v>
      </c>
      <c r="C163" s="708">
        <f t="shared" si="37"/>
        <v>579608.49999999988</v>
      </c>
      <c r="D163" s="708">
        <f t="shared" si="37"/>
        <v>450933.48999999987</v>
      </c>
      <c r="E163" s="708">
        <f t="shared" si="37"/>
        <v>128675.01000000001</v>
      </c>
      <c r="F163" s="1100">
        <f>'27-Allocators'!D126</f>
        <v>7.1759259259259259E-2</v>
      </c>
      <c r="G163" s="1094">
        <f t="shared" si="38"/>
        <v>41592.276620370365</v>
      </c>
      <c r="H163" s="1094">
        <f t="shared" si="40"/>
        <v>32358.653217592582</v>
      </c>
      <c r="I163" s="1094">
        <f t="shared" si="41"/>
        <v>9233.6234027777791</v>
      </c>
      <c r="J163" s="559" t="str">
        <f>"27-Allocators Line "&amp;'27-Allocators'!A126&amp;""</f>
        <v>27-Allocators Line 120</v>
      </c>
      <c r="K163" s="559"/>
    </row>
    <row r="164" spans="1:12" ht="12.75" customHeight="1" x14ac:dyDescent="0.2">
      <c r="A164" s="117">
        <f t="shared" si="39"/>
        <v>131</v>
      </c>
      <c r="B164" s="568" t="s">
        <v>1499</v>
      </c>
      <c r="C164" s="708">
        <f t="shared" si="37"/>
        <v>2721487.68</v>
      </c>
      <c r="D164" s="708">
        <f t="shared" si="37"/>
        <v>1031422.7700000001</v>
      </c>
      <c r="E164" s="708">
        <f t="shared" si="37"/>
        <v>1690064.9100000001</v>
      </c>
      <c r="F164" s="1185">
        <f>J215</f>
        <v>2.4211854047218116E-2</v>
      </c>
      <c r="G164" s="1094">
        <f t="shared" si="38"/>
        <v>65892.262499462246</v>
      </c>
      <c r="H164" s="1094">
        <f t="shared" si="40"/>
        <v>24972.657568217423</v>
      </c>
      <c r="I164" s="1094">
        <f t="shared" si="41"/>
        <v>40919.604931244823</v>
      </c>
      <c r="J164" s="559" t="s">
        <v>2216</v>
      </c>
      <c r="K164" s="559"/>
      <c r="L164" s="271"/>
    </row>
    <row r="165" spans="1:12" ht="12.75" customHeight="1" x14ac:dyDescent="0.35">
      <c r="A165" s="1176">
        <f t="shared" si="39"/>
        <v>132</v>
      </c>
      <c r="B165" s="1101" t="s">
        <v>1500</v>
      </c>
      <c r="C165" s="1102">
        <f t="shared" ref="C165:E166" si="42">J79</f>
        <v>428423013.63999999</v>
      </c>
      <c r="D165" s="708">
        <f t="shared" si="42"/>
        <v>179063608</v>
      </c>
      <c r="E165" s="708">
        <f t="shared" si="42"/>
        <v>249359405.63999999</v>
      </c>
      <c r="F165" s="1186">
        <v>0</v>
      </c>
      <c r="G165" s="509">
        <v>0</v>
      </c>
      <c r="H165" s="1094">
        <f t="shared" si="40"/>
        <v>0</v>
      </c>
      <c r="I165" s="1094">
        <f t="shared" si="41"/>
        <v>0</v>
      </c>
      <c r="J165" s="1175" t="s">
        <v>2213</v>
      </c>
      <c r="K165" s="559"/>
    </row>
    <row r="166" spans="1:12" ht="12.75" customHeight="1" x14ac:dyDescent="0.2">
      <c r="A166" s="117">
        <f t="shared" si="39"/>
        <v>133</v>
      </c>
      <c r="B166" s="705" t="s">
        <v>2583</v>
      </c>
      <c r="C166" s="1087">
        <f t="shared" si="42"/>
        <v>23688801.116737023</v>
      </c>
      <c r="D166" s="1087">
        <f t="shared" si="42"/>
        <v>23688801.116737023</v>
      </c>
      <c r="E166" s="1087">
        <f t="shared" si="42"/>
        <v>0</v>
      </c>
      <c r="F166" s="1187">
        <v>0</v>
      </c>
      <c r="G166" s="1098">
        <f>SUM(H166:I166)</f>
        <v>0</v>
      </c>
      <c r="H166" s="1098">
        <f>D166*F166</f>
        <v>0</v>
      </c>
      <c r="I166" s="1098">
        <f>E166*F166</f>
        <v>0</v>
      </c>
      <c r="J166" s="1175" t="s">
        <v>2213</v>
      </c>
      <c r="K166" s="559"/>
    </row>
    <row r="167" spans="1:12" x14ac:dyDescent="0.2">
      <c r="A167" s="117">
        <f t="shared" si="39"/>
        <v>134</v>
      </c>
      <c r="B167" s="498" t="s">
        <v>1512</v>
      </c>
      <c r="C167" s="708">
        <f>SUM(C157:C166)</f>
        <v>490714215.21673697</v>
      </c>
      <c r="D167" s="708">
        <f>SUM(D157:D166)</f>
        <v>229254230.98673701</v>
      </c>
      <c r="E167" s="708">
        <f>SUM(E157:E166)</f>
        <v>261459984.22999999</v>
      </c>
      <c r="F167" s="507"/>
      <c r="G167" s="1081">
        <f>SUM(G157:G165)</f>
        <v>932989.5796500626</v>
      </c>
      <c r="H167" s="1081">
        <f>SUM(H157:H165)</f>
        <v>641658.2431018129</v>
      </c>
      <c r="I167" s="1081">
        <f>SUM(I157:I165)</f>
        <v>291331.33654824959</v>
      </c>
      <c r="J167" s="559"/>
      <c r="K167" s="559"/>
    </row>
    <row r="168" spans="1:12" x14ac:dyDescent="0.2">
      <c r="A168" s="117">
        <f>+A167+1</f>
        <v>135</v>
      </c>
      <c r="B168" s="498"/>
      <c r="C168" s="708"/>
      <c r="D168" s="708"/>
      <c r="E168" s="708"/>
      <c r="F168" s="507"/>
      <c r="G168" s="1081"/>
      <c r="H168" s="1078"/>
      <c r="I168" s="510"/>
      <c r="J168" s="559"/>
      <c r="K168" s="559"/>
    </row>
    <row r="169" spans="1:12" x14ac:dyDescent="0.2">
      <c r="A169" s="117">
        <f>A168+1</f>
        <v>136</v>
      </c>
      <c r="B169" s="1077"/>
      <c r="C169" s="1083"/>
      <c r="D169" s="1083"/>
      <c r="E169" s="1083"/>
      <c r="F169" s="1099"/>
      <c r="G169" s="1094"/>
      <c r="H169" s="1094"/>
      <c r="I169" s="1094"/>
    </row>
    <row r="170" spans="1:12" ht="13.5" thickBot="1" x14ac:dyDescent="0.25">
      <c r="A170" s="117">
        <f>A169+1</f>
        <v>137</v>
      </c>
      <c r="B170" s="498" t="s">
        <v>1939</v>
      </c>
      <c r="C170" s="1310">
        <f>+C148+C167</f>
        <v>658021212.11900067</v>
      </c>
      <c r="D170" s="1083">
        <f>+D148+D167</f>
        <v>304084178.00900078</v>
      </c>
      <c r="E170" s="1310">
        <f>+E148+E167</f>
        <v>353937034.10999995</v>
      </c>
      <c r="F170" s="494"/>
      <c r="G170" s="1316">
        <f>SUM(H170:I170)</f>
        <v>79435590.430285335</v>
      </c>
      <c r="H170" s="1310">
        <f>+H148+H167</f>
        <v>33268828.685735773</v>
      </c>
      <c r="I170" s="1310">
        <f>+I148+I167</f>
        <v>46166761.744549558</v>
      </c>
    </row>
    <row r="171" spans="1:12" x14ac:dyDescent="0.2">
      <c r="A171" s="117">
        <f>A170+1</f>
        <v>138</v>
      </c>
      <c r="B171" s="561" t="str">
        <f>"Line "&amp;A148&amp;" +  Line "&amp;A167&amp;""</f>
        <v>Line 122 +  Line 134</v>
      </c>
      <c r="F171" s="1393" t="s">
        <v>2967</v>
      </c>
      <c r="G171" s="1394">
        <v>78441022</v>
      </c>
    </row>
    <row r="172" spans="1:12" ht="13.5" thickBot="1" x14ac:dyDescent="0.25">
      <c r="A172" s="559"/>
      <c r="F172" s="1395" t="s">
        <v>2968</v>
      </c>
      <c r="G172" s="1396">
        <f>G170-G171</f>
        <v>994568.43028533459</v>
      </c>
    </row>
    <row r="173" spans="1:12" x14ac:dyDescent="0.2">
      <c r="A173" s="559"/>
      <c r="B173" s="511" t="s">
        <v>258</v>
      </c>
    </row>
    <row r="174" spans="1:12" x14ac:dyDescent="0.2">
      <c r="A174" s="559"/>
      <c r="B174" s="1104" t="s">
        <v>1513</v>
      </c>
      <c r="G174" s="1105"/>
      <c r="H174" s="1106"/>
      <c r="I174" s="1106"/>
      <c r="J174" s="559"/>
      <c r="K174" s="559"/>
    </row>
    <row r="175" spans="1:12" x14ac:dyDescent="0.2">
      <c r="A175" s="559"/>
      <c r="B175" s="1107" t="s">
        <v>1514</v>
      </c>
      <c r="G175" s="1105"/>
      <c r="H175" s="1106"/>
      <c r="I175" s="1106"/>
      <c r="J175" s="559"/>
      <c r="K175" s="559"/>
    </row>
    <row r="176" spans="1:12" x14ac:dyDescent="0.2">
      <c r="A176" s="559"/>
      <c r="B176" s="1108" t="s">
        <v>1515</v>
      </c>
      <c r="G176" s="1105"/>
      <c r="H176" s="1106"/>
      <c r="I176" s="1106"/>
      <c r="J176" s="559"/>
      <c r="K176" s="559"/>
    </row>
    <row r="177" spans="1:11" x14ac:dyDescent="0.2">
      <c r="A177" s="559"/>
      <c r="B177" s="711" t="s">
        <v>1516</v>
      </c>
      <c r="G177" s="1105"/>
      <c r="H177" s="1106"/>
      <c r="I177" s="1106"/>
      <c r="J177" s="559"/>
      <c r="K177" s="559"/>
    </row>
    <row r="178" spans="1:11" x14ac:dyDescent="0.2">
      <c r="A178" s="559"/>
      <c r="B178" s="711" t="s">
        <v>1517</v>
      </c>
      <c r="G178" s="1105"/>
      <c r="H178" s="1106"/>
      <c r="I178" s="1106"/>
      <c r="J178" s="559"/>
      <c r="K178" s="559"/>
    </row>
    <row r="179" spans="1:11" x14ac:dyDescent="0.2">
      <c r="A179" s="559"/>
      <c r="B179" s="711" t="s">
        <v>1518</v>
      </c>
      <c r="G179" s="1105"/>
      <c r="H179" s="1106"/>
      <c r="I179" s="1106"/>
      <c r="J179" s="559"/>
      <c r="K179" s="559"/>
    </row>
    <row r="180" spans="1:11" x14ac:dyDescent="0.2">
      <c r="A180" s="559"/>
      <c r="B180" s="1177" t="s">
        <v>2018</v>
      </c>
      <c r="G180" s="1105"/>
      <c r="H180" s="1106"/>
      <c r="I180" s="1106"/>
      <c r="J180" s="559"/>
      <c r="K180" s="559"/>
    </row>
    <row r="181" spans="1:11" x14ac:dyDescent="0.2">
      <c r="A181" s="559"/>
      <c r="B181" s="711" t="s">
        <v>2943</v>
      </c>
      <c r="G181" s="1105"/>
      <c r="H181" s="1106"/>
      <c r="I181" s="1106"/>
      <c r="J181" s="559"/>
      <c r="K181" s="559"/>
    </row>
    <row r="182" spans="1:11" x14ac:dyDescent="0.2">
      <c r="A182" s="559"/>
      <c r="B182" s="711" t="s">
        <v>2942</v>
      </c>
      <c r="G182" s="1105"/>
      <c r="H182" s="1106"/>
      <c r="I182" s="1106"/>
      <c r="J182" s="559"/>
      <c r="K182" s="559"/>
    </row>
    <row r="183" spans="1:11" x14ac:dyDescent="0.2">
      <c r="A183" s="559"/>
      <c r="B183" s="711" t="s">
        <v>2941</v>
      </c>
      <c r="G183" s="1105"/>
      <c r="H183" s="1106"/>
      <c r="I183" s="1106"/>
      <c r="J183" s="559"/>
      <c r="K183" s="559"/>
    </row>
    <row r="184" spans="1:11" x14ac:dyDescent="0.2">
      <c r="A184" s="559"/>
      <c r="B184" s="711" t="s">
        <v>2915</v>
      </c>
      <c r="G184" s="1105"/>
      <c r="H184" s="1106"/>
      <c r="I184" s="1106"/>
      <c r="J184" s="559"/>
      <c r="K184" s="559"/>
    </row>
    <row r="185" spans="1:11" ht="13.5" thickBot="1" x14ac:dyDescent="0.25">
      <c r="A185" s="559"/>
      <c r="B185" s="1109" t="s">
        <v>2961</v>
      </c>
      <c r="C185" s="1069"/>
      <c r="D185" s="1069"/>
      <c r="E185" s="1069"/>
      <c r="F185" s="1070"/>
      <c r="G185" s="1110"/>
      <c r="H185" s="1111"/>
      <c r="I185" s="1111"/>
      <c r="J185" s="1069"/>
      <c r="K185" s="1069"/>
    </row>
    <row r="186" spans="1:11" ht="13.5" thickBot="1" x14ac:dyDescent="0.25">
      <c r="A186" s="559"/>
      <c r="B186" s="1267" t="s">
        <v>2964</v>
      </c>
      <c r="C186" s="1268"/>
      <c r="D186" s="1069"/>
      <c r="E186" s="1069"/>
      <c r="F186" s="1070"/>
      <c r="G186" s="1110"/>
      <c r="H186" s="1111"/>
      <c r="I186" s="1111"/>
      <c r="J186" s="1069"/>
      <c r="K186" s="1069"/>
    </row>
    <row r="187" spans="1:11" x14ac:dyDescent="0.2">
      <c r="A187" s="559"/>
      <c r="B187" s="559" t="s">
        <v>2593</v>
      </c>
      <c r="G187" s="1105"/>
      <c r="H187" s="1106"/>
      <c r="I187" s="1106"/>
      <c r="J187" s="559"/>
      <c r="K187" s="559"/>
    </row>
    <row r="188" spans="1:11" x14ac:dyDescent="0.2">
      <c r="A188" s="559"/>
      <c r="B188" s="559" t="s">
        <v>2584</v>
      </c>
      <c r="G188" s="1105"/>
      <c r="H188" s="1106"/>
      <c r="I188" s="1106"/>
      <c r="J188" s="559"/>
      <c r="K188" s="559"/>
    </row>
    <row r="189" spans="1:11" x14ac:dyDescent="0.2">
      <c r="A189" s="559"/>
      <c r="G189" s="1105"/>
      <c r="H189" s="1106"/>
      <c r="I189" s="1106"/>
      <c r="J189" s="559"/>
      <c r="K189" s="559"/>
    </row>
    <row r="190" spans="1:11" x14ac:dyDescent="0.2">
      <c r="A190" s="559"/>
      <c r="B190" s="1178" t="s">
        <v>2585</v>
      </c>
      <c r="C190" s="1069" t="str">
        <f>""&amp;A87&amp;""</f>
        <v>70</v>
      </c>
      <c r="G190" s="1105"/>
      <c r="H190" s="1106"/>
      <c r="I190" s="1106"/>
      <c r="J190" s="559"/>
      <c r="K190" s="559"/>
    </row>
    <row r="191" spans="1:11" x14ac:dyDescent="0.2">
      <c r="A191" s="559"/>
      <c r="G191" s="1105"/>
      <c r="H191" s="1106"/>
      <c r="I191" s="1106"/>
      <c r="J191" s="559"/>
      <c r="K191" s="559"/>
    </row>
    <row r="192" spans="1:11" x14ac:dyDescent="0.2">
      <c r="A192" s="559"/>
      <c r="B192" s="1112"/>
      <c r="C192" s="536" t="s">
        <v>1648</v>
      </c>
      <c r="D192" s="536" t="s">
        <v>173</v>
      </c>
      <c r="G192" s="1105"/>
      <c r="H192" s="1106"/>
      <c r="I192" s="1106"/>
      <c r="J192" s="559"/>
      <c r="K192" s="559"/>
    </row>
    <row r="193" spans="1:11" x14ac:dyDescent="0.2">
      <c r="A193" s="559"/>
      <c r="B193" s="1112" t="s">
        <v>2586</v>
      </c>
      <c r="C193" s="1113">
        <f>D62/D83</f>
        <v>0.24866248374197242</v>
      </c>
      <c r="D193" s="1112" t="str">
        <f>"Line "&amp;A62&amp;", Col 3 / Line "&amp;A83&amp;", Col 3"</f>
        <v>Line 52, Col 3 / Line 66, Col 3</v>
      </c>
      <c r="G193" s="1105"/>
      <c r="H193" s="1106"/>
      <c r="I193" s="1106"/>
      <c r="J193" s="559"/>
      <c r="K193" s="559"/>
    </row>
    <row r="194" spans="1:11" x14ac:dyDescent="0.2">
      <c r="A194" s="559"/>
      <c r="B194" s="1112" t="s">
        <v>2587</v>
      </c>
      <c r="C194" s="1113">
        <f>D81/D83</f>
        <v>0.75133751625802769</v>
      </c>
      <c r="D194" s="1112" t="str">
        <f>"Line "&amp;A81&amp;", Col 3 / Line "&amp;A83&amp;", Col 3"</f>
        <v>Line 64, Col 3 / Line 66, Col 3</v>
      </c>
      <c r="G194" s="1105"/>
      <c r="H194" s="1106"/>
      <c r="I194" s="1106"/>
      <c r="J194" s="559"/>
      <c r="K194" s="559"/>
    </row>
    <row r="195" spans="1:11" x14ac:dyDescent="0.2">
      <c r="A195" s="559"/>
      <c r="G195" s="1105"/>
      <c r="H195" s="1106"/>
      <c r="I195" s="1106"/>
      <c r="J195" s="559"/>
      <c r="K195" s="559"/>
    </row>
    <row r="196" spans="1:11" x14ac:dyDescent="0.2">
      <c r="A196" s="559"/>
      <c r="B196" s="559" t="s">
        <v>2588</v>
      </c>
      <c r="G196" s="1105"/>
      <c r="H196" s="1106"/>
      <c r="I196" s="1106"/>
      <c r="J196" s="559"/>
      <c r="K196" s="559"/>
    </row>
    <row r="197" spans="1:11" x14ac:dyDescent="0.2">
      <c r="A197" s="559"/>
      <c r="B197" s="559" t="s">
        <v>2589</v>
      </c>
      <c r="G197" s="1105"/>
      <c r="H197" s="1106"/>
      <c r="I197" s="1106"/>
      <c r="J197" s="559"/>
      <c r="K197" s="559"/>
    </row>
    <row r="198" spans="1:11" x14ac:dyDescent="0.2">
      <c r="A198" s="559"/>
      <c r="B198" s="559" t="s">
        <v>2039</v>
      </c>
      <c r="C198" s="1179">
        <f>(SUM(H97:H145)/SUM(D97:D145))</f>
        <v>0.4360175536797663</v>
      </c>
      <c r="G198" s="1105"/>
      <c r="H198" s="1106"/>
      <c r="I198" s="1106"/>
      <c r="J198" s="559"/>
      <c r="K198" s="559"/>
    </row>
    <row r="199" spans="1:11" x14ac:dyDescent="0.2">
      <c r="A199" s="559"/>
      <c r="B199" s="559" t="s">
        <v>1938</v>
      </c>
      <c r="G199" s="1105"/>
      <c r="H199" s="1106"/>
      <c r="I199" s="1106"/>
      <c r="J199" s="559"/>
      <c r="K199" s="559"/>
    </row>
    <row r="200" spans="1:11" x14ac:dyDescent="0.2">
      <c r="A200" s="559"/>
      <c r="B200" s="559" t="s">
        <v>2211</v>
      </c>
      <c r="G200" s="1105"/>
      <c r="H200" s="1106"/>
      <c r="I200" s="1106"/>
      <c r="J200" s="559"/>
      <c r="K200" s="559"/>
    </row>
    <row r="201" spans="1:11" x14ac:dyDescent="0.2">
      <c r="A201" s="559"/>
      <c r="B201" s="559"/>
      <c r="G201" s="1105"/>
      <c r="H201" s="1106"/>
      <c r="I201" s="1106"/>
      <c r="J201" s="559"/>
      <c r="K201" s="559"/>
    </row>
    <row r="202" spans="1:11" x14ac:dyDescent="0.2">
      <c r="A202" s="559"/>
      <c r="B202" s="559" t="s">
        <v>2209</v>
      </c>
      <c r="G202" s="1105"/>
      <c r="H202" s="1106"/>
      <c r="I202" s="1106"/>
      <c r="J202" s="559"/>
      <c r="K202" s="559"/>
    </row>
    <row r="203" spans="1:11" x14ac:dyDescent="0.2">
      <c r="A203" s="559"/>
      <c r="B203" s="1112" t="s">
        <v>2217</v>
      </c>
      <c r="G203" s="1105"/>
      <c r="H203" s="1106"/>
      <c r="I203" s="1106"/>
      <c r="J203" s="1180" t="s">
        <v>2040</v>
      </c>
      <c r="K203" s="559"/>
    </row>
    <row r="204" spans="1:11" x14ac:dyDescent="0.2">
      <c r="A204" s="559"/>
      <c r="B204" s="1181" t="s">
        <v>2223</v>
      </c>
      <c r="G204" s="1105"/>
      <c r="H204" s="1106"/>
      <c r="I204" s="1106"/>
      <c r="J204" s="1320">
        <f>SUM(H99:H109, H113, H116:H120,H132:H144)/SUM(D99:D109,D113,D116:D120,D132:D144)</f>
        <v>0.43779016105210444</v>
      </c>
      <c r="K204" s="559"/>
    </row>
    <row r="205" spans="1:11" x14ac:dyDescent="0.2">
      <c r="A205" s="559"/>
      <c r="B205" s="1181" t="s">
        <v>2939</v>
      </c>
      <c r="G205" s="1105"/>
      <c r="H205" s="1106"/>
      <c r="I205" s="1106"/>
      <c r="J205" s="1182"/>
      <c r="K205" s="559"/>
    </row>
    <row r="206" spans="1:11" x14ac:dyDescent="0.2">
      <c r="A206" s="559"/>
      <c r="B206" s="1112" t="s">
        <v>2228</v>
      </c>
      <c r="G206" s="1105"/>
      <c r="H206" s="1106"/>
      <c r="I206" s="1106"/>
      <c r="J206" s="559"/>
      <c r="K206" s="559"/>
    </row>
    <row r="207" spans="1:11" x14ac:dyDescent="0.2">
      <c r="A207" s="559"/>
      <c r="B207" s="1181" t="s">
        <v>2041</v>
      </c>
      <c r="G207" s="1105"/>
      <c r="H207" s="1106"/>
      <c r="I207" s="1106"/>
      <c r="J207" s="1182">
        <f>SUM(H104:H107, H132:H137)/SUM(D104:D107,D132:D137)</f>
        <v>0.23861633219484921</v>
      </c>
      <c r="K207" s="559"/>
    </row>
    <row r="208" spans="1:11" x14ac:dyDescent="0.2">
      <c r="A208" s="559"/>
      <c r="B208" s="1112" t="s">
        <v>2230</v>
      </c>
      <c r="G208" s="1105"/>
      <c r="H208" s="1106"/>
      <c r="I208" s="1106"/>
      <c r="J208" s="559"/>
      <c r="K208" s="559"/>
    </row>
    <row r="209" spans="1:11" x14ac:dyDescent="0.2">
      <c r="A209" s="559"/>
      <c r="B209" s="1181" t="s">
        <v>2042</v>
      </c>
      <c r="G209" s="1105"/>
      <c r="H209" s="1106"/>
      <c r="I209" s="1106"/>
      <c r="J209" s="1182">
        <f>SUM(H132:H134,H136)/SUM(D132:D134,D136)</f>
        <v>0.36662625065184673</v>
      </c>
      <c r="K209" s="559"/>
    </row>
    <row r="210" spans="1:11" x14ac:dyDescent="0.2">
      <c r="A210" s="559"/>
      <c r="B210" s="1183" t="s">
        <v>1478</v>
      </c>
      <c r="G210" s="1105"/>
      <c r="H210" s="1106"/>
      <c r="I210" s="1106"/>
      <c r="J210" s="559"/>
      <c r="K210" s="559"/>
    </row>
    <row r="211" spans="1:11" x14ac:dyDescent="0.2">
      <c r="A211" s="559"/>
      <c r="B211" s="1183" t="s">
        <v>1884</v>
      </c>
      <c r="G211" s="1105"/>
      <c r="H211" s="1106"/>
      <c r="I211" s="1106"/>
      <c r="J211" s="559"/>
      <c r="K211" s="559"/>
    </row>
    <row r="212" spans="1:11" x14ac:dyDescent="0.2">
      <c r="A212" s="559"/>
      <c r="B212" s="1183" t="s">
        <v>1480</v>
      </c>
      <c r="G212" s="1105"/>
      <c r="H212" s="1106"/>
      <c r="I212" s="1106"/>
      <c r="J212" s="559"/>
      <c r="K212" s="559"/>
    </row>
    <row r="213" spans="1:11" x14ac:dyDescent="0.2">
      <c r="A213" s="559"/>
      <c r="B213" s="1183" t="s">
        <v>1479</v>
      </c>
      <c r="G213" s="1105"/>
      <c r="H213" s="1106"/>
      <c r="I213" s="1106"/>
      <c r="J213" s="559"/>
      <c r="K213" s="559"/>
    </row>
    <row r="214" spans="1:11" x14ac:dyDescent="0.2">
      <c r="A214" s="559"/>
      <c r="B214" s="1112" t="s">
        <v>2229</v>
      </c>
      <c r="G214" s="1105"/>
      <c r="H214" s="1106"/>
      <c r="I214" s="1106"/>
      <c r="J214" s="559"/>
      <c r="K214" s="559"/>
    </row>
    <row r="215" spans="1:11" x14ac:dyDescent="0.2">
      <c r="A215" s="559"/>
      <c r="B215" s="1181" t="s">
        <v>2225</v>
      </c>
      <c r="G215" s="1105"/>
      <c r="H215" s="1106"/>
      <c r="I215" s="1106"/>
      <c r="J215" s="1179">
        <f>SUM(H161:H163)/SUM(D161:D163)</f>
        <v>2.4211854047218116E-2</v>
      </c>
      <c r="K215" s="559"/>
    </row>
    <row r="216" spans="1:11" x14ac:dyDescent="0.2">
      <c r="A216" s="559"/>
      <c r="B216" s="1181" t="s">
        <v>2224</v>
      </c>
      <c r="G216" s="1105"/>
      <c r="H216" s="1106"/>
      <c r="I216" s="1106"/>
      <c r="J216" s="559"/>
      <c r="K216" s="559"/>
    </row>
    <row r="217" spans="1:11" x14ac:dyDescent="0.2">
      <c r="A217" s="559"/>
      <c r="B217" s="559" t="s">
        <v>2233</v>
      </c>
      <c r="G217" s="1105"/>
      <c r="H217" s="1106"/>
      <c r="I217" s="1106"/>
      <c r="J217" s="559"/>
      <c r="K217" s="559"/>
    </row>
    <row r="218" spans="1:11" x14ac:dyDescent="0.2">
      <c r="A218" s="559"/>
      <c r="B218" s="559"/>
      <c r="G218" s="1105"/>
      <c r="H218" s="1106"/>
      <c r="I218" s="1106"/>
      <c r="J218" s="559"/>
      <c r="K218" s="559"/>
    </row>
    <row r="219" spans="1:11" x14ac:dyDescent="0.2">
      <c r="A219" s="559"/>
    </row>
    <row r="220" spans="1:11" x14ac:dyDescent="0.2">
      <c r="A220" s="559"/>
    </row>
  </sheetData>
  <mergeCells count="14">
    <mergeCell ref="J8:L8"/>
    <mergeCell ref="B68:B69"/>
    <mergeCell ref="C68:E68"/>
    <mergeCell ref="G68:I68"/>
    <mergeCell ref="J68:L68"/>
    <mergeCell ref="G154:I154"/>
    <mergeCell ref="G94:I94"/>
    <mergeCell ref="B8:B9"/>
    <mergeCell ref="C8:E8"/>
    <mergeCell ref="G8:I8"/>
    <mergeCell ref="B94:B95"/>
    <mergeCell ref="C94:E94"/>
    <mergeCell ref="B154:B155"/>
    <mergeCell ref="C154:E154"/>
  </mergeCells>
  <pageMargins left="0.7" right="0.7" top="0.75" bottom="0.75" header="0.3" footer="0.3"/>
  <pageSetup scale="60" orientation="landscape" cellComments="asDisplayed" r:id="rId1"/>
  <headerFooter>
    <oddHeader>&amp;CSchedule 19
Operations and Maintenance
&amp;RTO8 Annual Update (Revised)
Attachment  1</oddHeader>
    <oddFooter>&amp;R&amp;A</oddFooter>
  </headerFooter>
  <rowBreaks count="3" manualBreakCount="3">
    <brk id="64" max="11" man="1"/>
    <brk id="88" max="16383" man="1"/>
    <brk id="150" max="16383" man="1"/>
  </rowBreaks>
  <ignoredErrors>
    <ignoredError sqref="G115 C113"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view="pageLayout" zoomScaleNormal="90" workbookViewId="0">
      <selection activeCell="K39" sqref="K39"/>
    </sheetView>
  </sheetViews>
  <sheetFormatPr defaultRowHeight="12.75" x14ac:dyDescent="0.2"/>
  <cols>
    <col min="1" max="1" width="4.7109375" customWidth="1"/>
    <col min="2" max="2" width="2.7109375" customWidth="1"/>
    <col min="3" max="3" width="6.7109375" customWidth="1"/>
    <col min="4" max="4" width="32.5703125" customWidth="1"/>
    <col min="5" max="5" width="14.7109375" customWidth="1"/>
    <col min="6" max="6" width="15.7109375" customWidth="1"/>
    <col min="7" max="8" width="14.7109375" customWidth="1"/>
    <col min="9" max="9" width="18.7109375" customWidth="1"/>
    <col min="10" max="10" width="14.7109375" customWidth="1"/>
    <col min="11" max="11" width="11" bestFit="1" customWidth="1"/>
  </cols>
  <sheetData>
    <row r="1" spans="1:24" x14ac:dyDescent="0.2">
      <c r="A1" s="1" t="s">
        <v>310</v>
      </c>
      <c r="F1" s="43" t="s">
        <v>18</v>
      </c>
      <c r="G1" s="102"/>
      <c r="H1" s="62"/>
      <c r="I1" s="62"/>
    </row>
    <row r="2" spans="1:24" x14ac:dyDescent="0.2">
      <c r="E2" s="90" t="s">
        <v>396</v>
      </c>
      <c r="F2" s="90" t="s">
        <v>380</v>
      </c>
      <c r="G2" s="90" t="s">
        <v>381</v>
      </c>
      <c r="H2" s="90" t="s">
        <v>382</v>
      </c>
      <c r="I2" s="62"/>
    </row>
    <row r="3" spans="1:24" x14ac:dyDescent="0.2">
      <c r="G3" s="62" t="s">
        <v>238</v>
      </c>
    </row>
    <row r="4" spans="1:24" x14ac:dyDescent="0.2">
      <c r="E4" s="2" t="s">
        <v>532</v>
      </c>
      <c r="F4" s="26" t="s">
        <v>215</v>
      </c>
      <c r="G4" s="2" t="s">
        <v>1581</v>
      </c>
      <c r="I4" s="2"/>
    </row>
    <row r="5" spans="1:24" x14ac:dyDescent="0.2">
      <c r="A5" s="54" t="s">
        <v>352</v>
      </c>
      <c r="B5" s="3"/>
      <c r="C5" s="3" t="s">
        <v>128</v>
      </c>
      <c r="D5" s="3" t="s">
        <v>113</v>
      </c>
      <c r="E5" s="3" t="s">
        <v>196</v>
      </c>
      <c r="F5" s="25" t="s">
        <v>200</v>
      </c>
      <c r="G5" s="3" t="s">
        <v>129</v>
      </c>
      <c r="H5" s="3" t="s">
        <v>292</v>
      </c>
      <c r="I5" s="3" t="s">
        <v>189</v>
      </c>
      <c r="K5" s="3"/>
      <c r="L5" s="3"/>
      <c r="M5" s="3"/>
      <c r="N5" s="3"/>
      <c r="O5" s="3"/>
      <c r="P5" s="3"/>
      <c r="Q5" s="3"/>
      <c r="R5" s="3"/>
      <c r="S5" s="3"/>
      <c r="T5" s="3"/>
      <c r="U5" s="3"/>
      <c r="V5" s="3"/>
      <c r="W5" s="3"/>
      <c r="X5" s="3"/>
    </row>
    <row r="6" spans="1:24" x14ac:dyDescent="0.2">
      <c r="A6" s="2">
        <v>1</v>
      </c>
      <c r="C6" s="62">
        <v>920</v>
      </c>
      <c r="D6" t="s">
        <v>115</v>
      </c>
      <c r="E6" s="85">
        <v>536918160</v>
      </c>
      <c r="F6" s="62" t="s">
        <v>130</v>
      </c>
      <c r="G6" s="64">
        <f>D37</f>
        <v>153351483.1391997</v>
      </c>
      <c r="H6" s="7">
        <f t="shared" ref="H6:H19" si="0">E6-G6</f>
        <v>383566676.86080027</v>
      </c>
    </row>
    <row r="7" spans="1:24" x14ac:dyDescent="0.2">
      <c r="A7" s="2">
        <f>A6+1</f>
        <v>2</v>
      </c>
      <c r="C7" s="62">
        <v>921</v>
      </c>
      <c r="D7" t="s">
        <v>116</v>
      </c>
      <c r="E7" s="85">
        <v>106486299</v>
      </c>
      <c r="F7" s="62" t="s">
        <v>131</v>
      </c>
      <c r="G7" s="64">
        <f t="shared" ref="G7:G19" si="1">D38</f>
        <v>582736.48</v>
      </c>
      <c r="H7" s="7">
        <f t="shared" si="0"/>
        <v>105903562.52</v>
      </c>
    </row>
    <row r="8" spans="1:24" x14ac:dyDescent="0.2">
      <c r="A8" s="2">
        <f>A7+1</f>
        <v>3</v>
      </c>
      <c r="C8" s="62">
        <v>922</v>
      </c>
      <c r="D8" t="s">
        <v>117</v>
      </c>
      <c r="E8" s="85">
        <v>-123052542</v>
      </c>
      <c r="F8" s="62" t="s">
        <v>132</v>
      </c>
      <c r="G8" s="64">
        <f t="shared" si="1"/>
        <v>-45644534</v>
      </c>
      <c r="H8" s="7">
        <f t="shared" si="0"/>
        <v>-77408008</v>
      </c>
      <c r="I8" s="120" t="s">
        <v>2079</v>
      </c>
    </row>
    <row r="9" spans="1:24" x14ac:dyDescent="0.2">
      <c r="A9" s="2">
        <f t="shared" ref="A9:A20" si="2">A8+1</f>
        <v>4</v>
      </c>
      <c r="B9" s="2"/>
      <c r="C9" s="62">
        <v>923</v>
      </c>
      <c r="D9" t="s">
        <v>118</v>
      </c>
      <c r="E9" s="85">
        <v>67510845</v>
      </c>
      <c r="F9" s="62" t="s">
        <v>133</v>
      </c>
      <c r="G9" s="64">
        <f t="shared" si="1"/>
        <v>7189755.7199999988</v>
      </c>
      <c r="H9" s="7">
        <f t="shared" si="0"/>
        <v>60321089.280000001</v>
      </c>
    </row>
    <row r="10" spans="1:24" x14ac:dyDescent="0.2">
      <c r="A10" s="2">
        <f t="shared" si="2"/>
        <v>5</v>
      </c>
      <c r="B10" s="2"/>
      <c r="C10" s="62">
        <v>924</v>
      </c>
      <c r="D10" t="s">
        <v>119</v>
      </c>
      <c r="E10" s="85">
        <v>18713258</v>
      </c>
      <c r="F10" s="62" t="s">
        <v>134</v>
      </c>
      <c r="G10" s="64">
        <f t="shared" si="1"/>
        <v>0</v>
      </c>
      <c r="H10" s="7">
        <f t="shared" si="0"/>
        <v>18713258</v>
      </c>
    </row>
    <row r="11" spans="1:24" x14ac:dyDescent="0.2">
      <c r="A11" s="2">
        <f t="shared" si="2"/>
        <v>6</v>
      </c>
      <c r="B11" s="2"/>
      <c r="C11" s="62">
        <v>925</v>
      </c>
      <c r="D11" t="s">
        <v>120</v>
      </c>
      <c r="E11" s="85">
        <v>88220482</v>
      </c>
      <c r="F11" s="62" t="s">
        <v>135</v>
      </c>
      <c r="G11" s="64">
        <f t="shared" si="1"/>
        <v>117812.72</v>
      </c>
      <c r="H11" s="7">
        <f t="shared" si="0"/>
        <v>88102669.280000001</v>
      </c>
    </row>
    <row r="12" spans="1:24" x14ac:dyDescent="0.2">
      <c r="A12" s="2">
        <f t="shared" si="2"/>
        <v>7</v>
      </c>
      <c r="B12" s="2"/>
      <c r="C12" s="62">
        <v>926</v>
      </c>
      <c r="D12" t="s">
        <v>121</v>
      </c>
      <c r="E12" s="85">
        <v>293595750</v>
      </c>
      <c r="F12" s="62" t="s">
        <v>136</v>
      </c>
      <c r="G12" s="64">
        <f t="shared" si="1"/>
        <v>33969912.859999999</v>
      </c>
      <c r="H12" s="7">
        <f t="shared" si="0"/>
        <v>259625837.13999999</v>
      </c>
    </row>
    <row r="13" spans="1:24" x14ac:dyDescent="0.2">
      <c r="A13" s="2">
        <f t="shared" si="2"/>
        <v>8</v>
      </c>
      <c r="B13" s="2"/>
      <c r="C13" s="62">
        <v>927</v>
      </c>
      <c r="D13" t="s">
        <v>122</v>
      </c>
      <c r="E13" s="85">
        <v>100359146</v>
      </c>
      <c r="F13" s="62" t="s">
        <v>137</v>
      </c>
      <c r="G13" s="64">
        <f t="shared" si="1"/>
        <v>100359146</v>
      </c>
      <c r="H13" s="7">
        <f t="shared" si="0"/>
        <v>0</v>
      </c>
    </row>
    <row r="14" spans="1:24" x14ac:dyDescent="0.2">
      <c r="A14" s="2">
        <f t="shared" si="2"/>
        <v>9</v>
      </c>
      <c r="B14" s="2"/>
      <c r="C14" s="62">
        <v>928</v>
      </c>
      <c r="D14" s="12" t="s">
        <v>123</v>
      </c>
      <c r="E14" s="85">
        <v>16645461</v>
      </c>
      <c r="F14" s="62" t="s">
        <v>138</v>
      </c>
      <c r="G14" s="64">
        <f t="shared" si="1"/>
        <v>9777613.9700000007</v>
      </c>
      <c r="H14" s="7">
        <f t="shared" si="0"/>
        <v>6867847.0299999993</v>
      </c>
    </row>
    <row r="15" spans="1:24" x14ac:dyDescent="0.2">
      <c r="A15" s="2">
        <f t="shared" si="2"/>
        <v>10</v>
      </c>
      <c r="B15" s="2"/>
      <c r="C15" s="62">
        <v>929</v>
      </c>
      <c r="D15" t="s">
        <v>124</v>
      </c>
      <c r="E15" s="85">
        <v>0</v>
      </c>
      <c r="F15" s="62" t="s">
        <v>139</v>
      </c>
      <c r="G15" s="64">
        <f t="shared" si="1"/>
        <v>0</v>
      </c>
      <c r="H15" s="7">
        <f t="shared" si="0"/>
        <v>0</v>
      </c>
    </row>
    <row r="16" spans="1:24" x14ac:dyDescent="0.2">
      <c r="A16" s="2">
        <f t="shared" si="2"/>
        <v>11</v>
      </c>
      <c r="B16" s="2"/>
      <c r="C16" s="62">
        <v>930.1</v>
      </c>
      <c r="D16" t="s">
        <v>125</v>
      </c>
      <c r="E16" s="85">
        <v>163377</v>
      </c>
      <c r="F16" s="62" t="s">
        <v>140</v>
      </c>
      <c r="G16" s="64">
        <f t="shared" si="1"/>
        <v>67883.75</v>
      </c>
      <c r="H16" s="7">
        <f t="shared" si="0"/>
        <v>95493.25</v>
      </c>
    </row>
    <row r="17" spans="1:11" x14ac:dyDescent="0.2">
      <c r="A17" s="2">
        <f t="shared" si="2"/>
        <v>12</v>
      </c>
      <c r="B17" s="2"/>
      <c r="C17" s="62">
        <v>930.2</v>
      </c>
      <c r="D17" t="s">
        <v>101</v>
      </c>
      <c r="E17" s="85">
        <v>4026668</v>
      </c>
      <c r="F17" s="62" t="s">
        <v>141</v>
      </c>
      <c r="G17" s="64">
        <f t="shared" si="1"/>
        <v>9668385</v>
      </c>
      <c r="H17" s="7">
        <f t="shared" si="0"/>
        <v>-5641717</v>
      </c>
    </row>
    <row r="18" spans="1:11" x14ac:dyDescent="0.2">
      <c r="A18" s="2">
        <f t="shared" si="2"/>
        <v>13</v>
      </c>
      <c r="B18" s="2"/>
      <c r="C18" s="62">
        <v>931</v>
      </c>
      <c r="D18" t="s">
        <v>126</v>
      </c>
      <c r="E18" s="85">
        <v>24059237</v>
      </c>
      <c r="F18" s="62" t="s">
        <v>142</v>
      </c>
      <c r="G18" s="64">
        <f t="shared" si="1"/>
        <v>75290.61</v>
      </c>
      <c r="H18" s="7">
        <f t="shared" si="0"/>
        <v>23983946.390000001</v>
      </c>
    </row>
    <row r="19" spans="1:11" x14ac:dyDescent="0.2">
      <c r="A19" s="2">
        <f t="shared" si="2"/>
        <v>14</v>
      </c>
      <c r="B19" s="2"/>
      <c r="C19" s="62">
        <v>935</v>
      </c>
      <c r="D19" t="s">
        <v>127</v>
      </c>
      <c r="E19" s="86">
        <v>11685945</v>
      </c>
      <c r="F19" s="62" t="s">
        <v>143</v>
      </c>
      <c r="G19" s="64">
        <f t="shared" si="1"/>
        <v>2273673.9900000002</v>
      </c>
      <c r="H19" s="97">
        <f t="shared" si="0"/>
        <v>9412271.0099999998</v>
      </c>
    </row>
    <row r="20" spans="1:11" x14ac:dyDescent="0.2">
      <c r="A20" s="2">
        <f t="shared" si="2"/>
        <v>15</v>
      </c>
      <c r="E20" s="7">
        <f>SUM(E6:E19)</f>
        <v>1145332086</v>
      </c>
      <c r="G20" s="36" t="s">
        <v>144</v>
      </c>
      <c r="H20" s="108">
        <f>SUM(H6:H19)</f>
        <v>873542925.76080012</v>
      </c>
    </row>
    <row r="22" spans="1:11" x14ac:dyDescent="0.2">
      <c r="F22" s="3" t="s">
        <v>196</v>
      </c>
      <c r="G22" s="3" t="s">
        <v>200</v>
      </c>
    </row>
    <row r="23" spans="1:11" x14ac:dyDescent="0.2">
      <c r="A23" s="2">
        <f>A20+1</f>
        <v>16</v>
      </c>
      <c r="E23" s="1126" t="s">
        <v>2562</v>
      </c>
      <c r="F23" s="64">
        <f>H20</f>
        <v>873542925.76080012</v>
      </c>
      <c r="G23" s="46" t="str">
        <f>"Line "&amp;A20&amp;""</f>
        <v>Line 15</v>
      </c>
      <c r="H23" s="14"/>
      <c r="I23" s="14"/>
      <c r="J23" s="14"/>
      <c r="K23" s="14"/>
    </row>
    <row r="24" spans="1:11" x14ac:dyDescent="0.2">
      <c r="A24" s="2">
        <f t="shared" ref="A24:A30" si="3">A23+1</f>
        <v>17</v>
      </c>
      <c r="E24" s="389" t="s">
        <v>325</v>
      </c>
      <c r="F24" s="118">
        <f>E10</f>
        <v>18713258</v>
      </c>
      <c r="G24" s="46" t="str">
        <f>"Line "&amp;A10&amp;""</f>
        <v>Line 5</v>
      </c>
      <c r="H24" s="14"/>
      <c r="I24" s="14"/>
      <c r="J24" s="14"/>
      <c r="K24" s="14"/>
    </row>
    <row r="25" spans="1:11" x14ac:dyDescent="0.2">
      <c r="A25" s="2">
        <f t="shared" si="3"/>
        <v>18</v>
      </c>
      <c r="E25" s="389" t="s">
        <v>1576</v>
      </c>
      <c r="F25" s="64">
        <f>F23-F24</f>
        <v>854829667.76080012</v>
      </c>
      <c r="G25" s="46" t="str">
        <f>"Line "&amp;A23&amp;" - Line "&amp;A24&amp;""</f>
        <v>Line 16 - Line 17</v>
      </c>
      <c r="H25" s="14"/>
      <c r="I25" s="14"/>
      <c r="J25" s="14"/>
      <c r="K25" s="14"/>
    </row>
    <row r="26" spans="1:11" x14ac:dyDescent="0.2">
      <c r="A26" s="2">
        <f t="shared" si="3"/>
        <v>19</v>
      </c>
      <c r="E26" s="84" t="s">
        <v>145</v>
      </c>
      <c r="F26" s="1397">
        <f>'27-Allocators'!G15</f>
        <v>3.7193704666678068E-2</v>
      </c>
      <c r="G26" s="46" t="str">
        <f>"27-Allocators, Line "&amp;'27-Allocators'!A15&amp;""</f>
        <v>27-Allocators, Line 9</v>
      </c>
      <c r="H26" s="14"/>
      <c r="I26" s="14"/>
      <c r="J26" s="14"/>
      <c r="K26" s="14"/>
    </row>
    <row r="27" spans="1:11" x14ac:dyDescent="0.2">
      <c r="A27" s="2">
        <f t="shared" si="3"/>
        <v>20</v>
      </c>
      <c r="E27" s="389" t="s">
        <v>1577</v>
      </c>
      <c r="F27" s="1285">
        <f>F25*F26</f>
        <v>31794282.203009732</v>
      </c>
      <c r="G27" s="46" t="str">
        <f>"Line "&amp;A25&amp;" * Line "&amp;A26&amp;""</f>
        <v>Line 18 * Line 19</v>
      </c>
      <c r="H27" s="14"/>
      <c r="I27" s="14"/>
      <c r="J27" s="14"/>
      <c r="K27" s="14"/>
    </row>
    <row r="28" spans="1:11" x14ac:dyDescent="0.2">
      <c r="A28" s="2">
        <f t="shared" si="3"/>
        <v>21</v>
      </c>
      <c r="E28" s="389" t="s">
        <v>107</v>
      </c>
      <c r="F28" s="1398">
        <f>'27-Allocators'!G28</f>
        <v>0.10972259682913496</v>
      </c>
      <c r="G28" s="120" t="str">
        <f>"27-Allocators, Line "&amp;'27-Allocators'!A28&amp;""</f>
        <v>27-Allocators, Line 22</v>
      </c>
      <c r="H28" s="14"/>
      <c r="I28" s="14"/>
      <c r="J28" s="14"/>
      <c r="K28" s="14"/>
    </row>
    <row r="29" spans="1:11" x14ac:dyDescent="0.2">
      <c r="A29" s="2">
        <f t="shared" si="3"/>
        <v>22</v>
      </c>
      <c r="E29" s="389" t="s">
        <v>326</v>
      </c>
      <c r="F29" s="1298">
        <f>H10*F28</f>
        <v>2053267.2628935843</v>
      </c>
      <c r="G29" s="46" t="str">
        <f>"Line "&amp;A10&amp;" Col 4 * Line "&amp;A28&amp;""</f>
        <v>Line 5 Col 4 * Line 21</v>
      </c>
      <c r="H29" s="14"/>
      <c r="I29" s="14"/>
      <c r="J29" s="14"/>
      <c r="K29" s="14"/>
    </row>
    <row r="30" spans="1:11" x14ac:dyDescent="0.2">
      <c r="A30" s="2">
        <f t="shared" si="3"/>
        <v>23</v>
      </c>
      <c r="E30" s="389" t="s">
        <v>327</v>
      </c>
      <c r="F30" s="1296">
        <f>F27+F29</f>
        <v>33847549.465903319</v>
      </c>
      <c r="G30" s="46" t="str">
        <f>"Line "&amp;A27&amp;" + Line "&amp;A29&amp;""</f>
        <v>Line 20 + Line 22</v>
      </c>
      <c r="H30" s="14"/>
      <c r="I30" s="14"/>
      <c r="J30" s="14"/>
      <c r="K30" s="14"/>
    </row>
    <row r="31" spans="1:11" x14ac:dyDescent="0.2">
      <c r="E31" s="14"/>
      <c r="F31" s="14"/>
      <c r="G31" s="14"/>
      <c r="H31" s="14"/>
      <c r="I31" s="14"/>
      <c r="J31" s="14"/>
      <c r="K31" s="14"/>
    </row>
    <row r="32" spans="1:11" x14ac:dyDescent="0.2">
      <c r="B32" s="1" t="s">
        <v>540</v>
      </c>
      <c r="E32" s="384" t="s">
        <v>396</v>
      </c>
      <c r="F32" s="384" t="s">
        <v>380</v>
      </c>
      <c r="G32" s="384" t="s">
        <v>381</v>
      </c>
      <c r="H32" s="384" t="s">
        <v>382</v>
      </c>
      <c r="I32" s="14"/>
      <c r="J32" s="14"/>
      <c r="K32" s="14"/>
    </row>
    <row r="33" spans="1:11" x14ac:dyDescent="0.2">
      <c r="B33" s="1"/>
      <c r="E33" s="117" t="s">
        <v>534</v>
      </c>
      <c r="F33" s="384"/>
      <c r="G33" s="384"/>
      <c r="H33" s="384"/>
      <c r="I33" s="14"/>
      <c r="J33" s="14"/>
      <c r="K33" s="14"/>
    </row>
    <row r="34" spans="1:11" x14ac:dyDescent="0.2">
      <c r="E34" s="117" t="s">
        <v>608</v>
      </c>
      <c r="F34" s="14"/>
      <c r="G34" s="14"/>
      <c r="H34" s="14"/>
      <c r="I34" s="14"/>
      <c r="J34" s="14"/>
      <c r="K34" s="14"/>
    </row>
    <row r="35" spans="1:11" x14ac:dyDescent="0.2">
      <c r="D35" s="2" t="s">
        <v>533</v>
      </c>
      <c r="E35" s="117" t="s">
        <v>607</v>
      </c>
      <c r="F35" s="117" t="s">
        <v>535</v>
      </c>
      <c r="G35" s="117"/>
      <c r="H35" s="117"/>
      <c r="I35" s="14"/>
      <c r="J35" s="14"/>
      <c r="K35" s="14"/>
    </row>
    <row r="36" spans="1:11" x14ac:dyDescent="0.2">
      <c r="C36" s="3" t="s">
        <v>128</v>
      </c>
      <c r="D36" s="90" t="s">
        <v>1224</v>
      </c>
      <c r="E36" s="131" t="s">
        <v>1443</v>
      </c>
      <c r="F36" s="131" t="s">
        <v>536</v>
      </c>
      <c r="G36" s="131" t="s">
        <v>2563</v>
      </c>
      <c r="H36" s="131" t="s">
        <v>537</v>
      </c>
      <c r="I36" s="131" t="s">
        <v>189</v>
      </c>
      <c r="J36" s="14"/>
      <c r="K36" s="14"/>
    </row>
    <row r="37" spans="1:11" x14ac:dyDescent="0.2">
      <c r="A37" s="2">
        <f>A30+1</f>
        <v>24</v>
      </c>
      <c r="C37" s="62">
        <v>920</v>
      </c>
      <c r="D37" s="149">
        <f>SUM(E37:H37)</f>
        <v>153351483.1391997</v>
      </c>
      <c r="E37" s="587">
        <v>18663631.559999999</v>
      </c>
      <c r="F37" s="114"/>
      <c r="G37" s="64">
        <f>G58</f>
        <v>134687851.5791997</v>
      </c>
      <c r="H37" s="114"/>
      <c r="I37" s="547" t="s">
        <v>2092</v>
      </c>
      <c r="J37" s="14"/>
    </row>
    <row r="38" spans="1:11" x14ac:dyDescent="0.2">
      <c r="A38" s="2">
        <f>A37+1</f>
        <v>25</v>
      </c>
      <c r="C38" s="62">
        <v>921</v>
      </c>
      <c r="D38" s="149">
        <f t="shared" ref="D38:D50" si="4">SUM(E38:H38)</f>
        <v>582736.48</v>
      </c>
      <c r="E38" s="587">
        <v>582736.48</v>
      </c>
      <c r="F38" s="114"/>
      <c r="G38" s="114"/>
      <c r="H38" s="114"/>
      <c r="I38" s="16"/>
    </row>
    <row r="39" spans="1:11" x14ac:dyDescent="0.2">
      <c r="A39" s="2">
        <f t="shared" ref="A39:A50" si="5">A38+1</f>
        <v>26</v>
      </c>
      <c r="C39" s="62">
        <v>922</v>
      </c>
      <c r="D39" s="149">
        <f t="shared" si="4"/>
        <v>-45644534</v>
      </c>
      <c r="E39" s="587">
        <v>-12079206</v>
      </c>
      <c r="F39" s="114"/>
      <c r="G39" s="729">
        <v>-33565328</v>
      </c>
      <c r="H39" s="114"/>
      <c r="I39" s="16"/>
    </row>
    <row r="40" spans="1:11" x14ac:dyDescent="0.2">
      <c r="A40" s="2">
        <f t="shared" si="5"/>
        <v>27</v>
      </c>
      <c r="C40" s="62">
        <v>923</v>
      </c>
      <c r="D40" s="149">
        <f t="shared" si="4"/>
        <v>7189755.7199999988</v>
      </c>
      <c r="E40" s="587">
        <v>7189755.7199999988</v>
      </c>
      <c r="F40" s="114"/>
      <c r="G40" s="114"/>
      <c r="H40" s="114"/>
      <c r="I40" s="16"/>
      <c r="J40" s="3"/>
      <c r="K40" s="3"/>
    </row>
    <row r="41" spans="1:11" x14ac:dyDescent="0.2">
      <c r="A41" s="2">
        <f t="shared" si="5"/>
        <v>28</v>
      </c>
      <c r="C41" s="62">
        <v>924</v>
      </c>
      <c r="D41" s="149">
        <f t="shared" si="4"/>
        <v>0</v>
      </c>
      <c r="E41" s="587"/>
      <c r="F41" s="114"/>
      <c r="G41" s="114"/>
      <c r="H41" s="114"/>
      <c r="I41" s="16"/>
      <c r="K41" s="7"/>
    </row>
    <row r="42" spans="1:11" x14ac:dyDescent="0.2">
      <c r="A42" s="2">
        <f t="shared" si="5"/>
        <v>29</v>
      </c>
      <c r="C42" s="62">
        <v>925</v>
      </c>
      <c r="D42" s="149">
        <f t="shared" si="4"/>
        <v>117812.72</v>
      </c>
      <c r="E42" s="587">
        <v>117812.72</v>
      </c>
      <c r="F42" s="114"/>
      <c r="G42" s="114"/>
      <c r="H42" s="114"/>
      <c r="I42" s="13"/>
      <c r="K42" s="7"/>
    </row>
    <row r="43" spans="1:11" x14ac:dyDescent="0.2">
      <c r="A43" s="2">
        <f t="shared" si="5"/>
        <v>30</v>
      </c>
      <c r="C43" s="62">
        <v>926</v>
      </c>
      <c r="D43" s="149">
        <f t="shared" si="4"/>
        <v>33969912.859999999</v>
      </c>
      <c r="E43" s="587">
        <v>35400912.859999999</v>
      </c>
      <c r="F43" s="114"/>
      <c r="G43" s="114"/>
      <c r="H43" s="64">
        <f>E70</f>
        <v>-1431000</v>
      </c>
      <c r="I43" s="13" t="s">
        <v>313</v>
      </c>
      <c r="K43" s="7"/>
    </row>
    <row r="44" spans="1:11" x14ac:dyDescent="0.2">
      <c r="A44" s="2">
        <f t="shared" si="5"/>
        <v>31</v>
      </c>
      <c r="C44" s="62">
        <v>927</v>
      </c>
      <c r="D44" s="149">
        <f t="shared" si="4"/>
        <v>100359146</v>
      </c>
      <c r="E44" s="64">
        <v>0</v>
      </c>
      <c r="F44" s="543">
        <f>E13</f>
        <v>100359146</v>
      </c>
      <c r="G44" s="64">
        <v>0</v>
      </c>
      <c r="H44" s="64">
        <v>0</v>
      </c>
      <c r="I44" s="16" t="s">
        <v>1050</v>
      </c>
      <c r="K44" s="7"/>
    </row>
    <row r="45" spans="1:11" x14ac:dyDescent="0.2">
      <c r="A45" s="2">
        <f t="shared" si="5"/>
        <v>32</v>
      </c>
      <c r="C45" s="62">
        <v>928</v>
      </c>
      <c r="D45" s="149">
        <f t="shared" si="4"/>
        <v>9777613.9700000007</v>
      </c>
      <c r="E45" s="587">
        <v>9777613.9700000007</v>
      </c>
      <c r="F45" s="114"/>
      <c r="G45" s="114"/>
      <c r="H45" s="114"/>
      <c r="I45" s="16"/>
      <c r="K45" s="7"/>
    </row>
    <row r="46" spans="1:11" x14ac:dyDescent="0.2">
      <c r="A46" s="2">
        <f t="shared" si="5"/>
        <v>33</v>
      </c>
      <c r="C46" s="62">
        <v>929</v>
      </c>
      <c r="D46" s="149">
        <f t="shared" si="4"/>
        <v>0</v>
      </c>
      <c r="E46" s="587"/>
      <c r="F46" s="114"/>
      <c r="G46" s="114"/>
      <c r="H46" s="114"/>
      <c r="I46" s="16"/>
      <c r="K46" s="7"/>
    </row>
    <row r="47" spans="1:11" x14ac:dyDescent="0.2">
      <c r="A47" s="2">
        <f t="shared" si="5"/>
        <v>34</v>
      </c>
      <c r="C47" s="62">
        <v>930.1</v>
      </c>
      <c r="D47" s="149">
        <f t="shared" si="4"/>
        <v>67883.75</v>
      </c>
      <c r="E47" s="587">
        <v>67883.75</v>
      </c>
      <c r="F47" s="114"/>
      <c r="G47" s="114"/>
      <c r="H47" s="114"/>
      <c r="I47" s="16"/>
      <c r="K47" s="7"/>
    </row>
    <row r="48" spans="1:11" x14ac:dyDescent="0.2">
      <c r="A48" s="2">
        <f t="shared" si="5"/>
        <v>35</v>
      </c>
      <c r="C48" s="62">
        <v>930.2</v>
      </c>
      <c r="D48" s="149">
        <f t="shared" si="4"/>
        <v>9668385</v>
      </c>
      <c r="E48" s="587">
        <v>9668385</v>
      </c>
      <c r="F48" s="114"/>
      <c r="G48" s="114"/>
      <c r="H48" s="114"/>
      <c r="I48" s="16"/>
      <c r="J48" s="555"/>
    </row>
    <row r="49" spans="1:10" x14ac:dyDescent="0.2">
      <c r="A49" s="2">
        <f t="shared" si="5"/>
        <v>36</v>
      </c>
      <c r="C49" s="62">
        <v>931</v>
      </c>
      <c r="D49" s="149">
        <f t="shared" si="4"/>
        <v>75290.61</v>
      </c>
      <c r="E49" s="587">
        <v>75290.61</v>
      </c>
      <c r="F49" s="114"/>
      <c r="G49" s="114"/>
      <c r="H49" s="114"/>
      <c r="I49" s="16"/>
      <c r="J49" s="7"/>
    </row>
    <row r="50" spans="1:10" x14ac:dyDescent="0.2">
      <c r="A50" s="2">
        <f t="shared" si="5"/>
        <v>37</v>
      </c>
      <c r="C50" s="62">
        <v>935</v>
      </c>
      <c r="D50" s="149">
        <f t="shared" si="4"/>
        <v>2273673.9900000002</v>
      </c>
      <c r="E50" s="587">
        <v>2273673.9900000002</v>
      </c>
      <c r="F50" s="114"/>
      <c r="G50" s="114"/>
      <c r="H50" s="114"/>
      <c r="I50" s="16"/>
    </row>
    <row r="51" spans="1:10" x14ac:dyDescent="0.2">
      <c r="B51" s="44" t="s">
        <v>2564</v>
      </c>
      <c r="C51" s="14"/>
      <c r="D51" s="14"/>
      <c r="E51" s="14"/>
      <c r="F51" s="14"/>
      <c r="G51" s="14"/>
      <c r="H51" s="14"/>
    </row>
    <row r="52" spans="1:10" x14ac:dyDescent="0.2">
      <c r="B52" s="44"/>
      <c r="C52" s="14" t="s">
        <v>2565</v>
      </c>
      <c r="D52" s="14"/>
      <c r="E52" s="14"/>
      <c r="F52" s="14"/>
      <c r="G52" s="14"/>
      <c r="H52" s="14"/>
    </row>
    <row r="53" spans="1:10" x14ac:dyDescent="0.2">
      <c r="B53" s="44"/>
      <c r="C53" s="550" t="s">
        <v>2566</v>
      </c>
      <c r="D53" s="14"/>
      <c r="E53" s="14"/>
      <c r="F53" s="14"/>
      <c r="G53" s="117"/>
      <c r="H53" s="117"/>
    </row>
    <row r="54" spans="1:10" x14ac:dyDescent="0.2">
      <c r="B54" s="44"/>
      <c r="C54" s="731" t="s">
        <v>2924</v>
      </c>
      <c r="D54" s="712"/>
      <c r="E54" s="712"/>
      <c r="F54" s="14"/>
      <c r="G54" s="117"/>
      <c r="H54" s="117"/>
    </row>
    <row r="55" spans="1:10" x14ac:dyDescent="0.2">
      <c r="B55" s="44"/>
      <c r="C55" s="14"/>
      <c r="D55" s="14"/>
      <c r="E55" s="14"/>
      <c r="F55" s="14"/>
      <c r="G55" s="131" t="s">
        <v>196</v>
      </c>
      <c r="H55" s="131" t="s">
        <v>200</v>
      </c>
    </row>
    <row r="56" spans="1:10" x14ac:dyDescent="0.2">
      <c r="A56" s="2"/>
      <c r="B56" s="679" t="s">
        <v>1970</v>
      </c>
      <c r="E56" s="14"/>
      <c r="F56" s="1126" t="s">
        <v>2567</v>
      </c>
      <c r="G56" s="587">
        <v>169521859</v>
      </c>
      <c r="H56" s="547" t="s">
        <v>35</v>
      </c>
    </row>
    <row r="57" spans="1:10" x14ac:dyDescent="0.2">
      <c r="A57" s="2"/>
      <c r="B57" s="679" t="s">
        <v>1971</v>
      </c>
      <c r="C57" s="12"/>
      <c r="E57" s="14"/>
      <c r="F57" s="1126" t="s">
        <v>2568</v>
      </c>
      <c r="G57" s="109">
        <f>E61</f>
        <v>34834007.420800306</v>
      </c>
      <c r="H57" s="552" t="str">
        <f>"Note 2, "&amp;B61&amp;""</f>
        <v>Note 2, d</v>
      </c>
    </row>
    <row r="58" spans="1:10" x14ac:dyDescent="0.2">
      <c r="A58" s="2"/>
      <c r="B58" s="679" t="s">
        <v>1972</v>
      </c>
      <c r="F58" s="546" t="s">
        <v>1976</v>
      </c>
      <c r="G58" s="7">
        <f>G56-G57</f>
        <v>134687851.5791997</v>
      </c>
    </row>
    <row r="59" spans="1:10" x14ac:dyDescent="0.2">
      <c r="A59" s="2"/>
      <c r="C59" s="731" t="s">
        <v>2923</v>
      </c>
      <c r="D59" s="712"/>
      <c r="E59" s="712"/>
      <c r="G59" s="7"/>
    </row>
    <row r="60" spans="1:10" x14ac:dyDescent="0.2">
      <c r="A60" s="2"/>
      <c r="D60" s="52" t="s">
        <v>1578</v>
      </c>
      <c r="E60" s="3" t="s">
        <v>196</v>
      </c>
      <c r="F60" s="63" t="s">
        <v>200</v>
      </c>
      <c r="G60" s="7"/>
    </row>
    <row r="61" spans="1:10" x14ac:dyDescent="0.2">
      <c r="A61" s="2"/>
      <c r="B61" s="679" t="s">
        <v>1973</v>
      </c>
      <c r="D61" t="s">
        <v>1579</v>
      </c>
      <c r="E61" s="729">
        <v>34834007.420800306</v>
      </c>
      <c r="F61" s="547" t="s">
        <v>2554</v>
      </c>
      <c r="G61" s="64"/>
      <c r="I61" s="14"/>
    </row>
    <row r="62" spans="1:10" x14ac:dyDescent="0.2">
      <c r="A62" s="2"/>
      <c r="B62" s="117" t="s">
        <v>1974</v>
      </c>
      <c r="C62" s="14"/>
      <c r="D62" s="550" t="s">
        <v>394</v>
      </c>
      <c r="E62" s="729">
        <v>29719729.140198916</v>
      </c>
      <c r="F62" s="547" t="s">
        <v>2554</v>
      </c>
      <c r="G62" s="64"/>
      <c r="I62" s="718"/>
    </row>
    <row r="63" spans="1:10" x14ac:dyDescent="0.2">
      <c r="A63" s="2"/>
      <c r="B63" s="117" t="s">
        <v>1975</v>
      </c>
      <c r="C63" s="14"/>
      <c r="D63" s="550" t="s">
        <v>1580</v>
      </c>
      <c r="E63" s="874">
        <v>31528841.039000787</v>
      </c>
      <c r="F63" s="547" t="s">
        <v>2554</v>
      </c>
      <c r="G63" s="64"/>
      <c r="I63" s="64"/>
    </row>
    <row r="64" spans="1:10" x14ac:dyDescent="0.2">
      <c r="A64" s="2"/>
      <c r="B64" s="117" t="s">
        <v>1977</v>
      </c>
      <c r="C64" s="14"/>
      <c r="D64" s="389" t="s">
        <v>5</v>
      </c>
      <c r="E64" s="7">
        <f>SUM(E61:E63)</f>
        <v>96082577.600000009</v>
      </c>
      <c r="F64" s="46" t="str">
        <f>"Sum of "&amp;B61&amp;" to "&amp;B63&amp;""</f>
        <v>Sum of d to f</v>
      </c>
      <c r="G64" s="64"/>
      <c r="I64" s="14"/>
    </row>
    <row r="65" spans="1:10" x14ac:dyDescent="0.2">
      <c r="F65" s="14"/>
      <c r="G65" s="14"/>
    </row>
    <row r="66" spans="1:10" x14ac:dyDescent="0.2">
      <c r="B66" s="1" t="s">
        <v>542</v>
      </c>
      <c r="F66" s="14"/>
      <c r="G66" s="14"/>
    </row>
    <row r="67" spans="1:10" x14ac:dyDescent="0.2">
      <c r="E67" s="3" t="s">
        <v>196</v>
      </c>
      <c r="F67" s="1114" t="s">
        <v>264</v>
      </c>
      <c r="G67" s="14"/>
    </row>
    <row r="68" spans="1:10" x14ac:dyDescent="0.2">
      <c r="A68" s="2"/>
      <c r="B68" s="679" t="s">
        <v>1970</v>
      </c>
      <c r="D68" s="99" t="s">
        <v>538</v>
      </c>
      <c r="E68" s="112">
        <v>52707000</v>
      </c>
      <c r="F68" s="46" t="s">
        <v>544</v>
      </c>
      <c r="G68" s="14"/>
    </row>
    <row r="69" spans="1:10" x14ac:dyDescent="0.2">
      <c r="A69" s="2"/>
      <c r="B69" s="679" t="s">
        <v>1971</v>
      </c>
      <c r="D69" s="99" t="s">
        <v>539</v>
      </c>
      <c r="E69" s="151">
        <v>51276000</v>
      </c>
      <c r="F69" s="547" t="s">
        <v>35</v>
      </c>
      <c r="G69" s="14"/>
    </row>
    <row r="70" spans="1:10" x14ac:dyDescent="0.2">
      <c r="A70" s="2"/>
      <c r="B70" s="679" t="s">
        <v>1972</v>
      </c>
      <c r="D70" s="99" t="s">
        <v>541</v>
      </c>
      <c r="E70" s="150">
        <f>E69-E68</f>
        <v>-1431000</v>
      </c>
      <c r="F70" s="13" t="str">
        <f>""&amp;B69&amp;" - "&amp;B68&amp;""</f>
        <v>b - a</v>
      </c>
    </row>
    <row r="71" spans="1:10" x14ac:dyDescent="0.2">
      <c r="A71" s="540"/>
      <c r="B71" s="1" t="s">
        <v>1663</v>
      </c>
      <c r="D71" s="99"/>
      <c r="E71" s="150"/>
      <c r="F71" s="13"/>
    </row>
    <row r="72" spans="1:10" x14ac:dyDescent="0.2">
      <c r="A72" s="540"/>
      <c r="B72" s="1"/>
      <c r="C72" t="str">
        <f>"Amount in Line "&amp;A44&amp;", column 2 equals amount in Line "&amp;A13&amp;", column 1 because all Franchise Requirements Expenses are excluded"</f>
        <v>Amount in Line 31, column 2 equals amount in Line 8, column 1 because all Franchise Requirements Expenses are excluded</v>
      </c>
      <c r="D72" s="99"/>
      <c r="E72" s="150"/>
      <c r="F72" s="13"/>
    </row>
    <row r="73" spans="1:10" x14ac:dyDescent="0.2">
      <c r="A73" s="540"/>
      <c r="B73" s="1"/>
      <c r="C73" s="12" t="s">
        <v>1664</v>
      </c>
      <c r="D73" s="99"/>
      <c r="E73" s="150"/>
      <c r="F73" s="13"/>
    </row>
    <row r="75" spans="1:10" x14ac:dyDescent="0.2">
      <c r="B75" s="1" t="s">
        <v>422</v>
      </c>
    </row>
    <row r="76" spans="1:10" x14ac:dyDescent="0.2">
      <c r="C76" s="15" t="str">
        <f>"1) Enter amounts of A&amp;G expenses from FERC Form 1 in Lines "&amp;A6&amp;" to "&amp;A19&amp;"."</f>
        <v>1) Enter amounts of A&amp;G expenses from FERC Form 1 in Lines 1 to 14.</v>
      </c>
      <c r="D76" s="14"/>
      <c r="E76" s="14"/>
      <c r="F76" s="14"/>
      <c r="G76" s="14"/>
      <c r="H76" s="14"/>
      <c r="I76" s="14"/>
      <c r="J76" s="14"/>
    </row>
    <row r="77" spans="1:10" x14ac:dyDescent="0.2">
      <c r="C77" s="550" t="s">
        <v>2569</v>
      </c>
      <c r="D77" s="14"/>
      <c r="E77" s="14"/>
      <c r="F77" s="14"/>
      <c r="G77" s="14" t="str">
        <f>"Column 3, Line "&amp;A37&amp;""</f>
        <v>Column 3, Line 24</v>
      </c>
      <c r="H77" s="14"/>
      <c r="I77" s="14"/>
      <c r="J77" s="14"/>
    </row>
    <row r="78" spans="1:10" x14ac:dyDescent="0.2">
      <c r="C78" s="547" t="str">
        <f>"is calculated in Note 2.  The PBOPs exclusion in Column 4, Line "&amp;A43&amp;" is calculated in Note 3."</f>
        <v>is calculated in Note 2.  The PBOPs exclusion in Column 4, Line 30 is calculated in Note 3.</v>
      </c>
      <c r="D78" s="14"/>
      <c r="E78" s="14"/>
      <c r="F78" s="14"/>
      <c r="G78" s="15"/>
      <c r="H78" s="14"/>
      <c r="I78" s="14"/>
      <c r="J78" s="14"/>
    </row>
    <row r="79" spans="1:10" x14ac:dyDescent="0.2">
      <c r="C79" s="547" t="s">
        <v>1940</v>
      </c>
      <c r="D79" s="14"/>
      <c r="E79" s="14"/>
      <c r="F79" s="14"/>
      <c r="G79" s="14"/>
      <c r="H79" s="14"/>
      <c r="I79" s="14"/>
      <c r="J79" s="14"/>
    </row>
    <row r="80" spans="1:10" x14ac:dyDescent="0.2">
      <c r="C80" s="547" t="s">
        <v>2077</v>
      </c>
      <c r="D80" s="389"/>
      <c r="E80" s="543"/>
      <c r="F80" s="46"/>
      <c r="G80" s="14"/>
      <c r="H80" s="14"/>
      <c r="I80" s="14"/>
      <c r="J80" s="14"/>
    </row>
    <row r="81" spans="3:10" x14ac:dyDescent="0.2">
      <c r="C81" s="547" t="s">
        <v>2073</v>
      </c>
      <c r="D81" s="389"/>
      <c r="E81" s="543"/>
      <c r="F81" s="46"/>
      <c r="G81" s="14"/>
      <c r="H81" s="14"/>
      <c r="I81" s="14"/>
      <c r="J81" s="14"/>
    </row>
    <row r="82" spans="3:10" x14ac:dyDescent="0.2">
      <c r="C82" s="547" t="s">
        <v>2074</v>
      </c>
      <c r="D82" s="14"/>
      <c r="E82" s="14"/>
      <c r="F82" s="14"/>
      <c r="G82" s="14"/>
      <c r="H82" s="14"/>
      <c r="I82" s="14"/>
      <c r="J82" s="14"/>
    </row>
    <row r="83" spans="3:10" x14ac:dyDescent="0.2">
      <c r="C83" s="46" t="s">
        <v>543</v>
      </c>
      <c r="D83" s="14"/>
      <c r="E83" s="14"/>
      <c r="F83" s="14"/>
      <c r="G83" s="14"/>
      <c r="H83" s="14"/>
      <c r="I83" s="14"/>
      <c r="J83" s="14"/>
    </row>
    <row r="84" spans="3:10" x14ac:dyDescent="0.2">
      <c r="C84" s="547" t="s">
        <v>2075</v>
      </c>
      <c r="D84" s="14"/>
      <c r="E84" s="14"/>
      <c r="F84" s="14"/>
      <c r="G84" s="14"/>
      <c r="H84" s="14"/>
      <c r="I84" s="14"/>
      <c r="J84" s="14"/>
    </row>
    <row r="85" spans="3:10" x14ac:dyDescent="0.2">
      <c r="C85" s="547" t="s">
        <v>1677</v>
      </c>
      <c r="D85" s="14"/>
      <c r="E85" s="14"/>
      <c r="F85" s="14"/>
      <c r="G85" s="14"/>
      <c r="H85" s="14"/>
      <c r="I85" s="14"/>
      <c r="J85" s="14"/>
    </row>
    <row r="86" spans="3:10" x14ac:dyDescent="0.2">
      <c r="C86" s="547" t="s">
        <v>2076</v>
      </c>
      <c r="D86" s="14"/>
      <c r="E86" s="14"/>
      <c r="F86" s="14"/>
      <c r="G86" s="14"/>
      <c r="H86" s="14"/>
      <c r="I86" s="14"/>
      <c r="J86" s="14"/>
    </row>
    <row r="87" spans="3:10" x14ac:dyDescent="0.2">
      <c r="C87" s="547" t="s">
        <v>2111</v>
      </c>
      <c r="D87" s="550"/>
      <c r="E87" s="1188"/>
      <c r="F87" s="1188"/>
      <c r="G87" s="1188"/>
      <c r="H87" s="14"/>
      <c r="I87" s="14"/>
      <c r="J87" s="14"/>
    </row>
    <row r="88" spans="3:10" x14ac:dyDescent="0.2">
      <c r="C88" s="1129" t="s">
        <v>2109</v>
      </c>
      <c r="D88" s="550"/>
      <c r="E88" s="1188"/>
      <c r="F88" s="1188"/>
      <c r="G88" s="1188"/>
      <c r="H88" s="14"/>
      <c r="I88" s="14"/>
      <c r="J88" s="14"/>
    </row>
    <row r="89" spans="3:10" x14ac:dyDescent="0.2">
      <c r="C89" s="1129" t="s">
        <v>2110</v>
      </c>
      <c r="D89" s="550"/>
      <c r="E89" s="1188"/>
      <c r="F89" s="1188"/>
      <c r="G89" s="1188"/>
      <c r="H89" s="14"/>
      <c r="I89" s="14"/>
      <c r="J89" s="14"/>
    </row>
    <row r="90" spans="3:10" x14ac:dyDescent="0.2">
      <c r="C90" s="1129" t="s">
        <v>2112</v>
      </c>
      <c r="D90" s="550"/>
      <c r="E90" s="1188"/>
      <c r="F90" s="1188"/>
      <c r="G90" s="1188"/>
      <c r="H90" s="14"/>
      <c r="I90" s="14"/>
      <c r="J90" s="14"/>
    </row>
    <row r="91" spans="3:10" x14ac:dyDescent="0.2">
      <c r="C91" s="547" t="s">
        <v>2282</v>
      </c>
      <c r="D91" s="550"/>
      <c r="E91" s="1188"/>
      <c r="F91" s="1188"/>
      <c r="G91" s="1188"/>
      <c r="H91" s="14"/>
      <c r="I91" s="14"/>
      <c r="J91" s="14"/>
    </row>
    <row r="92" spans="3:10" x14ac:dyDescent="0.2">
      <c r="C92" s="1129" t="s">
        <v>2280</v>
      </c>
      <c r="D92" s="550"/>
      <c r="E92" s="1188"/>
      <c r="F92" s="1188"/>
      <c r="G92" s="1188"/>
      <c r="H92" s="14"/>
      <c r="I92" s="14"/>
      <c r="J92" s="14"/>
    </row>
    <row r="93" spans="3:10" x14ac:dyDescent="0.2">
      <c r="C93" s="1129" t="s">
        <v>2281</v>
      </c>
      <c r="D93" s="550"/>
      <c r="E93" s="1188"/>
      <c r="F93" s="1188"/>
      <c r="G93" s="1188"/>
      <c r="H93" s="14"/>
      <c r="I93" s="14"/>
      <c r="J93" s="14"/>
    </row>
    <row r="94" spans="3:10" x14ac:dyDescent="0.2">
      <c r="C94" s="1129" t="s">
        <v>2283</v>
      </c>
      <c r="D94" s="550"/>
      <c r="E94" s="1188"/>
      <c r="F94" s="1188"/>
      <c r="G94" s="1188"/>
      <c r="H94" s="14"/>
      <c r="I94" s="14"/>
      <c r="J94" s="14"/>
    </row>
    <row r="95" spans="3:10" x14ac:dyDescent="0.2">
      <c r="C95" s="1129" t="s">
        <v>2284</v>
      </c>
      <c r="D95" s="550"/>
      <c r="E95" s="1188"/>
      <c r="F95" s="1188"/>
      <c r="G95" s="1188"/>
      <c r="H95" s="14"/>
      <c r="I95" s="14"/>
      <c r="J95" s="14"/>
    </row>
    <row r="96" spans="3:10" x14ac:dyDescent="0.2">
      <c r="C96" s="547" t="s">
        <v>2285</v>
      </c>
      <c r="D96" s="550"/>
      <c r="E96" s="1188"/>
      <c r="F96" s="1188"/>
      <c r="G96" s="1188"/>
      <c r="H96" s="1188"/>
      <c r="I96" s="14"/>
      <c r="J96" s="14"/>
    </row>
    <row r="97" spans="3:10" x14ac:dyDescent="0.2">
      <c r="C97" s="1129" t="s">
        <v>2286</v>
      </c>
      <c r="D97" s="550"/>
      <c r="E97" s="1188"/>
      <c r="F97" s="1188"/>
      <c r="G97" s="1188"/>
      <c r="H97" s="14"/>
      <c r="I97" s="14"/>
      <c r="J97" s="14"/>
    </row>
    <row r="98" spans="3:10" x14ac:dyDescent="0.2">
      <c r="C98" s="1189" t="s">
        <v>2570</v>
      </c>
      <c r="D98" s="550"/>
      <c r="E98" s="1188"/>
      <c r="F98" s="1188"/>
      <c r="G98" s="1188"/>
      <c r="H98" s="14"/>
      <c r="I98" s="14"/>
      <c r="J98" s="14"/>
    </row>
    <row r="99" spans="3:10" x14ac:dyDescent="0.2">
      <c r="C99" s="1189" t="s">
        <v>2571</v>
      </c>
      <c r="D99" s="550"/>
      <c r="E99" s="1188"/>
      <c r="F99" s="1188"/>
      <c r="G99" s="1188"/>
      <c r="H99" s="14"/>
      <c r="I99" s="14"/>
      <c r="J99" s="14"/>
    </row>
    <row r="100" spans="3:10" x14ac:dyDescent="0.2">
      <c r="C100" s="1189" t="s">
        <v>2572</v>
      </c>
      <c r="D100" s="550"/>
      <c r="E100" s="1188"/>
      <c r="F100" s="1188"/>
      <c r="G100" s="1188"/>
      <c r="H100" s="14"/>
      <c r="I100" s="14"/>
      <c r="J100" s="14"/>
    </row>
    <row r="101" spans="3:10" x14ac:dyDescent="0.2">
      <c r="C101" s="1189" t="s">
        <v>2571</v>
      </c>
      <c r="D101" s="550"/>
      <c r="E101" s="1188"/>
      <c r="F101" s="1188"/>
      <c r="G101" s="1188"/>
      <c r="H101" s="14"/>
      <c r="I101" s="14"/>
      <c r="J101" s="14"/>
    </row>
    <row r="102" spans="3:10" x14ac:dyDescent="0.2">
      <c r="C102" s="1189" t="s">
        <v>2573</v>
      </c>
      <c r="D102" s="550"/>
      <c r="E102" s="1188"/>
      <c r="F102" s="1188"/>
      <c r="G102" s="1188"/>
      <c r="H102" s="14"/>
      <c r="I102" s="14"/>
      <c r="J102" s="14"/>
    </row>
    <row r="103" spans="3:10" x14ac:dyDescent="0.2">
      <c r="C103" s="1129" t="s">
        <v>2574</v>
      </c>
      <c r="D103" s="550"/>
      <c r="E103" s="1188"/>
      <c r="F103" s="1188"/>
      <c r="G103" s="1188"/>
      <c r="H103" s="14"/>
      <c r="I103" s="14"/>
      <c r="J103" s="14"/>
    </row>
    <row r="104" spans="3:10" x14ac:dyDescent="0.2">
      <c r="C104" s="1129" t="s">
        <v>2575</v>
      </c>
      <c r="D104" s="550"/>
      <c r="E104" s="1188"/>
      <c r="F104" s="1188"/>
      <c r="G104" s="1188"/>
      <c r="H104" s="14"/>
      <c r="I104" s="14"/>
      <c r="J104" s="14"/>
    </row>
    <row r="105" spans="3:10" x14ac:dyDescent="0.2">
      <c r="C105" s="1190" t="s">
        <v>2576</v>
      </c>
      <c r="D105" s="712"/>
      <c r="E105" s="712"/>
      <c r="F105" s="712"/>
      <c r="G105" s="712"/>
      <c r="H105" s="712"/>
      <c r="I105" s="712"/>
      <c r="J105" s="712"/>
    </row>
    <row r="106" spans="3:10" x14ac:dyDescent="0.2">
      <c r="C106" s="550" t="s">
        <v>2577</v>
      </c>
      <c r="D106" s="14"/>
      <c r="E106" s="14"/>
      <c r="F106" s="14"/>
      <c r="G106" s="14"/>
      <c r="H106" s="14"/>
      <c r="I106" s="14"/>
      <c r="J106" s="14"/>
    </row>
    <row r="107" spans="3:10" x14ac:dyDescent="0.2">
      <c r="C107" s="1190" t="s">
        <v>2578</v>
      </c>
      <c r="D107" s="731"/>
      <c r="E107" s="731"/>
      <c r="F107" s="731"/>
      <c r="G107" s="731"/>
      <c r="H107" s="731"/>
      <c r="I107" s="731"/>
      <c r="J107" s="14"/>
    </row>
    <row r="108" spans="3:10" x14ac:dyDescent="0.2">
      <c r="C108" s="15" t="str">
        <f>"4) Determine the PBOPs exclusion.  The authorized amount of PBOPs expense (line "&amp;B68&amp;") may only be revised"</f>
        <v>4) Determine the PBOPs exclusion.  The authorized amount of PBOPs expense (line a) may only be revised</v>
      </c>
      <c r="D108" s="14"/>
      <c r="E108" s="14"/>
      <c r="F108" s="14"/>
      <c r="G108" s="14"/>
      <c r="H108" s="14"/>
      <c r="I108" s="14"/>
      <c r="J108" s="14"/>
    </row>
    <row r="109" spans="3:10" x14ac:dyDescent="0.2">
      <c r="C109" s="15" t="s">
        <v>1223</v>
      </c>
      <c r="D109" s="14"/>
      <c r="E109" s="14"/>
      <c r="F109" s="14"/>
      <c r="G109" s="14"/>
      <c r="H109" s="14"/>
      <c r="I109" s="14"/>
      <c r="J109" s="14"/>
    </row>
    <row r="110" spans="3:10" x14ac:dyDescent="0.2">
      <c r="C110" s="15" t="s">
        <v>1244</v>
      </c>
      <c r="D110" s="14"/>
      <c r="E110" s="14"/>
      <c r="F110" s="14"/>
      <c r="G110" s="14"/>
      <c r="H110" s="14"/>
      <c r="I110" s="14"/>
      <c r="J110" s="14"/>
    </row>
    <row r="111" spans="3:10" x14ac:dyDescent="0.2">
      <c r="C111" s="550" t="s">
        <v>2043</v>
      </c>
      <c r="D111" s="14"/>
      <c r="E111" s="14"/>
      <c r="F111" s="14"/>
      <c r="G111" s="14"/>
      <c r="H111" s="14"/>
      <c r="I111" s="558"/>
      <c r="J111" s="102"/>
    </row>
    <row r="112" spans="3:10" x14ac:dyDescent="0.2">
      <c r="C112" s="550" t="s">
        <v>2234</v>
      </c>
      <c r="D112" s="14"/>
      <c r="E112" s="14"/>
      <c r="F112" s="14"/>
      <c r="G112" s="14"/>
      <c r="H112" s="14"/>
      <c r="I112" s="14"/>
    </row>
  </sheetData>
  <phoneticPr fontId="12" type="noConversion"/>
  <pageMargins left="0.75" right="0.75" top="1" bottom="1" header="0.5" footer="0.5"/>
  <pageSetup scale="75" orientation="landscape" cellComments="asDisplayed" r:id="rId1"/>
  <headerFooter alignWithMargins="0">
    <oddHeader>&amp;CSchedule 20
Administrative and General Expenses
&amp;RTO8 Annual Update (Revised)
Attachment  1</oddHeader>
    <oddFooter>&amp;R&amp;A</oddFooter>
  </headerFooter>
  <rowBreaks count="2" manualBreakCount="2">
    <brk id="50" max="9" man="1"/>
    <brk id="7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2"/>
  <sheetViews>
    <sheetView view="pageLayout" zoomScale="80" zoomScaleNormal="75" zoomScalePageLayoutView="80" workbookViewId="0">
      <selection activeCell="A3" sqref="A3"/>
    </sheetView>
  </sheetViews>
  <sheetFormatPr defaultRowHeight="12.75" x14ac:dyDescent="0.2"/>
  <cols>
    <col min="1" max="1" width="6.28515625" style="240" customWidth="1"/>
    <col min="2" max="2" width="8.5703125" style="40" customWidth="1"/>
    <col min="3" max="3" width="9.85546875" style="240" customWidth="1"/>
    <col min="4" max="4" width="51.5703125" style="40" customWidth="1"/>
    <col min="5" max="5" width="16.28515625" style="383" customWidth="1"/>
    <col min="6" max="6" width="16.140625" style="383" customWidth="1"/>
    <col min="7" max="7" width="18.42578125" style="383" bestFit="1" customWidth="1"/>
    <col min="8" max="8" width="15.85546875" style="238" bestFit="1" customWidth="1"/>
    <col min="9" max="9" width="16.85546875" style="238" bestFit="1" customWidth="1"/>
    <col min="10" max="10" width="15.7109375" style="383" customWidth="1"/>
    <col min="11" max="11" width="6.5703125" style="338" customWidth="1"/>
    <col min="12" max="12" width="16.42578125" style="324" customWidth="1"/>
    <col min="13" max="13" width="17.140625" style="230" bestFit="1" customWidth="1"/>
    <col min="14" max="14" width="18.42578125" style="383" bestFit="1" customWidth="1"/>
    <col min="15" max="15" width="8.5703125" style="230" customWidth="1"/>
  </cols>
  <sheetData>
    <row r="1" spans="1:15" x14ac:dyDescent="0.2">
      <c r="A1" s="360"/>
      <c r="B1" s="209" t="s">
        <v>617</v>
      </c>
      <c r="C1" s="210" t="s">
        <v>618</v>
      </c>
      <c r="D1" s="209" t="s">
        <v>619</v>
      </c>
      <c r="E1" s="210" t="s">
        <v>620</v>
      </c>
      <c r="F1" s="209" t="s">
        <v>621</v>
      </c>
      <c r="G1" s="210" t="s">
        <v>622</v>
      </c>
      <c r="H1" s="209" t="s">
        <v>623</v>
      </c>
      <c r="I1" s="210" t="s">
        <v>624</v>
      </c>
      <c r="J1" s="209" t="s">
        <v>625</v>
      </c>
      <c r="K1" s="210" t="s">
        <v>626</v>
      </c>
      <c r="L1" s="209" t="s">
        <v>627</v>
      </c>
      <c r="M1" s="210" t="s">
        <v>628</v>
      </c>
      <c r="N1" s="209" t="s">
        <v>629</v>
      </c>
      <c r="O1" s="210" t="s">
        <v>630</v>
      </c>
    </row>
    <row r="2" spans="1:15" x14ac:dyDescent="0.2">
      <c r="A2" s="357"/>
      <c r="B2" s="358"/>
      <c r="C2" s="358"/>
      <c r="D2" s="358"/>
      <c r="E2" s="359"/>
      <c r="F2" s="359"/>
      <c r="G2" s="1426" t="s">
        <v>631</v>
      </c>
      <c r="H2" s="1427"/>
      <c r="I2" s="1428"/>
      <c r="J2" s="1426" t="s">
        <v>632</v>
      </c>
      <c r="K2" s="1427"/>
      <c r="L2" s="1427"/>
      <c r="M2" s="1428"/>
      <c r="N2" s="341" t="s">
        <v>633</v>
      </c>
      <c r="O2" s="357"/>
    </row>
    <row r="3" spans="1:15" ht="25.5" x14ac:dyDescent="0.2">
      <c r="A3" s="211" t="s">
        <v>362</v>
      </c>
      <c r="B3" s="212" t="s">
        <v>634</v>
      </c>
      <c r="C3" s="213" t="s">
        <v>635</v>
      </c>
      <c r="D3" s="212" t="s">
        <v>636</v>
      </c>
      <c r="E3" s="314" t="s">
        <v>637</v>
      </c>
      <c r="F3" s="315" t="s">
        <v>638</v>
      </c>
      <c r="G3" s="315" t="s">
        <v>217</v>
      </c>
      <c r="H3" s="214" t="s">
        <v>480</v>
      </c>
      <c r="I3" s="214" t="s">
        <v>639</v>
      </c>
      <c r="J3" s="314" t="s">
        <v>217</v>
      </c>
      <c r="K3" s="337" t="s">
        <v>640</v>
      </c>
      <c r="L3" s="317" t="s">
        <v>641</v>
      </c>
      <c r="M3" s="215" t="s">
        <v>329</v>
      </c>
      <c r="N3" s="314" t="s">
        <v>217</v>
      </c>
      <c r="O3" s="215" t="s">
        <v>189</v>
      </c>
    </row>
    <row r="4" spans="1:15" x14ac:dyDescent="0.2">
      <c r="A4" s="216" t="s">
        <v>642</v>
      </c>
      <c r="B4" s="217">
        <v>450</v>
      </c>
      <c r="C4" s="217" t="s">
        <v>643</v>
      </c>
      <c r="D4" s="218" t="s">
        <v>1345</v>
      </c>
      <c r="E4" s="326">
        <v>6261804.6500000004</v>
      </c>
      <c r="F4" s="322" t="str">
        <f>$G$2</f>
        <v>Traditional OOR</v>
      </c>
      <c r="G4" s="322">
        <f>IF(F4=$G$2,E4,0)</f>
        <v>6261804.6500000004</v>
      </c>
      <c r="H4" s="219">
        <v>0</v>
      </c>
      <c r="I4" s="220">
        <f>G4-H4</f>
        <v>6261804.6500000004</v>
      </c>
      <c r="J4" s="322">
        <f>IF(F4=$J$2,E4,0)</f>
        <v>0</v>
      </c>
      <c r="K4" s="316"/>
      <c r="L4" s="326"/>
      <c r="M4" s="221">
        <f>J4-L4</f>
        <v>0</v>
      </c>
      <c r="N4" s="322">
        <f>IF(F4=$N$2,E4,0)</f>
        <v>0</v>
      </c>
      <c r="O4" s="219">
        <v>1</v>
      </c>
    </row>
    <row r="5" spans="1:15" x14ac:dyDescent="0.2">
      <c r="A5" s="222" t="s">
        <v>644</v>
      </c>
      <c r="B5" s="217">
        <v>450</v>
      </c>
      <c r="C5" s="223" t="s">
        <v>645</v>
      </c>
      <c r="D5" s="218" t="s">
        <v>646</v>
      </c>
      <c r="E5" s="326">
        <v>10849095.289999999</v>
      </c>
      <c r="F5" s="322" t="str">
        <f>$G$2</f>
        <v>Traditional OOR</v>
      </c>
      <c r="G5" s="322">
        <f>IF(F5=$G$2,E5,0)</f>
        <v>10849095.289999999</v>
      </c>
      <c r="H5" s="219">
        <v>0</v>
      </c>
      <c r="I5" s="220">
        <f>G5-H5</f>
        <v>10849095.289999999</v>
      </c>
      <c r="J5" s="322">
        <f>IF(F5=$J$2,E5,0)</f>
        <v>0</v>
      </c>
      <c r="K5" s="316"/>
      <c r="L5" s="326"/>
      <c r="M5" s="221">
        <f>J5-L5</f>
        <v>0</v>
      </c>
      <c r="N5" s="322">
        <f>IF(F5=$N$2,E5,0)</f>
        <v>0</v>
      </c>
      <c r="O5" s="224">
        <v>1</v>
      </c>
    </row>
    <row r="6" spans="1:15" x14ac:dyDescent="0.2">
      <c r="A6" s="222" t="s">
        <v>647</v>
      </c>
      <c r="B6" s="217">
        <v>450</v>
      </c>
      <c r="C6" s="223" t="s">
        <v>648</v>
      </c>
      <c r="D6" s="218" t="s">
        <v>649</v>
      </c>
      <c r="E6" s="529">
        <v>0</v>
      </c>
      <c r="F6" s="322" t="str">
        <f>$G$2</f>
        <v>Traditional OOR</v>
      </c>
      <c r="G6" s="322">
        <f>IF(F6=$G$2,E6,0)</f>
        <v>0</v>
      </c>
      <c r="H6" s="219">
        <v>0</v>
      </c>
      <c r="I6" s="220">
        <f>G6-H6</f>
        <v>0</v>
      </c>
      <c r="J6" s="322">
        <f>IF(F6=$J$2,E6,0)</f>
        <v>0</v>
      </c>
      <c r="K6" s="316"/>
      <c r="L6" s="326"/>
      <c r="M6" s="221">
        <f>J6-L6</f>
        <v>0</v>
      </c>
      <c r="N6" s="322">
        <f>IF(F6=$N$2,E6,0)</f>
        <v>0</v>
      </c>
      <c r="O6" s="224">
        <v>1</v>
      </c>
    </row>
    <row r="7" spans="1:15" x14ac:dyDescent="0.2">
      <c r="A7" s="356"/>
      <c r="B7" s="352"/>
      <c r="C7" s="351"/>
      <c r="D7" s="353"/>
      <c r="E7" s="331"/>
      <c r="F7" s="331"/>
      <c r="G7" s="326"/>
      <c r="H7" s="327"/>
      <c r="I7" s="328"/>
      <c r="J7" s="326"/>
      <c r="K7" s="330"/>
      <c r="L7" s="326"/>
      <c r="M7" s="328"/>
      <c r="N7" s="326"/>
      <c r="O7" s="327"/>
    </row>
    <row r="8" spans="1:15" x14ac:dyDescent="0.2">
      <c r="A8" s="356"/>
      <c r="B8" s="352"/>
      <c r="C8" s="351"/>
      <c r="D8" s="353"/>
      <c r="E8" s="331"/>
      <c r="F8" s="331"/>
      <c r="G8" s="326"/>
      <c r="H8" s="327"/>
      <c r="I8" s="328"/>
      <c r="J8" s="326"/>
      <c r="K8" s="330"/>
      <c r="L8" s="326"/>
      <c r="M8" s="328"/>
      <c r="N8" s="326"/>
      <c r="O8" s="327"/>
    </row>
    <row r="9" spans="1:15" x14ac:dyDescent="0.2">
      <c r="A9" s="222">
        <v>2</v>
      </c>
      <c r="B9" s="1437" t="s">
        <v>650</v>
      </c>
      <c r="C9" s="1435"/>
      <c r="D9" s="1436"/>
      <c r="E9" s="319">
        <f>SUM(E4:E8)</f>
        <v>17110899.939999998</v>
      </c>
      <c r="F9" s="344"/>
      <c r="G9" s="319">
        <f>SUM(G4:G8)</f>
        <v>17110899.939999998</v>
      </c>
      <c r="H9" s="210">
        <f>SUM(H4:H8)</f>
        <v>0</v>
      </c>
      <c r="I9" s="335">
        <f>SUM(I4:I8)</f>
        <v>17110899.939999998</v>
      </c>
      <c r="J9" s="319">
        <f>SUM(J4:J8)</f>
        <v>0</v>
      </c>
      <c r="K9" s="344"/>
      <c r="L9" s="319">
        <f>SUM(L4:L8)</f>
        <v>0</v>
      </c>
      <c r="M9" s="319">
        <f>SUM(M4:M8)</f>
        <v>0</v>
      </c>
      <c r="N9" s="319">
        <f>SUM(N4:N8)</f>
        <v>0</v>
      </c>
      <c r="O9" s="224"/>
    </row>
    <row r="10" spans="1:15" ht="12.75" customHeight="1" x14ac:dyDescent="0.2">
      <c r="A10" s="222">
        <v>3</v>
      </c>
      <c r="B10" s="1429" t="s">
        <v>1395</v>
      </c>
      <c r="C10" s="1430"/>
      <c r="D10" s="1431"/>
      <c r="E10" s="332">
        <v>17110900</v>
      </c>
      <c r="F10" s="334"/>
      <c r="G10" s="320"/>
      <c r="H10" s="334"/>
      <c r="I10" s="334"/>
      <c r="J10" s="320"/>
      <c r="K10" s="334"/>
      <c r="L10" s="320"/>
      <c r="M10" s="320"/>
      <c r="N10" s="320"/>
      <c r="O10" s="208"/>
    </row>
    <row r="11" spans="1:15" x14ac:dyDescent="0.2">
      <c r="A11" s="225"/>
      <c r="B11" s="226"/>
      <c r="C11" s="227"/>
      <c r="D11" s="228"/>
      <c r="E11" s="320"/>
      <c r="F11" s="320"/>
      <c r="G11" s="320"/>
      <c r="H11" s="334"/>
      <c r="I11" s="334"/>
      <c r="J11" s="320"/>
      <c r="K11" s="334"/>
      <c r="L11" s="320"/>
      <c r="M11" s="320"/>
      <c r="N11" s="320"/>
      <c r="O11" s="208"/>
    </row>
    <row r="12" spans="1:15" x14ac:dyDescent="0.2">
      <c r="A12" s="222" t="s">
        <v>651</v>
      </c>
      <c r="B12" s="217">
        <v>451</v>
      </c>
      <c r="C12" s="223" t="s">
        <v>652</v>
      </c>
      <c r="D12" s="218" t="s">
        <v>653</v>
      </c>
      <c r="E12" s="326">
        <v>204897.05</v>
      </c>
      <c r="F12" s="322" t="str">
        <f t="shared" ref="F12:F18" si="0">$G$2</f>
        <v>Traditional OOR</v>
      </c>
      <c r="G12" s="322">
        <f t="shared" ref="G12:G25" si="1">IF(F12=$G$2,E12,0)</f>
        <v>204897.05</v>
      </c>
      <c r="H12" s="219">
        <v>0</v>
      </c>
      <c r="I12" s="220">
        <f t="shared" ref="I12:I25" si="2">G12-H12</f>
        <v>204897.05</v>
      </c>
      <c r="J12" s="322">
        <f t="shared" ref="J12:J25" si="3">IF(F12=$J$2,E12,0)</f>
        <v>0</v>
      </c>
      <c r="K12" s="322"/>
      <c r="L12" s="328"/>
      <c r="M12" s="221">
        <f t="shared" ref="M12:M18" si="4">J12-L12</f>
        <v>0</v>
      </c>
      <c r="N12" s="322">
        <f t="shared" ref="N12:N25" si="5">IF(F12=$N$2,E12,0)</f>
        <v>0</v>
      </c>
      <c r="O12" s="224">
        <v>1</v>
      </c>
    </row>
    <row r="13" spans="1:15" x14ac:dyDescent="0.2">
      <c r="A13" s="222" t="s">
        <v>654</v>
      </c>
      <c r="B13" s="217">
        <v>451</v>
      </c>
      <c r="C13" s="223" t="s">
        <v>655</v>
      </c>
      <c r="D13" s="218" t="s">
        <v>656</v>
      </c>
      <c r="E13" s="326">
        <v>1722959.5</v>
      </c>
      <c r="F13" s="322" t="str">
        <f t="shared" si="0"/>
        <v>Traditional OOR</v>
      </c>
      <c r="G13" s="322">
        <f t="shared" si="1"/>
        <v>1722959.5</v>
      </c>
      <c r="H13" s="219">
        <v>0</v>
      </c>
      <c r="I13" s="220">
        <f t="shared" si="2"/>
        <v>1722959.5</v>
      </c>
      <c r="J13" s="322">
        <f t="shared" si="3"/>
        <v>0</v>
      </c>
      <c r="K13" s="322"/>
      <c r="L13" s="328"/>
      <c r="M13" s="221">
        <f t="shared" si="4"/>
        <v>0</v>
      </c>
      <c r="N13" s="322">
        <f t="shared" si="5"/>
        <v>0</v>
      </c>
      <c r="O13" s="224">
        <v>1</v>
      </c>
    </row>
    <row r="14" spans="1:15" x14ac:dyDescent="0.2">
      <c r="A14" s="222" t="s">
        <v>657</v>
      </c>
      <c r="B14" s="217">
        <v>451</v>
      </c>
      <c r="C14" s="223" t="s">
        <v>658</v>
      </c>
      <c r="D14" s="218" t="s">
        <v>659</v>
      </c>
      <c r="E14" s="326">
        <v>4348</v>
      </c>
      <c r="F14" s="322" t="str">
        <f t="shared" si="0"/>
        <v>Traditional OOR</v>
      </c>
      <c r="G14" s="322">
        <f t="shared" si="1"/>
        <v>4348</v>
      </c>
      <c r="H14" s="219">
        <v>0</v>
      </c>
      <c r="I14" s="220">
        <f t="shared" si="2"/>
        <v>4348</v>
      </c>
      <c r="J14" s="322">
        <f t="shared" si="3"/>
        <v>0</v>
      </c>
      <c r="K14" s="322"/>
      <c r="L14" s="328"/>
      <c r="M14" s="221">
        <f t="shared" si="4"/>
        <v>0</v>
      </c>
      <c r="N14" s="322">
        <f t="shared" si="5"/>
        <v>0</v>
      </c>
      <c r="O14" s="224">
        <v>1</v>
      </c>
    </row>
    <row r="15" spans="1:15" x14ac:dyDescent="0.2">
      <c r="A15" s="222" t="s">
        <v>660</v>
      </c>
      <c r="B15" s="217">
        <v>451</v>
      </c>
      <c r="C15" s="223" t="s">
        <v>661</v>
      </c>
      <c r="D15" s="218" t="s">
        <v>662</v>
      </c>
      <c r="E15" s="326">
        <v>1623285.88</v>
      </c>
      <c r="F15" s="322" t="str">
        <f t="shared" si="0"/>
        <v>Traditional OOR</v>
      </c>
      <c r="G15" s="322">
        <f t="shared" si="1"/>
        <v>1623285.88</v>
      </c>
      <c r="H15" s="219">
        <v>0</v>
      </c>
      <c r="I15" s="220">
        <f t="shared" si="2"/>
        <v>1623285.88</v>
      </c>
      <c r="J15" s="322">
        <f t="shared" si="3"/>
        <v>0</v>
      </c>
      <c r="K15" s="322"/>
      <c r="L15" s="328"/>
      <c r="M15" s="221">
        <f t="shared" si="4"/>
        <v>0</v>
      </c>
      <c r="N15" s="322">
        <f t="shared" si="5"/>
        <v>0</v>
      </c>
      <c r="O15" s="224">
        <v>1</v>
      </c>
    </row>
    <row r="16" spans="1:15" x14ac:dyDescent="0.2">
      <c r="A16" s="222" t="s">
        <v>663</v>
      </c>
      <c r="B16" s="217">
        <v>451</v>
      </c>
      <c r="C16" s="223" t="s">
        <v>664</v>
      </c>
      <c r="D16" s="218" t="s">
        <v>665</v>
      </c>
      <c r="E16" s="326">
        <v>4861925.7300000004</v>
      </c>
      <c r="F16" s="322" t="str">
        <f t="shared" si="0"/>
        <v>Traditional OOR</v>
      </c>
      <c r="G16" s="322">
        <f t="shared" si="1"/>
        <v>4861925.7300000004</v>
      </c>
      <c r="H16" s="219">
        <v>0</v>
      </c>
      <c r="I16" s="220">
        <f t="shared" si="2"/>
        <v>4861925.7300000004</v>
      </c>
      <c r="J16" s="322">
        <f t="shared" si="3"/>
        <v>0</v>
      </c>
      <c r="K16" s="322"/>
      <c r="L16" s="328"/>
      <c r="M16" s="221">
        <f t="shared" si="4"/>
        <v>0</v>
      </c>
      <c r="N16" s="322">
        <f t="shared" si="5"/>
        <v>0</v>
      </c>
      <c r="O16" s="224">
        <v>1</v>
      </c>
    </row>
    <row r="17" spans="1:15" x14ac:dyDescent="0.2">
      <c r="A17" s="222" t="s">
        <v>666</v>
      </c>
      <c r="B17" s="217">
        <v>451</v>
      </c>
      <c r="C17" s="223" t="s">
        <v>667</v>
      </c>
      <c r="D17" s="218" t="s">
        <v>668</v>
      </c>
      <c r="E17" s="326">
        <v>15793728.07</v>
      </c>
      <c r="F17" s="322" t="str">
        <f t="shared" si="0"/>
        <v>Traditional OOR</v>
      </c>
      <c r="G17" s="322">
        <f t="shared" si="1"/>
        <v>15793728.07</v>
      </c>
      <c r="H17" s="219">
        <v>0</v>
      </c>
      <c r="I17" s="220">
        <f t="shared" si="2"/>
        <v>15793728.07</v>
      </c>
      <c r="J17" s="322">
        <f t="shared" si="3"/>
        <v>0</v>
      </c>
      <c r="K17" s="322"/>
      <c r="L17" s="328"/>
      <c r="M17" s="221">
        <f t="shared" si="4"/>
        <v>0</v>
      </c>
      <c r="N17" s="322">
        <f t="shared" si="5"/>
        <v>0</v>
      </c>
      <c r="O17" s="224">
        <v>1</v>
      </c>
    </row>
    <row r="18" spans="1:15" x14ac:dyDescent="0.2">
      <c r="A18" s="222" t="s">
        <v>669</v>
      </c>
      <c r="B18" s="217">
        <v>451</v>
      </c>
      <c r="C18" s="223" t="s">
        <v>670</v>
      </c>
      <c r="D18" s="218" t="s">
        <v>671</v>
      </c>
      <c r="E18" s="326">
        <v>3154090.73</v>
      </c>
      <c r="F18" s="322" t="str">
        <f t="shared" si="0"/>
        <v>Traditional OOR</v>
      </c>
      <c r="G18" s="322">
        <f t="shared" si="1"/>
        <v>3154090.73</v>
      </c>
      <c r="H18" s="219">
        <v>0</v>
      </c>
      <c r="I18" s="220">
        <f t="shared" si="2"/>
        <v>3154090.73</v>
      </c>
      <c r="J18" s="322">
        <f t="shared" si="3"/>
        <v>0</v>
      </c>
      <c r="K18" s="322"/>
      <c r="L18" s="328"/>
      <c r="M18" s="221">
        <f t="shared" si="4"/>
        <v>0</v>
      </c>
      <c r="N18" s="322">
        <f t="shared" si="5"/>
        <v>0</v>
      </c>
      <c r="O18" s="224">
        <v>1</v>
      </c>
    </row>
    <row r="19" spans="1:15" x14ac:dyDescent="0.2">
      <c r="A19" s="222" t="s">
        <v>672</v>
      </c>
      <c r="B19" s="217">
        <v>451</v>
      </c>
      <c r="C19" s="223" t="s">
        <v>673</v>
      </c>
      <c r="D19" s="218" t="s">
        <v>674</v>
      </c>
      <c r="E19" s="326">
        <v>290324.7</v>
      </c>
      <c r="F19" s="322" t="str">
        <f>$J$2</f>
        <v>GRSM</v>
      </c>
      <c r="G19" s="322">
        <f t="shared" si="1"/>
        <v>0</v>
      </c>
      <c r="H19" s="219">
        <v>0</v>
      </c>
      <c r="I19" s="220">
        <f t="shared" si="2"/>
        <v>0</v>
      </c>
      <c r="J19" s="322">
        <f t="shared" si="3"/>
        <v>290324.7</v>
      </c>
      <c r="K19" s="361" t="s">
        <v>675</v>
      </c>
      <c r="L19" s="328">
        <v>288260.59999999998</v>
      </c>
      <c r="M19" s="221">
        <f>J19-L19</f>
        <v>2064.1000000000349</v>
      </c>
      <c r="N19" s="322">
        <f t="shared" si="5"/>
        <v>0</v>
      </c>
      <c r="O19" s="224">
        <v>2</v>
      </c>
    </row>
    <row r="20" spans="1:15" x14ac:dyDescent="0.2">
      <c r="A20" s="222" t="s">
        <v>676</v>
      </c>
      <c r="B20" s="217">
        <v>451</v>
      </c>
      <c r="C20" s="223" t="s">
        <v>677</v>
      </c>
      <c r="D20" s="218" t="s">
        <v>678</v>
      </c>
      <c r="E20" s="326">
        <v>237104.65</v>
      </c>
      <c r="F20" s="322" t="str">
        <f>$N$2</f>
        <v>Other Ratemaking</v>
      </c>
      <c r="G20" s="322">
        <f t="shared" si="1"/>
        <v>0</v>
      </c>
      <c r="H20" s="219">
        <v>0</v>
      </c>
      <c r="I20" s="220">
        <f t="shared" si="2"/>
        <v>0</v>
      </c>
      <c r="J20" s="322">
        <f t="shared" si="3"/>
        <v>0</v>
      </c>
      <c r="K20" s="322"/>
      <c r="L20" s="328"/>
      <c r="M20" s="221">
        <f>J20-L20</f>
        <v>0</v>
      </c>
      <c r="N20" s="322">
        <f t="shared" si="5"/>
        <v>237104.65</v>
      </c>
      <c r="O20" s="224">
        <v>6</v>
      </c>
    </row>
    <row r="21" spans="1:15" x14ac:dyDescent="0.2">
      <c r="A21" s="216" t="s">
        <v>2675</v>
      </c>
      <c r="B21" s="217">
        <v>451</v>
      </c>
      <c r="C21" s="217">
        <v>4182120</v>
      </c>
      <c r="D21" s="235" t="s">
        <v>2676</v>
      </c>
      <c r="E21" s="326">
        <v>-9859.73</v>
      </c>
      <c r="F21" s="322" t="s">
        <v>631</v>
      </c>
      <c r="G21" s="322">
        <f t="shared" si="1"/>
        <v>-9859.73</v>
      </c>
      <c r="H21" s="219">
        <v>0</v>
      </c>
      <c r="I21" s="220">
        <f t="shared" si="2"/>
        <v>-9859.73</v>
      </c>
      <c r="J21" s="322">
        <f t="shared" si="3"/>
        <v>0</v>
      </c>
      <c r="K21" s="322"/>
      <c r="L21" s="328"/>
      <c r="M21" s="220">
        <f t="shared" ref="M21:M25" si="6">J21-L21</f>
        <v>0</v>
      </c>
      <c r="N21" s="322">
        <f t="shared" si="5"/>
        <v>0</v>
      </c>
      <c r="O21" s="219">
        <v>1</v>
      </c>
    </row>
    <row r="22" spans="1:15" x14ac:dyDescent="0.2">
      <c r="A22" s="216" t="s">
        <v>2677</v>
      </c>
      <c r="B22" s="217">
        <v>451</v>
      </c>
      <c r="C22" s="217">
        <v>4192152</v>
      </c>
      <c r="D22" s="235" t="s">
        <v>2678</v>
      </c>
      <c r="E22" s="326">
        <v>50400</v>
      </c>
      <c r="F22" s="322" t="s">
        <v>633</v>
      </c>
      <c r="G22" s="322">
        <f t="shared" si="1"/>
        <v>0</v>
      </c>
      <c r="H22" s="219">
        <v>0</v>
      </c>
      <c r="I22" s="220">
        <f t="shared" si="2"/>
        <v>0</v>
      </c>
      <c r="J22" s="322">
        <f t="shared" si="3"/>
        <v>0</v>
      </c>
      <c r="K22" s="322"/>
      <c r="L22" s="328"/>
      <c r="M22" s="220">
        <f t="shared" si="6"/>
        <v>0</v>
      </c>
      <c r="N22" s="322">
        <f t="shared" si="5"/>
        <v>50400</v>
      </c>
      <c r="O22" s="219">
        <v>1</v>
      </c>
    </row>
    <row r="23" spans="1:15" x14ac:dyDescent="0.2">
      <c r="A23" s="216" t="s">
        <v>2679</v>
      </c>
      <c r="B23" s="217">
        <v>451</v>
      </c>
      <c r="C23" s="217">
        <v>4192155</v>
      </c>
      <c r="D23" s="235" t="s">
        <v>2680</v>
      </c>
      <c r="E23" s="326">
        <v>100645</v>
      </c>
      <c r="F23" s="322" t="s">
        <v>633</v>
      </c>
      <c r="G23" s="322">
        <f t="shared" si="1"/>
        <v>0</v>
      </c>
      <c r="H23" s="219">
        <v>0</v>
      </c>
      <c r="I23" s="220">
        <f t="shared" si="2"/>
        <v>0</v>
      </c>
      <c r="J23" s="322">
        <f t="shared" si="3"/>
        <v>0</v>
      </c>
      <c r="K23" s="322"/>
      <c r="L23" s="328"/>
      <c r="M23" s="220">
        <f t="shared" si="6"/>
        <v>0</v>
      </c>
      <c r="N23" s="322">
        <f t="shared" si="5"/>
        <v>100645</v>
      </c>
      <c r="O23" s="219">
        <v>1</v>
      </c>
    </row>
    <row r="24" spans="1:15" x14ac:dyDescent="0.2">
      <c r="A24" s="216" t="s">
        <v>2681</v>
      </c>
      <c r="B24" s="217">
        <v>451</v>
      </c>
      <c r="C24" s="217">
        <v>4192158</v>
      </c>
      <c r="D24" s="235" t="s">
        <v>2682</v>
      </c>
      <c r="E24" s="326">
        <v>1114265</v>
      </c>
      <c r="F24" s="322" t="s">
        <v>633</v>
      </c>
      <c r="G24" s="322">
        <f t="shared" si="1"/>
        <v>0</v>
      </c>
      <c r="H24" s="219">
        <v>0</v>
      </c>
      <c r="I24" s="220">
        <f t="shared" si="2"/>
        <v>0</v>
      </c>
      <c r="J24" s="322">
        <f t="shared" si="3"/>
        <v>0</v>
      </c>
      <c r="K24" s="322"/>
      <c r="L24" s="328"/>
      <c r="M24" s="220">
        <f t="shared" si="6"/>
        <v>0</v>
      </c>
      <c r="N24" s="322">
        <f t="shared" si="5"/>
        <v>1114265</v>
      </c>
      <c r="O24" s="219">
        <v>1</v>
      </c>
    </row>
    <row r="25" spans="1:15" x14ac:dyDescent="0.2">
      <c r="A25" s="216" t="s">
        <v>2683</v>
      </c>
      <c r="B25" s="217">
        <v>451</v>
      </c>
      <c r="C25" s="217">
        <v>4192160</v>
      </c>
      <c r="D25" s="235" t="s">
        <v>2684</v>
      </c>
      <c r="E25" s="326">
        <v>661990</v>
      </c>
      <c r="F25" s="322" t="s">
        <v>633</v>
      </c>
      <c r="G25" s="322">
        <f t="shared" si="1"/>
        <v>0</v>
      </c>
      <c r="H25" s="219">
        <v>0</v>
      </c>
      <c r="I25" s="220">
        <f t="shared" si="2"/>
        <v>0</v>
      </c>
      <c r="J25" s="322">
        <f t="shared" si="3"/>
        <v>0</v>
      </c>
      <c r="K25" s="322"/>
      <c r="L25" s="328"/>
      <c r="M25" s="220">
        <f t="shared" si="6"/>
        <v>0</v>
      </c>
      <c r="N25" s="322">
        <f t="shared" si="5"/>
        <v>661990</v>
      </c>
      <c r="O25" s="219">
        <v>1</v>
      </c>
    </row>
    <row r="26" spans="1:15" x14ac:dyDescent="0.2">
      <c r="A26" s="356"/>
      <c r="B26" s="352"/>
      <c r="C26" s="352"/>
      <c r="D26" s="872"/>
      <c r="E26" s="326"/>
      <c r="F26" s="326"/>
      <c r="G26" s="326"/>
      <c r="H26" s="327"/>
      <c r="I26" s="328"/>
      <c r="J26" s="326"/>
      <c r="K26" s="326"/>
      <c r="L26" s="328"/>
      <c r="M26" s="328"/>
      <c r="N26" s="326"/>
      <c r="O26" s="327"/>
    </row>
    <row r="27" spans="1:15" x14ac:dyDescent="0.2">
      <c r="A27" s="356"/>
      <c r="B27" s="352"/>
      <c r="C27" s="351"/>
      <c r="D27" s="872"/>
      <c r="E27" s="326"/>
      <c r="F27" s="326"/>
      <c r="G27" s="330"/>
      <c r="H27" s="327"/>
      <c r="I27" s="328"/>
      <c r="J27" s="326"/>
      <c r="K27" s="326"/>
      <c r="L27" s="328"/>
      <c r="M27" s="328"/>
      <c r="N27" s="326"/>
      <c r="O27" s="327"/>
    </row>
    <row r="28" spans="1:15" x14ac:dyDescent="0.2">
      <c r="A28" s="222">
        <v>5</v>
      </c>
      <c r="B28" s="1437" t="s">
        <v>679</v>
      </c>
      <c r="C28" s="1435"/>
      <c r="D28" s="1436"/>
      <c r="E28" s="319">
        <f>SUM(E12:E25)</f>
        <v>29810104.579999998</v>
      </c>
      <c r="F28" s="344"/>
      <c r="G28" s="319">
        <f>SUM(G12:G25)</f>
        <v>27355375.23</v>
      </c>
      <c r="H28" s="210">
        <f>SUM(H12:H25)</f>
        <v>0</v>
      </c>
      <c r="I28" s="335">
        <f>SUM(I12:I25)</f>
        <v>27355375.23</v>
      </c>
      <c r="J28" s="319">
        <f>SUM(J12:J25)</f>
        <v>290324.7</v>
      </c>
      <c r="K28" s="344"/>
      <c r="L28" s="319">
        <f>SUM(L12:L25)</f>
        <v>288260.59999999998</v>
      </c>
      <c r="M28" s="319">
        <f>SUM(M12:M25)</f>
        <v>2064.1000000000349</v>
      </c>
      <c r="N28" s="319">
        <f>SUM(N12:N25)</f>
        <v>2164404.65</v>
      </c>
      <c r="O28" s="224"/>
    </row>
    <row r="29" spans="1:15" ht="25.5" customHeight="1" x14ac:dyDescent="0.2">
      <c r="A29" s="222">
        <v>6</v>
      </c>
      <c r="B29" s="1429" t="s">
        <v>1396</v>
      </c>
      <c r="C29" s="1430"/>
      <c r="D29" s="1431"/>
      <c r="E29" s="332">
        <v>29810105</v>
      </c>
      <c r="F29" s="334"/>
      <c r="G29" s="320"/>
      <c r="H29" s="229"/>
      <c r="I29" s="229"/>
      <c r="J29" s="320"/>
      <c r="K29" s="334"/>
      <c r="L29" s="320"/>
      <c r="M29" s="320"/>
      <c r="N29" s="320"/>
    </row>
    <row r="30" spans="1:15" x14ac:dyDescent="0.2">
      <c r="A30" s="231"/>
      <c r="B30" s="226"/>
      <c r="C30" s="227"/>
      <c r="D30" s="228"/>
      <c r="E30" s="320"/>
      <c r="F30" s="320"/>
      <c r="G30" s="320"/>
      <c r="H30" s="229"/>
      <c r="I30" s="229"/>
      <c r="J30" s="320"/>
      <c r="K30" s="334"/>
      <c r="L30" s="320"/>
      <c r="M30" s="320"/>
      <c r="N30" s="320"/>
    </row>
    <row r="31" spans="1:15" x14ac:dyDescent="0.2">
      <c r="A31" s="222" t="s">
        <v>680</v>
      </c>
      <c r="B31" s="217">
        <v>453</v>
      </c>
      <c r="C31" s="223" t="s">
        <v>683</v>
      </c>
      <c r="D31" s="218" t="s">
        <v>684</v>
      </c>
      <c r="E31" s="326">
        <v>0</v>
      </c>
      <c r="F31" s="322" t="str">
        <f>$G$2</f>
        <v>Traditional OOR</v>
      </c>
      <c r="G31" s="322">
        <f>IF(F31=$G$2,E31,0)</f>
        <v>0</v>
      </c>
      <c r="H31" s="219">
        <v>0</v>
      </c>
      <c r="I31" s="220">
        <f>G31-H31</f>
        <v>0</v>
      </c>
      <c r="J31" s="322">
        <f>IF(F31=$J$2,E31,0)</f>
        <v>0</v>
      </c>
      <c r="K31" s="322"/>
      <c r="L31" s="328"/>
      <c r="M31" s="221">
        <f>J31-L31</f>
        <v>0</v>
      </c>
      <c r="N31" s="322">
        <f>IF(F31=$N$2,E31,0)</f>
        <v>0</v>
      </c>
      <c r="O31" s="224">
        <v>3</v>
      </c>
    </row>
    <row r="32" spans="1:15" x14ac:dyDescent="0.2">
      <c r="A32" s="222" t="s">
        <v>681</v>
      </c>
      <c r="B32" s="217">
        <v>453</v>
      </c>
      <c r="C32" s="223" t="s">
        <v>685</v>
      </c>
      <c r="D32" s="218" t="s">
        <v>686</v>
      </c>
      <c r="E32" s="326">
        <v>0</v>
      </c>
      <c r="F32" s="322" t="str">
        <f>$G$2</f>
        <v>Traditional OOR</v>
      </c>
      <c r="G32" s="322">
        <f>IF(F32=$G$2,E32,0)</f>
        <v>0</v>
      </c>
      <c r="H32" s="219">
        <v>0</v>
      </c>
      <c r="I32" s="220">
        <f>G32-H32</f>
        <v>0</v>
      </c>
      <c r="J32" s="322">
        <f>IF(F32=$J$2,E32,0)</f>
        <v>0</v>
      </c>
      <c r="K32" s="322"/>
      <c r="L32" s="328"/>
      <c r="M32" s="221">
        <f>J32-L32</f>
        <v>0</v>
      </c>
      <c r="N32" s="322">
        <f>IF(F32=$N$2,E32,0)</f>
        <v>0</v>
      </c>
      <c r="O32" s="224">
        <v>3</v>
      </c>
    </row>
    <row r="33" spans="1:15" x14ac:dyDescent="0.2">
      <c r="A33" s="222" t="s">
        <v>682</v>
      </c>
      <c r="B33" s="217">
        <v>453</v>
      </c>
      <c r="C33" s="222" t="s">
        <v>1586</v>
      </c>
      <c r="D33" s="218" t="s">
        <v>1585</v>
      </c>
      <c r="E33" s="326">
        <v>17694.89</v>
      </c>
      <c r="F33" s="322" t="str">
        <f>$G$2</f>
        <v>Traditional OOR</v>
      </c>
      <c r="G33" s="322">
        <f>IF(F33=$G$2,E33,0)</f>
        <v>17694.89</v>
      </c>
      <c r="H33" s="219">
        <v>0</v>
      </c>
      <c r="I33" s="220">
        <f>G33-H33</f>
        <v>17694.89</v>
      </c>
      <c r="J33" s="322">
        <f>IF(F33=$J$2,E33,0)</f>
        <v>0</v>
      </c>
      <c r="K33" s="322"/>
      <c r="L33" s="328"/>
      <c r="M33" s="221">
        <f>J33-L33</f>
        <v>0</v>
      </c>
      <c r="N33" s="322">
        <f>IF(F33=$N$2,E33,0)</f>
        <v>0</v>
      </c>
      <c r="O33" s="224">
        <v>3</v>
      </c>
    </row>
    <row r="34" spans="1:15" x14ac:dyDescent="0.2">
      <c r="A34" s="356"/>
      <c r="B34" s="352"/>
      <c r="C34" s="351"/>
      <c r="D34" s="353"/>
      <c r="E34" s="326"/>
      <c r="F34" s="326"/>
      <c r="G34" s="330"/>
      <c r="H34" s="327"/>
      <c r="I34" s="328"/>
      <c r="J34" s="326"/>
      <c r="K34" s="326"/>
      <c r="L34" s="328"/>
      <c r="M34" s="328"/>
      <c r="N34" s="326"/>
      <c r="O34" s="327"/>
    </row>
    <row r="35" spans="1:15" x14ac:dyDescent="0.2">
      <c r="A35" s="356"/>
      <c r="B35" s="352"/>
      <c r="C35" s="351"/>
      <c r="D35" s="353"/>
      <c r="E35" s="326"/>
      <c r="F35" s="326"/>
      <c r="G35" s="330"/>
      <c r="H35" s="327"/>
      <c r="I35" s="328"/>
      <c r="J35" s="326"/>
      <c r="K35" s="326"/>
      <c r="L35" s="328"/>
      <c r="M35" s="328"/>
      <c r="N35" s="326"/>
      <c r="O35" s="327"/>
    </row>
    <row r="36" spans="1:15" x14ac:dyDescent="0.2">
      <c r="A36" s="222">
        <v>8</v>
      </c>
      <c r="B36" s="1437" t="s">
        <v>687</v>
      </c>
      <c r="C36" s="1435"/>
      <c r="D36" s="1436"/>
      <c r="E36" s="335">
        <f>SUM(E31:E35)</f>
        <v>17694.89</v>
      </c>
      <c r="F36" s="344"/>
      <c r="G36" s="335">
        <f>SUM(G31:G35)</f>
        <v>17694.89</v>
      </c>
      <c r="H36" s="210">
        <f>SUM(H31:H35)</f>
        <v>0</v>
      </c>
      <c r="I36" s="335">
        <f>SUM(I31:I35)</f>
        <v>17694.89</v>
      </c>
      <c r="J36" s="335">
        <f>SUM(J31:J35)</f>
        <v>0</v>
      </c>
      <c r="K36" s="344"/>
      <c r="L36" s="335">
        <f>SUM(L31:L35)</f>
        <v>0</v>
      </c>
      <c r="M36" s="335">
        <f>SUM(M31:M35)</f>
        <v>0</v>
      </c>
      <c r="N36" s="335">
        <f>SUM(N31:N35)</f>
        <v>0</v>
      </c>
      <c r="O36" s="210"/>
    </row>
    <row r="37" spans="1:15" ht="25.5" customHeight="1" x14ac:dyDescent="0.2">
      <c r="A37" s="222">
        <v>9</v>
      </c>
      <c r="B37" s="1432" t="s">
        <v>1397</v>
      </c>
      <c r="C37" s="1433"/>
      <c r="D37" s="1433"/>
      <c r="E37" s="347">
        <v>17695</v>
      </c>
      <c r="F37" s="334"/>
      <c r="G37" s="320"/>
      <c r="H37" s="229"/>
      <c r="I37" s="233"/>
      <c r="J37" s="320"/>
      <c r="K37" s="334"/>
      <c r="L37" s="320"/>
      <c r="M37" s="320"/>
      <c r="N37" s="320"/>
      <c r="O37" s="208"/>
    </row>
    <row r="38" spans="1:15" x14ac:dyDescent="0.2">
      <c r="A38" s="225"/>
      <c r="B38" s="226"/>
      <c r="C38" s="227"/>
      <c r="D38" s="228"/>
      <c r="E38" s="320"/>
      <c r="F38" s="320"/>
      <c r="G38" s="320"/>
      <c r="H38" s="229"/>
      <c r="I38" s="233"/>
      <c r="J38" s="320"/>
      <c r="K38" s="334"/>
      <c r="L38" s="320"/>
      <c r="M38" s="320"/>
      <c r="N38" s="320"/>
      <c r="O38" s="208"/>
    </row>
    <row r="39" spans="1:15" x14ac:dyDescent="0.2">
      <c r="A39" s="222" t="s">
        <v>688</v>
      </c>
      <c r="B39" s="217">
        <v>454</v>
      </c>
      <c r="C39" s="218" t="s">
        <v>692</v>
      </c>
      <c r="D39" s="218" t="s">
        <v>693</v>
      </c>
      <c r="E39" s="326">
        <v>511079.67</v>
      </c>
      <c r="F39" s="322" t="str">
        <f t="shared" ref="F39:F44" si="7">$G$2</f>
        <v>Traditional OOR</v>
      </c>
      <c r="G39" s="322">
        <f>IF(F39=$G$2,E39,0)</f>
        <v>511079.67</v>
      </c>
      <c r="H39" s="220">
        <v>0</v>
      </c>
      <c r="I39" s="220">
        <f t="shared" ref="I39:I49" si="8">G39-H39</f>
        <v>511079.67</v>
      </c>
      <c r="J39" s="322">
        <f t="shared" ref="J39:J64" si="9">IF(F39=$J$2,E39,0)</f>
        <v>0</v>
      </c>
      <c r="K39" s="322"/>
      <c r="L39" s="328"/>
      <c r="M39" s="220">
        <f t="shared" ref="M39:M44" si="10">J39-L39</f>
        <v>0</v>
      </c>
      <c r="N39" s="322">
        <f t="shared" ref="N39:N64" si="11">IF(F39=$N$2,E39,0)</f>
        <v>0</v>
      </c>
      <c r="O39" s="219">
        <v>4</v>
      </c>
    </row>
    <row r="40" spans="1:15" x14ac:dyDescent="0.2">
      <c r="A40" s="222" t="s">
        <v>689</v>
      </c>
      <c r="B40" s="217">
        <v>454</v>
      </c>
      <c r="C40" s="223" t="s">
        <v>695</v>
      </c>
      <c r="D40" s="218" t="s">
        <v>696</v>
      </c>
      <c r="E40" s="326">
        <v>2663424.9500000002</v>
      </c>
      <c r="F40" s="322" t="str">
        <f t="shared" si="7"/>
        <v>Traditional OOR</v>
      </c>
      <c r="G40" s="322">
        <f t="shared" ref="G40:G64" si="12">IF(F40=$G$2,E40,0)</f>
        <v>2663424.9500000002</v>
      </c>
      <c r="H40" s="220">
        <v>0</v>
      </c>
      <c r="I40" s="220">
        <f t="shared" si="8"/>
        <v>2663424.9500000002</v>
      </c>
      <c r="J40" s="322">
        <f t="shared" si="9"/>
        <v>0</v>
      </c>
      <c r="K40" s="322"/>
      <c r="L40" s="328"/>
      <c r="M40" s="221">
        <f t="shared" si="10"/>
        <v>0</v>
      </c>
      <c r="N40" s="322">
        <f t="shared" si="11"/>
        <v>0</v>
      </c>
      <c r="O40" s="224">
        <v>4</v>
      </c>
    </row>
    <row r="41" spans="1:15" x14ac:dyDescent="0.2">
      <c r="A41" s="222" t="s">
        <v>690</v>
      </c>
      <c r="B41" s="217">
        <v>454</v>
      </c>
      <c r="C41" s="223" t="s">
        <v>698</v>
      </c>
      <c r="D41" s="218" t="s">
        <v>699</v>
      </c>
      <c r="E41" s="326">
        <v>485440</v>
      </c>
      <c r="F41" s="322" t="str">
        <f t="shared" si="7"/>
        <v>Traditional OOR</v>
      </c>
      <c r="G41" s="322">
        <f t="shared" si="12"/>
        <v>485440</v>
      </c>
      <c r="H41" s="220">
        <v>0</v>
      </c>
      <c r="I41" s="220">
        <f t="shared" si="8"/>
        <v>485440</v>
      </c>
      <c r="J41" s="322">
        <f t="shared" si="9"/>
        <v>0</v>
      </c>
      <c r="K41" s="322"/>
      <c r="L41" s="328"/>
      <c r="M41" s="221">
        <f t="shared" si="10"/>
        <v>0</v>
      </c>
      <c r="N41" s="322">
        <f t="shared" si="11"/>
        <v>0</v>
      </c>
      <c r="O41" s="224">
        <v>4</v>
      </c>
    </row>
    <row r="42" spans="1:15" x14ac:dyDescent="0.2">
      <c r="A42" s="222" t="s">
        <v>691</v>
      </c>
      <c r="B42" s="217">
        <v>454</v>
      </c>
      <c r="C42" s="223" t="s">
        <v>701</v>
      </c>
      <c r="D42" s="218" t="s">
        <v>702</v>
      </c>
      <c r="E42" s="326">
        <v>0</v>
      </c>
      <c r="F42" s="322" t="str">
        <f t="shared" si="7"/>
        <v>Traditional OOR</v>
      </c>
      <c r="G42" s="322">
        <f t="shared" si="12"/>
        <v>0</v>
      </c>
      <c r="H42" s="220">
        <v>0</v>
      </c>
      <c r="I42" s="220">
        <f t="shared" si="8"/>
        <v>0</v>
      </c>
      <c r="J42" s="322">
        <f t="shared" si="9"/>
        <v>0</v>
      </c>
      <c r="K42" s="322"/>
      <c r="L42" s="328"/>
      <c r="M42" s="221">
        <f t="shared" si="10"/>
        <v>0</v>
      </c>
      <c r="N42" s="322">
        <f t="shared" si="11"/>
        <v>0</v>
      </c>
      <c r="O42" s="224">
        <v>4</v>
      </c>
    </row>
    <row r="43" spans="1:15" x14ac:dyDescent="0.2">
      <c r="A43" s="222" t="s">
        <v>694</v>
      </c>
      <c r="B43" s="217">
        <v>454</v>
      </c>
      <c r="C43" s="223" t="s">
        <v>704</v>
      </c>
      <c r="D43" s="218" t="s">
        <v>705</v>
      </c>
      <c r="E43" s="326">
        <v>0</v>
      </c>
      <c r="F43" s="322" t="str">
        <f t="shared" si="7"/>
        <v>Traditional OOR</v>
      </c>
      <c r="G43" s="322">
        <f t="shared" si="12"/>
        <v>0</v>
      </c>
      <c r="H43" s="220">
        <v>0</v>
      </c>
      <c r="I43" s="220">
        <f t="shared" si="8"/>
        <v>0</v>
      </c>
      <c r="J43" s="322">
        <f t="shared" si="9"/>
        <v>0</v>
      </c>
      <c r="K43" s="322"/>
      <c r="L43" s="328"/>
      <c r="M43" s="221">
        <f t="shared" si="10"/>
        <v>0</v>
      </c>
      <c r="N43" s="322">
        <f t="shared" si="11"/>
        <v>0</v>
      </c>
      <c r="O43" s="224">
        <v>4</v>
      </c>
    </row>
    <row r="44" spans="1:15" x14ac:dyDescent="0.2">
      <c r="A44" s="222" t="s">
        <v>697</v>
      </c>
      <c r="B44" s="217">
        <v>454</v>
      </c>
      <c r="C44" s="234">
        <v>4184120</v>
      </c>
      <c r="D44" s="218" t="s">
        <v>1583</v>
      </c>
      <c r="E44" s="326">
        <v>0</v>
      </c>
      <c r="F44" s="322" t="str">
        <f t="shared" si="7"/>
        <v>Traditional OOR</v>
      </c>
      <c r="G44" s="322">
        <f>IF(F44=$G$2,E44,0)</f>
        <v>0</v>
      </c>
      <c r="H44" s="220">
        <v>0</v>
      </c>
      <c r="I44" s="220">
        <f>G44-H44</f>
        <v>0</v>
      </c>
      <c r="J44" s="322">
        <f t="shared" si="9"/>
        <v>0</v>
      </c>
      <c r="K44" s="322"/>
      <c r="L44" s="328"/>
      <c r="M44" s="221">
        <f t="shared" si="10"/>
        <v>0</v>
      </c>
      <c r="N44" s="322">
        <f t="shared" si="11"/>
        <v>0</v>
      </c>
      <c r="O44" s="224">
        <v>4</v>
      </c>
    </row>
    <row r="45" spans="1:15" x14ac:dyDescent="0.2">
      <c r="A45" s="222" t="s">
        <v>700</v>
      </c>
      <c r="B45" s="217">
        <v>454</v>
      </c>
      <c r="C45" s="223" t="s">
        <v>707</v>
      </c>
      <c r="D45" s="218" t="s">
        <v>708</v>
      </c>
      <c r="E45" s="326">
        <v>125209.13</v>
      </c>
      <c r="F45" s="322" t="str">
        <f>$J$2</f>
        <v>GRSM</v>
      </c>
      <c r="G45" s="322">
        <f t="shared" si="12"/>
        <v>0</v>
      </c>
      <c r="H45" s="220">
        <v>0</v>
      </c>
      <c r="I45" s="220">
        <f t="shared" si="8"/>
        <v>0</v>
      </c>
      <c r="J45" s="322">
        <f t="shared" si="9"/>
        <v>125209.13</v>
      </c>
      <c r="K45" s="361" t="s">
        <v>675</v>
      </c>
      <c r="L45" s="329">
        <v>25123.06</v>
      </c>
      <c r="M45" s="221">
        <f>J45-L45</f>
        <v>100086.07</v>
      </c>
      <c r="N45" s="322">
        <f t="shared" si="11"/>
        <v>0</v>
      </c>
      <c r="O45" s="224">
        <v>2</v>
      </c>
    </row>
    <row r="46" spans="1:15" x14ac:dyDescent="0.2">
      <c r="A46" s="222" t="s">
        <v>703</v>
      </c>
      <c r="B46" s="217">
        <v>454</v>
      </c>
      <c r="C46" s="223" t="s">
        <v>710</v>
      </c>
      <c r="D46" s="218" t="s">
        <v>711</v>
      </c>
      <c r="E46" s="326">
        <v>240</v>
      </c>
      <c r="F46" s="322" t="str">
        <f>$J$2</f>
        <v>GRSM</v>
      </c>
      <c r="G46" s="322">
        <f t="shared" si="12"/>
        <v>0</v>
      </c>
      <c r="H46" s="220">
        <v>0</v>
      </c>
      <c r="I46" s="220">
        <f t="shared" si="8"/>
        <v>0</v>
      </c>
      <c r="J46" s="322">
        <f t="shared" si="9"/>
        <v>240</v>
      </c>
      <c r="K46" s="361" t="s">
        <v>675</v>
      </c>
      <c r="L46" s="329">
        <v>0</v>
      </c>
      <c r="M46" s="221">
        <f t="shared" ref="M46:M64" si="13">J46-L46</f>
        <v>240</v>
      </c>
      <c r="N46" s="322">
        <f t="shared" si="11"/>
        <v>0</v>
      </c>
      <c r="O46" s="224">
        <v>2</v>
      </c>
    </row>
    <row r="47" spans="1:15" x14ac:dyDescent="0.2">
      <c r="A47" s="222" t="s">
        <v>706</v>
      </c>
      <c r="B47" s="217">
        <v>454</v>
      </c>
      <c r="C47" s="223" t="s">
        <v>713</v>
      </c>
      <c r="D47" s="218" t="s">
        <v>714</v>
      </c>
      <c r="E47" s="326">
        <v>486</v>
      </c>
      <c r="F47" s="322" t="str">
        <f>$J$2</f>
        <v>GRSM</v>
      </c>
      <c r="G47" s="322">
        <f t="shared" si="12"/>
        <v>0</v>
      </c>
      <c r="H47" s="220">
        <v>0</v>
      </c>
      <c r="I47" s="220">
        <f t="shared" si="8"/>
        <v>0</v>
      </c>
      <c r="J47" s="322">
        <f t="shared" si="9"/>
        <v>486</v>
      </c>
      <c r="K47" s="361" t="s">
        <v>675</v>
      </c>
      <c r="L47" s="329">
        <v>35.85</v>
      </c>
      <c r="M47" s="221">
        <f t="shared" si="13"/>
        <v>450.15</v>
      </c>
      <c r="N47" s="322">
        <f t="shared" si="11"/>
        <v>0</v>
      </c>
      <c r="O47" s="224">
        <v>2</v>
      </c>
    </row>
    <row r="48" spans="1:15" x14ac:dyDescent="0.2">
      <c r="A48" s="222" t="s">
        <v>709</v>
      </c>
      <c r="B48" s="217">
        <v>454</v>
      </c>
      <c r="C48" s="234" t="s">
        <v>716</v>
      </c>
      <c r="D48" s="218" t="s">
        <v>717</v>
      </c>
      <c r="E48" s="326">
        <v>141533.71</v>
      </c>
      <c r="F48" s="322" t="str">
        <f>$J$2</f>
        <v>GRSM</v>
      </c>
      <c r="G48" s="322">
        <f t="shared" si="12"/>
        <v>0</v>
      </c>
      <c r="H48" s="220">
        <v>0</v>
      </c>
      <c r="I48" s="220">
        <f t="shared" si="8"/>
        <v>0</v>
      </c>
      <c r="J48" s="322">
        <f t="shared" si="9"/>
        <v>141533.71</v>
      </c>
      <c r="K48" s="361" t="s">
        <v>675</v>
      </c>
      <c r="L48" s="329">
        <v>47183.13</v>
      </c>
      <c r="M48" s="221">
        <f t="shared" si="13"/>
        <v>94350.579999999987</v>
      </c>
      <c r="N48" s="322">
        <f t="shared" si="11"/>
        <v>0</v>
      </c>
      <c r="O48" s="219">
        <v>2</v>
      </c>
    </row>
    <row r="49" spans="1:15" x14ac:dyDescent="0.2">
      <c r="A49" s="222" t="s">
        <v>712</v>
      </c>
      <c r="B49" s="217">
        <v>454</v>
      </c>
      <c r="C49" s="218" t="s">
        <v>719</v>
      </c>
      <c r="D49" s="218" t="s">
        <v>1393</v>
      </c>
      <c r="E49" s="326">
        <v>-1154581.9099999999</v>
      </c>
      <c r="F49" s="322" t="str">
        <f>$G$2</f>
        <v>Traditional OOR</v>
      </c>
      <c r="G49" s="322">
        <f t="shared" si="12"/>
        <v>-1154581.9099999999</v>
      </c>
      <c r="H49" s="220">
        <v>0</v>
      </c>
      <c r="I49" s="220">
        <f t="shared" si="8"/>
        <v>-1154581.9099999999</v>
      </c>
      <c r="J49" s="322">
        <f t="shared" si="9"/>
        <v>0</v>
      </c>
      <c r="K49" s="322"/>
      <c r="L49" s="328"/>
      <c r="M49" s="221">
        <f t="shared" si="13"/>
        <v>0</v>
      </c>
      <c r="N49" s="322">
        <f t="shared" si="11"/>
        <v>0</v>
      </c>
      <c r="O49" s="219">
        <v>4</v>
      </c>
    </row>
    <row r="50" spans="1:15" x14ac:dyDescent="0.2">
      <c r="A50" s="222" t="s">
        <v>715</v>
      </c>
      <c r="B50" s="217">
        <v>454</v>
      </c>
      <c r="C50" s="223" t="s">
        <v>721</v>
      </c>
      <c r="D50" s="218" t="s">
        <v>722</v>
      </c>
      <c r="E50" s="326">
        <v>2466052.77</v>
      </c>
      <c r="F50" s="322" t="str">
        <f>$N$2</f>
        <v>Other Ratemaking</v>
      </c>
      <c r="G50" s="322">
        <f>I50+H50</f>
        <v>105892.30594380001</v>
      </c>
      <c r="H50" s="220">
        <f>E50*$D$234</f>
        <v>105892.30594380001</v>
      </c>
      <c r="I50" s="220">
        <v>0</v>
      </c>
      <c r="J50" s="322">
        <f t="shared" si="9"/>
        <v>0</v>
      </c>
      <c r="K50" s="322"/>
      <c r="L50" s="328"/>
      <c r="M50" s="221">
        <f t="shared" si="13"/>
        <v>0</v>
      </c>
      <c r="N50" s="322">
        <f>IF(F50=$N$2,E50-H50,0)</f>
        <v>2360160.4640561999</v>
      </c>
      <c r="O50" s="224" t="s">
        <v>723</v>
      </c>
    </row>
    <row r="51" spans="1:15" x14ac:dyDescent="0.2">
      <c r="A51" s="222" t="s">
        <v>718</v>
      </c>
      <c r="B51" s="217">
        <v>454</v>
      </c>
      <c r="C51" s="223" t="s">
        <v>725</v>
      </c>
      <c r="D51" s="218" t="s">
        <v>726</v>
      </c>
      <c r="E51" s="326">
        <v>690.34</v>
      </c>
      <c r="F51" s="322" t="str">
        <f>$G$2</f>
        <v>Traditional OOR</v>
      </c>
      <c r="G51" s="322">
        <f t="shared" si="12"/>
        <v>690.34</v>
      </c>
      <c r="H51" s="220">
        <f>E51*$D$234</f>
        <v>29.643199599999999</v>
      </c>
      <c r="I51" s="220">
        <f>G51-H51</f>
        <v>660.69680040000003</v>
      </c>
      <c r="J51" s="322">
        <f t="shared" si="9"/>
        <v>0</v>
      </c>
      <c r="K51" s="322"/>
      <c r="L51" s="328"/>
      <c r="M51" s="221">
        <f t="shared" si="13"/>
        <v>0</v>
      </c>
      <c r="N51" s="322">
        <f t="shared" si="11"/>
        <v>0</v>
      </c>
      <c r="O51" s="224">
        <v>7</v>
      </c>
    </row>
    <row r="52" spans="1:15" x14ac:dyDescent="0.2">
      <c r="A52" s="222" t="s">
        <v>720</v>
      </c>
      <c r="B52" s="217">
        <v>454</v>
      </c>
      <c r="C52" s="218" t="s">
        <v>728</v>
      </c>
      <c r="D52" s="218" t="s">
        <v>729</v>
      </c>
      <c r="E52" s="326">
        <v>1237647.08</v>
      </c>
      <c r="F52" s="322" t="str">
        <f>$N$2</f>
        <v>Other Ratemaking</v>
      </c>
      <c r="G52" s="322">
        <f>I52+H52</f>
        <v>53144.565615200001</v>
      </c>
      <c r="H52" s="220">
        <f>E52*$D$234</f>
        <v>53144.565615200001</v>
      </c>
      <c r="I52" s="220">
        <v>0</v>
      </c>
      <c r="J52" s="322">
        <f t="shared" si="9"/>
        <v>0</v>
      </c>
      <c r="K52" s="322"/>
      <c r="L52" s="328"/>
      <c r="M52" s="220">
        <f t="shared" si="13"/>
        <v>0</v>
      </c>
      <c r="N52" s="322">
        <f>IF(F52=$N$2,E52-H52,0)</f>
        <v>1184502.5143848001</v>
      </c>
      <c r="O52" s="219" t="s">
        <v>723</v>
      </c>
    </row>
    <row r="53" spans="1:15" x14ac:dyDescent="0.2">
      <c r="A53" s="222" t="s">
        <v>724</v>
      </c>
      <c r="B53" s="217">
        <v>454</v>
      </c>
      <c r="C53" s="223" t="s">
        <v>731</v>
      </c>
      <c r="D53" s="218" t="s">
        <v>732</v>
      </c>
      <c r="E53" s="326">
        <v>3883.87</v>
      </c>
      <c r="F53" s="322" t="str">
        <f t="shared" ref="F53:F58" si="14">$G$2</f>
        <v>Traditional OOR</v>
      </c>
      <c r="G53" s="322">
        <f t="shared" si="12"/>
        <v>3883.87</v>
      </c>
      <c r="H53" s="220">
        <f>E53*$D$228</f>
        <v>166.77337779999999</v>
      </c>
      <c r="I53" s="220">
        <f t="shared" ref="I53:I64" si="15">G53-H53</f>
        <v>3717.0966221999997</v>
      </c>
      <c r="J53" s="322">
        <f t="shared" si="9"/>
        <v>0</v>
      </c>
      <c r="K53" s="322"/>
      <c r="L53" s="328"/>
      <c r="M53" s="221">
        <f t="shared" si="13"/>
        <v>0</v>
      </c>
      <c r="N53" s="322">
        <f t="shared" si="11"/>
        <v>0</v>
      </c>
      <c r="O53" s="224">
        <v>7</v>
      </c>
    </row>
    <row r="54" spans="1:15" x14ac:dyDescent="0.2">
      <c r="A54" s="222" t="s">
        <v>727</v>
      </c>
      <c r="B54" s="217">
        <v>454</v>
      </c>
      <c r="C54" s="223" t="s">
        <v>734</v>
      </c>
      <c r="D54" s="218" t="s">
        <v>735</v>
      </c>
      <c r="E54" s="326">
        <v>0</v>
      </c>
      <c r="F54" s="322" t="str">
        <f t="shared" si="14"/>
        <v>Traditional OOR</v>
      </c>
      <c r="G54" s="322">
        <f t="shared" si="12"/>
        <v>0</v>
      </c>
      <c r="H54" s="220">
        <v>0</v>
      </c>
      <c r="I54" s="220">
        <f t="shared" si="15"/>
        <v>0</v>
      </c>
      <c r="J54" s="322">
        <f t="shared" si="9"/>
        <v>0</v>
      </c>
      <c r="K54" s="322"/>
      <c r="L54" s="328"/>
      <c r="M54" s="221">
        <f t="shared" si="13"/>
        <v>0</v>
      </c>
      <c r="N54" s="322">
        <f t="shared" si="11"/>
        <v>0</v>
      </c>
      <c r="O54" s="224">
        <v>1</v>
      </c>
    </row>
    <row r="55" spans="1:15" x14ac:dyDescent="0.2">
      <c r="A55" s="222" t="s">
        <v>730</v>
      </c>
      <c r="B55" s="217">
        <v>454</v>
      </c>
      <c r="C55" s="223" t="s">
        <v>737</v>
      </c>
      <c r="D55" s="218" t="s">
        <v>738</v>
      </c>
      <c r="E55" s="326">
        <v>11390574.75</v>
      </c>
      <c r="F55" s="322" t="str">
        <f t="shared" si="14"/>
        <v>Traditional OOR</v>
      </c>
      <c r="G55" s="322">
        <f t="shared" si="12"/>
        <v>11390574.75</v>
      </c>
      <c r="H55" s="220">
        <v>0</v>
      </c>
      <c r="I55" s="220">
        <f t="shared" si="15"/>
        <v>11390574.75</v>
      </c>
      <c r="J55" s="322">
        <f t="shared" si="9"/>
        <v>0</v>
      </c>
      <c r="K55" s="322"/>
      <c r="L55" s="328"/>
      <c r="M55" s="221">
        <f t="shared" si="13"/>
        <v>0</v>
      </c>
      <c r="N55" s="322">
        <f t="shared" si="11"/>
        <v>0</v>
      </c>
      <c r="O55" s="224">
        <v>4</v>
      </c>
    </row>
    <row r="56" spans="1:15" x14ac:dyDescent="0.2">
      <c r="A56" s="222" t="s">
        <v>733</v>
      </c>
      <c r="B56" s="217">
        <v>454</v>
      </c>
      <c r="C56" s="223" t="s">
        <v>740</v>
      </c>
      <c r="D56" s="218" t="s">
        <v>741</v>
      </c>
      <c r="E56" s="326">
        <v>719020.91</v>
      </c>
      <c r="F56" s="322" t="str">
        <f t="shared" si="14"/>
        <v>Traditional OOR</v>
      </c>
      <c r="G56" s="322">
        <f t="shared" si="12"/>
        <v>719020.91</v>
      </c>
      <c r="H56" s="220">
        <v>0</v>
      </c>
      <c r="I56" s="220">
        <f>G56-H56</f>
        <v>719020.91</v>
      </c>
      <c r="J56" s="322">
        <f t="shared" si="9"/>
        <v>0</v>
      </c>
      <c r="K56" s="322"/>
      <c r="L56" s="328"/>
      <c r="M56" s="221">
        <f t="shared" si="13"/>
        <v>0</v>
      </c>
      <c r="N56" s="322">
        <f t="shared" si="11"/>
        <v>0</v>
      </c>
      <c r="O56" s="224">
        <v>4</v>
      </c>
    </row>
    <row r="57" spans="1:15" x14ac:dyDescent="0.2">
      <c r="A57" s="222" t="s">
        <v>736</v>
      </c>
      <c r="B57" s="217">
        <v>454</v>
      </c>
      <c r="C57" s="223" t="s">
        <v>743</v>
      </c>
      <c r="D57" s="218" t="s">
        <v>744</v>
      </c>
      <c r="E57" s="326">
        <v>25061712.68</v>
      </c>
      <c r="F57" s="322" t="str">
        <f t="shared" si="14"/>
        <v>Traditional OOR</v>
      </c>
      <c r="G57" s="322">
        <f t="shared" si="12"/>
        <v>25061712.68</v>
      </c>
      <c r="H57" s="220">
        <v>0</v>
      </c>
      <c r="I57" s="220">
        <f t="shared" si="15"/>
        <v>25061712.68</v>
      </c>
      <c r="J57" s="322">
        <f t="shared" si="9"/>
        <v>0</v>
      </c>
      <c r="K57" s="322"/>
      <c r="L57" s="328"/>
      <c r="M57" s="221">
        <f t="shared" si="13"/>
        <v>0</v>
      </c>
      <c r="N57" s="322">
        <f t="shared" si="11"/>
        <v>0</v>
      </c>
      <c r="O57" s="224">
        <v>4</v>
      </c>
    </row>
    <row r="58" spans="1:15" x14ac:dyDescent="0.2">
      <c r="A58" s="222" t="s">
        <v>739</v>
      </c>
      <c r="B58" s="217">
        <v>454</v>
      </c>
      <c r="C58" s="223" t="s">
        <v>746</v>
      </c>
      <c r="D58" s="218" t="s">
        <v>747</v>
      </c>
      <c r="E58" s="326">
        <v>14004036.630000001</v>
      </c>
      <c r="F58" s="322" t="str">
        <f t="shared" si="14"/>
        <v>Traditional OOR</v>
      </c>
      <c r="G58" s="322">
        <f t="shared" si="12"/>
        <v>14004036.630000001</v>
      </c>
      <c r="H58" s="873">
        <v>2118385.7999999998</v>
      </c>
      <c r="I58" s="220">
        <f>G58-H58</f>
        <v>11885650.830000002</v>
      </c>
      <c r="J58" s="322">
        <f t="shared" si="9"/>
        <v>0</v>
      </c>
      <c r="K58" s="322"/>
      <c r="L58" s="328"/>
      <c r="M58" s="221">
        <f t="shared" si="13"/>
        <v>0</v>
      </c>
      <c r="N58" s="322">
        <f t="shared" si="11"/>
        <v>0</v>
      </c>
      <c r="O58" s="224">
        <v>8</v>
      </c>
    </row>
    <row r="59" spans="1:15" x14ac:dyDescent="0.2">
      <c r="A59" s="222" t="s">
        <v>742</v>
      </c>
      <c r="B59" s="217">
        <v>454</v>
      </c>
      <c r="C59" s="218" t="s">
        <v>749</v>
      </c>
      <c r="D59" s="218" t="s">
        <v>750</v>
      </c>
      <c r="E59" s="578">
        <v>22234900.640000001</v>
      </c>
      <c r="F59" s="322" t="str">
        <f>$J$2</f>
        <v>GRSM</v>
      </c>
      <c r="G59" s="322">
        <f t="shared" si="12"/>
        <v>0</v>
      </c>
      <c r="H59" s="220">
        <v>0</v>
      </c>
      <c r="I59" s="220">
        <f t="shared" si="15"/>
        <v>0</v>
      </c>
      <c r="J59" s="322">
        <f t="shared" si="9"/>
        <v>22234900.640000001</v>
      </c>
      <c r="K59" s="361" t="s">
        <v>675</v>
      </c>
      <c r="L59" s="329">
        <v>2894101.27</v>
      </c>
      <c r="M59" s="221">
        <f t="shared" si="13"/>
        <v>19340799.370000001</v>
      </c>
      <c r="N59" s="322">
        <f t="shared" si="11"/>
        <v>0</v>
      </c>
      <c r="O59" s="219">
        <v>2</v>
      </c>
    </row>
    <row r="60" spans="1:15" x14ac:dyDescent="0.2">
      <c r="A60" s="222" t="s">
        <v>745</v>
      </c>
      <c r="B60" s="217">
        <v>454</v>
      </c>
      <c r="C60" s="223" t="s">
        <v>751</v>
      </c>
      <c r="D60" s="218" t="s">
        <v>752</v>
      </c>
      <c r="E60" s="326">
        <v>0</v>
      </c>
      <c r="F60" s="322" t="str">
        <f>$G$2</f>
        <v>Traditional OOR</v>
      </c>
      <c r="G60" s="322">
        <f t="shared" si="12"/>
        <v>0</v>
      </c>
      <c r="H60" s="220">
        <v>0</v>
      </c>
      <c r="I60" s="220">
        <f t="shared" si="15"/>
        <v>0</v>
      </c>
      <c r="J60" s="322">
        <f t="shared" si="9"/>
        <v>0</v>
      </c>
      <c r="K60" s="322"/>
      <c r="L60" s="328"/>
      <c r="M60" s="221">
        <f t="shared" si="13"/>
        <v>0</v>
      </c>
      <c r="N60" s="322">
        <f t="shared" si="11"/>
        <v>0</v>
      </c>
      <c r="O60" s="219">
        <v>4</v>
      </c>
    </row>
    <row r="61" spans="1:15" x14ac:dyDescent="0.2">
      <c r="A61" s="222" t="s">
        <v>748</v>
      </c>
      <c r="B61" s="217">
        <v>454</v>
      </c>
      <c r="C61" s="216" t="s">
        <v>1586</v>
      </c>
      <c r="D61" s="218" t="s">
        <v>1585</v>
      </c>
      <c r="E61" s="326">
        <v>-21657.279999999999</v>
      </c>
      <c r="F61" s="322" t="str">
        <f>$G$2</f>
        <v>Traditional OOR</v>
      </c>
      <c r="G61" s="322">
        <f t="shared" si="12"/>
        <v>-21657.279999999999</v>
      </c>
      <c r="H61" s="220">
        <v>0</v>
      </c>
      <c r="I61" s="220">
        <f t="shared" si="15"/>
        <v>-21657.279999999999</v>
      </c>
      <c r="J61" s="322">
        <f t="shared" si="9"/>
        <v>0</v>
      </c>
      <c r="K61" s="322"/>
      <c r="L61" s="328"/>
      <c r="M61" s="221">
        <f t="shared" si="13"/>
        <v>0</v>
      </c>
      <c r="N61" s="322">
        <f t="shared" si="11"/>
        <v>0</v>
      </c>
      <c r="O61" s="219">
        <v>1</v>
      </c>
    </row>
    <row r="62" spans="1:15" x14ac:dyDescent="0.2">
      <c r="A62" s="216" t="s">
        <v>2685</v>
      </c>
      <c r="B62" s="217">
        <v>454</v>
      </c>
      <c r="C62" s="217">
        <v>4206515</v>
      </c>
      <c r="D62" s="235" t="s">
        <v>2686</v>
      </c>
      <c r="E62" s="326">
        <v>424984.26</v>
      </c>
      <c r="F62" s="322" t="s">
        <v>632</v>
      </c>
      <c r="G62" s="322">
        <f t="shared" si="12"/>
        <v>0</v>
      </c>
      <c r="H62" s="220">
        <v>0</v>
      </c>
      <c r="I62" s="1191">
        <f t="shared" si="15"/>
        <v>0</v>
      </c>
      <c r="J62" s="1192">
        <f t="shared" si="9"/>
        <v>424984.26</v>
      </c>
      <c r="K62" s="1192" t="s">
        <v>675</v>
      </c>
      <c r="L62" s="328">
        <v>91160.44</v>
      </c>
      <c r="M62" s="220">
        <f t="shared" si="13"/>
        <v>333823.82</v>
      </c>
      <c r="N62" s="322">
        <f t="shared" si="11"/>
        <v>0</v>
      </c>
      <c r="O62" s="219">
        <v>2</v>
      </c>
    </row>
    <row r="63" spans="1:15" x14ac:dyDescent="0.2">
      <c r="A63" s="216" t="s">
        <v>2687</v>
      </c>
      <c r="B63" s="217">
        <v>454</v>
      </c>
      <c r="C63" s="217">
        <v>4184122</v>
      </c>
      <c r="D63" s="235" t="s">
        <v>2688</v>
      </c>
      <c r="E63" s="326">
        <v>610</v>
      </c>
      <c r="F63" s="322" t="s">
        <v>631</v>
      </c>
      <c r="G63" s="322">
        <f t="shared" si="12"/>
        <v>610</v>
      </c>
      <c r="H63" s="220">
        <v>0</v>
      </c>
      <c r="I63" s="1191">
        <f t="shared" si="15"/>
        <v>610</v>
      </c>
      <c r="J63" s="1192">
        <f t="shared" si="9"/>
        <v>0</v>
      </c>
      <c r="K63" s="322"/>
      <c r="L63" s="328"/>
      <c r="M63" s="220">
        <f t="shared" si="13"/>
        <v>0</v>
      </c>
      <c r="N63" s="322">
        <f t="shared" si="11"/>
        <v>0</v>
      </c>
      <c r="O63" s="219">
        <v>4</v>
      </c>
    </row>
    <row r="64" spans="1:15" x14ac:dyDescent="0.2">
      <c r="A64" s="216" t="s">
        <v>2689</v>
      </c>
      <c r="B64" s="217">
        <v>454</v>
      </c>
      <c r="C64" s="217">
        <v>4184124</v>
      </c>
      <c r="D64" s="235" t="s">
        <v>2690</v>
      </c>
      <c r="E64" s="326">
        <v>18320</v>
      </c>
      <c r="F64" s="322" t="s">
        <v>631</v>
      </c>
      <c r="G64" s="322">
        <f t="shared" si="12"/>
        <v>18320</v>
      </c>
      <c r="H64" s="220">
        <v>0</v>
      </c>
      <c r="I64" s="1191">
        <f t="shared" si="15"/>
        <v>18320</v>
      </c>
      <c r="J64" s="1192">
        <f t="shared" si="9"/>
        <v>0</v>
      </c>
      <c r="K64" s="322"/>
      <c r="L64" s="328"/>
      <c r="M64" s="220">
        <f t="shared" si="13"/>
        <v>0</v>
      </c>
      <c r="N64" s="322">
        <f t="shared" si="11"/>
        <v>0</v>
      </c>
      <c r="O64" s="219">
        <v>4</v>
      </c>
    </row>
    <row r="65" spans="1:15" x14ac:dyDescent="0.2">
      <c r="A65" s="216"/>
      <c r="B65" s="217"/>
      <c r="C65" s="218"/>
      <c r="D65" s="235"/>
      <c r="E65" s="326"/>
      <c r="F65" s="326"/>
      <c r="G65" s="330"/>
      <c r="H65" s="328"/>
      <c r="I65" s="328"/>
      <c r="J65" s="326"/>
      <c r="K65" s="326"/>
      <c r="L65" s="328"/>
      <c r="M65" s="328"/>
      <c r="N65" s="326"/>
      <c r="O65" s="327"/>
    </row>
    <row r="66" spans="1:15" x14ac:dyDescent="0.2">
      <c r="A66" s="356"/>
      <c r="B66" s="352"/>
      <c r="C66" s="351"/>
      <c r="D66" s="353"/>
      <c r="E66" s="326"/>
      <c r="F66" s="326"/>
      <c r="G66" s="330"/>
      <c r="H66" s="328"/>
      <c r="I66" s="328"/>
      <c r="J66" s="326"/>
      <c r="K66" s="326"/>
      <c r="L66" s="328"/>
      <c r="M66" s="328"/>
      <c r="N66" s="326"/>
      <c r="O66" s="327"/>
    </row>
    <row r="67" spans="1:15" x14ac:dyDescent="0.2">
      <c r="A67" s="222">
        <v>11</v>
      </c>
      <c r="B67" s="1437" t="s">
        <v>753</v>
      </c>
      <c r="C67" s="1435"/>
      <c r="D67" s="1436"/>
      <c r="E67" s="319">
        <f>SUM(E39:E66)</f>
        <v>80313608.200000003</v>
      </c>
      <c r="F67" s="344"/>
      <c r="G67" s="319">
        <f>SUM(G39:G66)</f>
        <v>53841591.481559001</v>
      </c>
      <c r="H67" s="335">
        <f>SUM(H39:H66)</f>
        <v>2277619.0881363996</v>
      </c>
      <c r="I67" s="335">
        <f>SUM(I39:I66)</f>
        <v>51563972.393422604</v>
      </c>
      <c r="J67" s="319">
        <f>SUM(J39:J66)</f>
        <v>22927353.740000002</v>
      </c>
      <c r="K67" s="344"/>
      <c r="L67" s="319">
        <f>SUM(L39:L66)</f>
        <v>3057603.75</v>
      </c>
      <c r="M67" s="319">
        <f>SUM(M39:M66)</f>
        <v>19869749.990000002</v>
      </c>
      <c r="N67" s="319">
        <f>SUM(N39:N66)</f>
        <v>3544662.978441</v>
      </c>
      <c r="O67" s="209"/>
    </row>
    <row r="68" spans="1:15" ht="24.75" customHeight="1" x14ac:dyDescent="0.2">
      <c r="A68" s="222">
        <v>12</v>
      </c>
      <c r="B68" s="1429" t="s">
        <v>1398</v>
      </c>
      <c r="C68" s="1430"/>
      <c r="D68" s="1431"/>
      <c r="E68" s="332">
        <v>80313608</v>
      </c>
      <c r="F68" s="334"/>
      <c r="G68" s="350"/>
      <c r="H68" s="334"/>
      <c r="I68" s="334"/>
      <c r="J68" s="320"/>
      <c r="K68" s="334"/>
      <c r="L68" s="320"/>
      <c r="M68" s="320"/>
      <c r="N68" s="320"/>
      <c r="O68" s="208"/>
    </row>
    <row r="69" spans="1:15" x14ac:dyDescent="0.2">
      <c r="A69" s="225"/>
      <c r="B69" s="226"/>
      <c r="C69" s="227"/>
      <c r="D69" s="228"/>
      <c r="E69" s="320"/>
      <c r="F69" s="320"/>
      <c r="G69" s="320"/>
      <c r="H69" s="334"/>
      <c r="I69" s="334"/>
      <c r="J69" s="320"/>
      <c r="K69" s="334"/>
      <c r="L69" s="320"/>
      <c r="M69" s="320"/>
      <c r="N69" s="320"/>
      <c r="O69" s="208"/>
    </row>
    <row r="70" spans="1:15" x14ac:dyDescent="0.2">
      <c r="A70" s="222" t="s">
        <v>754</v>
      </c>
      <c r="B70" s="217">
        <v>456</v>
      </c>
      <c r="C70" s="223" t="s">
        <v>758</v>
      </c>
      <c r="D70" s="218" t="s">
        <v>759</v>
      </c>
      <c r="E70" s="326">
        <v>4509732.12</v>
      </c>
      <c r="F70" s="322" t="str">
        <f t="shared" ref="F70:F78" si="16">$G$2</f>
        <v>Traditional OOR</v>
      </c>
      <c r="G70" s="322">
        <f t="shared" ref="G70:G125" si="17">IF(F70=$G$2,E70,0)</f>
        <v>4509732.12</v>
      </c>
      <c r="H70" s="220">
        <v>0</v>
      </c>
      <c r="I70" s="220">
        <f t="shared" ref="I70:I125" si="18">G70-H70</f>
        <v>4509732.12</v>
      </c>
      <c r="J70" s="322">
        <f t="shared" ref="J70:J125" si="19">IF(F70=$J$2,E70,0)</f>
        <v>0</v>
      </c>
      <c r="K70" s="322"/>
      <c r="L70" s="328"/>
      <c r="M70" s="221">
        <f t="shared" ref="M70:M121" si="20">J70-L70</f>
        <v>0</v>
      </c>
      <c r="N70" s="322">
        <f t="shared" ref="N70:N125" si="21">IF(F70=$N$2,E70,0)</f>
        <v>0</v>
      </c>
      <c r="O70" s="224">
        <v>1</v>
      </c>
    </row>
    <row r="71" spans="1:15" x14ac:dyDescent="0.2">
      <c r="A71" s="222" t="s">
        <v>755</v>
      </c>
      <c r="B71" s="217">
        <v>456</v>
      </c>
      <c r="C71" s="223" t="s">
        <v>760</v>
      </c>
      <c r="D71" s="218" t="s">
        <v>761</v>
      </c>
      <c r="E71" s="326">
        <v>6295091.96</v>
      </c>
      <c r="F71" s="322" t="str">
        <f t="shared" si="16"/>
        <v>Traditional OOR</v>
      </c>
      <c r="G71" s="322">
        <f t="shared" si="17"/>
        <v>6295091.96</v>
      </c>
      <c r="H71" s="220">
        <v>0</v>
      </c>
      <c r="I71" s="220">
        <f t="shared" si="18"/>
        <v>6295091.96</v>
      </c>
      <c r="J71" s="322">
        <f t="shared" si="19"/>
        <v>0</v>
      </c>
      <c r="K71" s="322"/>
      <c r="L71" s="328"/>
      <c r="M71" s="221">
        <f t="shared" si="20"/>
        <v>0</v>
      </c>
      <c r="N71" s="322">
        <f t="shared" si="21"/>
        <v>0</v>
      </c>
      <c r="O71" s="224">
        <v>4</v>
      </c>
    </row>
    <row r="72" spans="1:15" x14ac:dyDescent="0.2">
      <c r="A72" s="222" t="s">
        <v>756</v>
      </c>
      <c r="B72" s="217">
        <v>456</v>
      </c>
      <c r="C72" s="223" t="s">
        <v>762</v>
      </c>
      <c r="D72" s="218" t="s">
        <v>763</v>
      </c>
      <c r="E72" s="326">
        <v>884025.94</v>
      </c>
      <c r="F72" s="322" t="str">
        <f t="shared" si="16"/>
        <v>Traditional OOR</v>
      </c>
      <c r="G72" s="322">
        <f t="shared" si="17"/>
        <v>884025.94</v>
      </c>
      <c r="H72" s="220">
        <v>0</v>
      </c>
      <c r="I72" s="220">
        <f t="shared" si="18"/>
        <v>884025.94</v>
      </c>
      <c r="J72" s="322">
        <f t="shared" si="19"/>
        <v>0</v>
      </c>
      <c r="K72" s="322"/>
      <c r="L72" s="328"/>
      <c r="M72" s="221">
        <f t="shared" si="20"/>
        <v>0</v>
      </c>
      <c r="N72" s="322">
        <f t="shared" si="21"/>
        <v>0</v>
      </c>
      <c r="O72" s="224">
        <v>4</v>
      </c>
    </row>
    <row r="73" spans="1:15" x14ac:dyDescent="0.2">
      <c r="A73" s="222" t="s">
        <v>757</v>
      </c>
      <c r="B73" s="217">
        <v>456</v>
      </c>
      <c r="C73" s="223" t="s">
        <v>765</v>
      </c>
      <c r="D73" s="218" t="s">
        <v>766</v>
      </c>
      <c r="E73" s="326">
        <v>-6073.4</v>
      </c>
      <c r="F73" s="322" t="str">
        <f t="shared" si="16"/>
        <v>Traditional OOR</v>
      </c>
      <c r="G73" s="322">
        <f t="shared" si="17"/>
        <v>-6073.4</v>
      </c>
      <c r="H73" s="220">
        <v>0</v>
      </c>
      <c r="I73" s="220">
        <f t="shared" si="18"/>
        <v>-6073.4</v>
      </c>
      <c r="J73" s="322">
        <f t="shared" si="19"/>
        <v>0</v>
      </c>
      <c r="K73" s="322"/>
      <c r="L73" s="328"/>
      <c r="M73" s="221">
        <f t="shared" si="20"/>
        <v>0</v>
      </c>
      <c r="N73" s="322">
        <f t="shared" si="21"/>
        <v>0</v>
      </c>
      <c r="O73" s="224">
        <v>3</v>
      </c>
    </row>
    <row r="74" spans="1:15" x14ac:dyDescent="0.2">
      <c r="A74" s="216" t="s">
        <v>764</v>
      </c>
      <c r="B74" s="217">
        <v>456</v>
      </c>
      <c r="C74" s="218" t="s">
        <v>768</v>
      </c>
      <c r="D74" s="218" t="s">
        <v>769</v>
      </c>
      <c r="E74" s="326">
        <v>480</v>
      </c>
      <c r="F74" s="322" t="str">
        <f t="shared" si="16"/>
        <v>Traditional OOR</v>
      </c>
      <c r="G74" s="322">
        <f t="shared" si="17"/>
        <v>480</v>
      </c>
      <c r="H74" s="220">
        <v>0</v>
      </c>
      <c r="I74" s="220">
        <f t="shared" si="18"/>
        <v>480</v>
      </c>
      <c r="J74" s="322">
        <f t="shared" si="19"/>
        <v>0</v>
      </c>
      <c r="K74" s="322"/>
      <c r="L74" s="328"/>
      <c r="M74" s="221">
        <f t="shared" si="20"/>
        <v>0</v>
      </c>
      <c r="N74" s="322">
        <f t="shared" si="21"/>
        <v>0</v>
      </c>
      <c r="O74" s="224">
        <v>1</v>
      </c>
    </row>
    <row r="75" spans="1:15" x14ac:dyDescent="0.2">
      <c r="A75" s="216" t="s">
        <v>767</v>
      </c>
      <c r="B75" s="217">
        <v>456</v>
      </c>
      <c r="C75" s="218" t="s">
        <v>771</v>
      </c>
      <c r="D75" s="218" t="s">
        <v>772</v>
      </c>
      <c r="E75" s="326">
        <v>599542.53</v>
      </c>
      <c r="F75" s="322" t="str">
        <f t="shared" si="16"/>
        <v>Traditional OOR</v>
      </c>
      <c r="G75" s="322">
        <f t="shared" si="17"/>
        <v>599542.53</v>
      </c>
      <c r="H75" s="220">
        <v>0</v>
      </c>
      <c r="I75" s="220">
        <f t="shared" si="18"/>
        <v>599542.53</v>
      </c>
      <c r="J75" s="322">
        <f t="shared" si="19"/>
        <v>0</v>
      </c>
      <c r="K75" s="322"/>
      <c r="L75" s="328"/>
      <c r="M75" s="221">
        <f t="shared" si="20"/>
        <v>0</v>
      </c>
      <c r="N75" s="322">
        <f t="shared" si="21"/>
        <v>0</v>
      </c>
      <c r="O75" s="224">
        <v>1</v>
      </c>
    </row>
    <row r="76" spans="1:15" x14ac:dyDescent="0.2">
      <c r="A76" s="216" t="s">
        <v>770</v>
      </c>
      <c r="B76" s="217">
        <v>456</v>
      </c>
      <c r="C76" s="218" t="s">
        <v>774</v>
      </c>
      <c r="D76" s="218" t="s">
        <v>775</v>
      </c>
      <c r="E76" s="326">
        <v>600</v>
      </c>
      <c r="F76" s="322" t="str">
        <f t="shared" si="16"/>
        <v>Traditional OOR</v>
      </c>
      <c r="G76" s="322">
        <f t="shared" si="17"/>
        <v>600</v>
      </c>
      <c r="H76" s="220">
        <v>0</v>
      </c>
      <c r="I76" s="220">
        <f t="shared" si="18"/>
        <v>600</v>
      </c>
      <c r="J76" s="322">
        <f t="shared" si="19"/>
        <v>0</v>
      </c>
      <c r="K76" s="322"/>
      <c r="L76" s="328"/>
      <c r="M76" s="221">
        <f t="shared" si="20"/>
        <v>0</v>
      </c>
      <c r="N76" s="322">
        <f t="shared" si="21"/>
        <v>0</v>
      </c>
      <c r="O76" s="224">
        <v>3</v>
      </c>
    </row>
    <row r="77" spans="1:15" x14ac:dyDescent="0.2">
      <c r="A77" s="216" t="s">
        <v>773</v>
      </c>
      <c r="B77" s="217">
        <v>456</v>
      </c>
      <c r="C77" s="217">
        <v>4186142</v>
      </c>
      <c r="D77" s="218" t="s">
        <v>1584</v>
      </c>
      <c r="E77" s="326">
        <v>3427.68</v>
      </c>
      <c r="F77" s="322" t="str">
        <f t="shared" si="16"/>
        <v>Traditional OOR</v>
      </c>
      <c r="G77" s="322">
        <f>IF(F77=$G$2,E77,0)</f>
        <v>3427.68</v>
      </c>
      <c r="H77" s="220">
        <v>0</v>
      </c>
      <c r="I77" s="220">
        <f>G77-H77</f>
        <v>3427.68</v>
      </c>
      <c r="J77" s="322">
        <f t="shared" si="19"/>
        <v>0</v>
      </c>
      <c r="K77" s="322"/>
      <c r="L77" s="328"/>
      <c r="M77" s="221">
        <f t="shared" si="20"/>
        <v>0</v>
      </c>
      <c r="N77" s="322">
        <f t="shared" si="21"/>
        <v>0</v>
      </c>
      <c r="O77" s="224">
        <v>4</v>
      </c>
    </row>
    <row r="78" spans="1:15" x14ac:dyDescent="0.2">
      <c r="A78" s="216" t="s">
        <v>776</v>
      </c>
      <c r="B78" s="217">
        <v>456</v>
      </c>
      <c r="C78" s="218" t="s">
        <v>777</v>
      </c>
      <c r="D78" s="218" t="s">
        <v>778</v>
      </c>
      <c r="E78" s="326">
        <v>125.72</v>
      </c>
      <c r="F78" s="322" t="str">
        <f t="shared" si="16"/>
        <v>Traditional OOR</v>
      </c>
      <c r="G78" s="322">
        <f t="shared" si="17"/>
        <v>125.72</v>
      </c>
      <c r="H78" s="220">
        <f>E78*$D$228</f>
        <v>5.3984167999999997</v>
      </c>
      <c r="I78" s="220">
        <f t="shared" si="18"/>
        <v>120.32158319999999</v>
      </c>
      <c r="J78" s="322">
        <f t="shared" si="19"/>
        <v>0</v>
      </c>
      <c r="K78" s="322"/>
      <c r="L78" s="328"/>
      <c r="M78" s="221">
        <f t="shared" si="20"/>
        <v>0</v>
      </c>
      <c r="N78" s="322">
        <f t="shared" si="21"/>
        <v>0</v>
      </c>
      <c r="O78" s="224">
        <v>7</v>
      </c>
    </row>
    <row r="79" spans="1:15" x14ac:dyDescent="0.2">
      <c r="A79" s="216" t="s">
        <v>779</v>
      </c>
      <c r="B79" s="217">
        <v>456</v>
      </c>
      <c r="C79" s="218" t="s">
        <v>780</v>
      </c>
      <c r="D79" s="218" t="s">
        <v>781</v>
      </c>
      <c r="E79" s="326">
        <v>372216.48</v>
      </c>
      <c r="F79" s="322" t="str">
        <f>$N$2</f>
        <v>Other Ratemaking</v>
      </c>
      <c r="G79" s="322">
        <f>I79+H79</f>
        <v>15982.975651199999</v>
      </c>
      <c r="H79" s="220">
        <f>E79*$D$234</f>
        <v>15982.975651199999</v>
      </c>
      <c r="I79" s="220">
        <v>0</v>
      </c>
      <c r="J79" s="322">
        <f t="shared" si="19"/>
        <v>0</v>
      </c>
      <c r="K79" s="322"/>
      <c r="L79" s="328"/>
      <c r="M79" s="221">
        <f t="shared" si="20"/>
        <v>0</v>
      </c>
      <c r="N79" s="322">
        <f>IF(F79=$N$2,E79-H79,0)</f>
        <v>356233.50434879999</v>
      </c>
      <c r="O79" s="224" t="s">
        <v>723</v>
      </c>
    </row>
    <row r="80" spans="1:15" x14ac:dyDescent="0.2">
      <c r="A80" s="216" t="s">
        <v>782</v>
      </c>
      <c r="B80" s="217">
        <v>456</v>
      </c>
      <c r="C80" s="218" t="s">
        <v>783</v>
      </c>
      <c r="D80" s="218" t="s">
        <v>784</v>
      </c>
      <c r="E80" s="326">
        <v>1446.92</v>
      </c>
      <c r="F80" s="322" t="str">
        <f t="shared" ref="F80:F85" si="22">$G$2</f>
        <v>Traditional OOR</v>
      </c>
      <c r="G80" s="322">
        <f t="shared" si="17"/>
        <v>1446.92</v>
      </c>
      <c r="H80" s="220">
        <v>0</v>
      </c>
      <c r="I80" s="220">
        <f t="shared" si="18"/>
        <v>1446.92</v>
      </c>
      <c r="J80" s="322">
        <f t="shared" si="19"/>
        <v>0</v>
      </c>
      <c r="K80" s="322"/>
      <c r="L80" s="328"/>
      <c r="M80" s="221">
        <f t="shared" si="20"/>
        <v>0</v>
      </c>
      <c r="N80" s="322">
        <f t="shared" si="21"/>
        <v>0</v>
      </c>
      <c r="O80" s="224">
        <v>4</v>
      </c>
    </row>
    <row r="81" spans="1:15" x14ac:dyDescent="0.2">
      <c r="A81" s="216" t="s">
        <v>785</v>
      </c>
      <c r="B81" s="217">
        <v>456</v>
      </c>
      <c r="C81" s="218" t="s">
        <v>786</v>
      </c>
      <c r="D81" s="218" t="s">
        <v>787</v>
      </c>
      <c r="E81" s="326">
        <v>14522</v>
      </c>
      <c r="F81" s="322" t="str">
        <f t="shared" si="22"/>
        <v>Traditional OOR</v>
      </c>
      <c r="G81" s="322">
        <f t="shared" si="17"/>
        <v>14522</v>
      </c>
      <c r="H81" s="220">
        <v>0</v>
      </c>
      <c r="I81" s="220">
        <f t="shared" si="18"/>
        <v>14522</v>
      </c>
      <c r="J81" s="322">
        <f t="shared" si="19"/>
        <v>0</v>
      </c>
      <c r="K81" s="322"/>
      <c r="L81" s="328"/>
      <c r="M81" s="221">
        <f t="shared" si="20"/>
        <v>0</v>
      </c>
      <c r="N81" s="322">
        <f t="shared" si="21"/>
        <v>0</v>
      </c>
      <c r="O81" s="224">
        <v>4</v>
      </c>
    </row>
    <row r="82" spans="1:15" x14ac:dyDescent="0.2">
      <c r="A82" s="216" t="s">
        <v>788</v>
      </c>
      <c r="B82" s="217">
        <v>456</v>
      </c>
      <c r="C82" s="218" t="s">
        <v>789</v>
      </c>
      <c r="D82" s="218" t="s">
        <v>790</v>
      </c>
      <c r="E82" s="326">
        <v>4388</v>
      </c>
      <c r="F82" s="322" t="str">
        <f t="shared" si="22"/>
        <v>Traditional OOR</v>
      </c>
      <c r="G82" s="322">
        <f t="shared" si="17"/>
        <v>4388</v>
      </c>
      <c r="H82" s="220">
        <v>0</v>
      </c>
      <c r="I82" s="220">
        <f t="shared" si="18"/>
        <v>4388</v>
      </c>
      <c r="J82" s="322">
        <f t="shared" si="19"/>
        <v>0</v>
      </c>
      <c r="K82" s="322"/>
      <c r="L82" s="328"/>
      <c r="M82" s="221">
        <f t="shared" si="20"/>
        <v>0</v>
      </c>
      <c r="N82" s="322">
        <f t="shared" si="21"/>
        <v>0</v>
      </c>
      <c r="O82" s="224">
        <v>4</v>
      </c>
    </row>
    <row r="83" spans="1:15" x14ac:dyDescent="0.2">
      <c r="A83" s="216" t="s">
        <v>791</v>
      </c>
      <c r="B83" s="217">
        <v>456</v>
      </c>
      <c r="C83" s="218" t="s">
        <v>792</v>
      </c>
      <c r="D83" s="218" t="s">
        <v>793</v>
      </c>
      <c r="E83" s="326">
        <v>993.08</v>
      </c>
      <c r="F83" s="322" t="str">
        <f t="shared" si="22"/>
        <v>Traditional OOR</v>
      </c>
      <c r="G83" s="322">
        <f t="shared" si="17"/>
        <v>993.08</v>
      </c>
      <c r="H83" s="220">
        <v>0</v>
      </c>
      <c r="I83" s="220">
        <f t="shared" si="18"/>
        <v>993.08</v>
      </c>
      <c r="J83" s="322">
        <f t="shared" si="19"/>
        <v>0</v>
      </c>
      <c r="K83" s="322"/>
      <c r="L83" s="328"/>
      <c r="M83" s="221">
        <f t="shared" si="20"/>
        <v>0</v>
      </c>
      <c r="N83" s="322">
        <f t="shared" si="21"/>
        <v>0</v>
      </c>
      <c r="O83" s="224">
        <v>4</v>
      </c>
    </row>
    <row r="84" spans="1:15" x14ac:dyDescent="0.2">
      <c r="A84" s="216" t="s">
        <v>794</v>
      </c>
      <c r="B84" s="217">
        <v>456</v>
      </c>
      <c r="C84" s="218" t="s">
        <v>795</v>
      </c>
      <c r="D84" s="218" t="s">
        <v>796</v>
      </c>
      <c r="E84" s="326">
        <v>845</v>
      </c>
      <c r="F84" s="322" t="str">
        <f t="shared" si="22"/>
        <v>Traditional OOR</v>
      </c>
      <c r="G84" s="322">
        <f t="shared" si="17"/>
        <v>845</v>
      </c>
      <c r="H84" s="220">
        <v>0</v>
      </c>
      <c r="I84" s="220">
        <f t="shared" si="18"/>
        <v>845</v>
      </c>
      <c r="J84" s="322">
        <f t="shared" si="19"/>
        <v>0</v>
      </c>
      <c r="K84" s="322"/>
      <c r="L84" s="328"/>
      <c r="M84" s="221">
        <f t="shared" si="20"/>
        <v>0</v>
      </c>
      <c r="N84" s="322">
        <f t="shared" si="21"/>
        <v>0</v>
      </c>
      <c r="O84" s="224">
        <v>4</v>
      </c>
    </row>
    <row r="85" spans="1:15" x14ac:dyDescent="0.2">
      <c r="A85" s="216" t="s">
        <v>797</v>
      </c>
      <c r="B85" s="217">
        <v>456</v>
      </c>
      <c r="C85" s="218" t="s">
        <v>798</v>
      </c>
      <c r="D85" s="218" t="s">
        <v>799</v>
      </c>
      <c r="E85" s="326">
        <v>208656</v>
      </c>
      <c r="F85" s="322" t="str">
        <f t="shared" si="22"/>
        <v>Traditional OOR</v>
      </c>
      <c r="G85" s="322">
        <f t="shared" si="17"/>
        <v>208656</v>
      </c>
      <c r="H85" s="220">
        <v>0</v>
      </c>
      <c r="I85" s="220">
        <f t="shared" si="18"/>
        <v>208656</v>
      </c>
      <c r="J85" s="322">
        <f t="shared" si="19"/>
        <v>0</v>
      </c>
      <c r="K85" s="322"/>
      <c r="L85" s="328"/>
      <c r="M85" s="221">
        <f t="shared" si="20"/>
        <v>0</v>
      </c>
      <c r="N85" s="322">
        <f t="shared" si="21"/>
        <v>0</v>
      </c>
      <c r="O85" s="224">
        <v>4</v>
      </c>
    </row>
    <row r="86" spans="1:15" x14ac:dyDescent="0.2">
      <c r="A86" s="216" t="s">
        <v>800</v>
      </c>
      <c r="B86" s="217">
        <v>456</v>
      </c>
      <c r="C86" s="218" t="s">
        <v>801</v>
      </c>
      <c r="D86" s="218" t="s">
        <v>802</v>
      </c>
      <c r="E86" s="326">
        <v>1462927.95</v>
      </c>
      <c r="F86" s="322" t="str">
        <f t="shared" ref="F86:F99" si="23">$J$2</f>
        <v>GRSM</v>
      </c>
      <c r="G86" s="322">
        <f t="shared" si="17"/>
        <v>0</v>
      </c>
      <c r="H86" s="220">
        <v>0</v>
      </c>
      <c r="I86" s="220">
        <f t="shared" si="18"/>
        <v>0</v>
      </c>
      <c r="J86" s="322">
        <f t="shared" si="19"/>
        <v>1462927.95</v>
      </c>
      <c r="K86" s="361" t="s">
        <v>675</v>
      </c>
      <c r="L86" s="329">
        <v>256201.04</v>
      </c>
      <c r="M86" s="221">
        <f t="shared" si="20"/>
        <v>1206726.9099999999</v>
      </c>
      <c r="N86" s="322">
        <f t="shared" si="21"/>
        <v>0</v>
      </c>
      <c r="O86" s="224">
        <v>2</v>
      </c>
    </row>
    <row r="87" spans="1:15" x14ac:dyDescent="0.2">
      <c r="A87" s="216" t="s">
        <v>803</v>
      </c>
      <c r="B87" s="217">
        <v>456</v>
      </c>
      <c r="C87" s="218" t="s">
        <v>804</v>
      </c>
      <c r="D87" s="218" t="s">
        <v>805</v>
      </c>
      <c r="E87" s="326">
        <v>109453.18</v>
      </c>
      <c r="F87" s="322" t="str">
        <f t="shared" si="23"/>
        <v>GRSM</v>
      </c>
      <c r="G87" s="322">
        <f t="shared" si="17"/>
        <v>0</v>
      </c>
      <c r="H87" s="220">
        <v>0</v>
      </c>
      <c r="I87" s="220">
        <f t="shared" si="18"/>
        <v>0</v>
      </c>
      <c r="J87" s="322">
        <f t="shared" si="19"/>
        <v>109453.18</v>
      </c>
      <c r="K87" s="361" t="s">
        <v>675</v>
      </c>
      <c r="L87" s="329">
        <v>20080.599999999999</v>
      </c>
      <c r="M87" s="221">
        <f t="shared" si="20"/>
        <v>89372.579999999987</v>
      </c>
      <c r="N87" s="322">
        <f t="shared" si="21"/>
        <v>0</v>
      </c>
      <c r="O87" s="224">
        <v>2</v>
      </c>
    </row>
    <row r="88" spans="1:15" x14ac:dyDescent="0.2">
      <c r="A88" s="216" t="s">
        <v>806</v>
      </c>
      <c r="B88" s="217">
        <v>456</v>
      </c>
      <c r="C88" s="218" t="s">
        <v>807</v>
      </c>
      <c r="D88" s="218" t="s">
        <v>808</v>
      </c>
      <c r="E88" s="326">
        <v>75715</v>
      </c>
      <c r="F88" s="322" t="str">
        <f t="shared" si="23"/>
        <v>GRSM</v>
      </c>
      <c r="G88" s="322">
        <f t="shared" si="17"/>
        <v>0</v>
      </c>
      <c r="H88" s="220">
        <v>0</v>
      </c>
      <c r="I88" s="220">
        <f t="shared" si="18"/>
        <v>0</v>
      </c>
      <c r="J88" s="322">
        <f t="shared" si="19"/>
        <v>75715</v>
      </c>
      <c r="K88" s="361" t="s">
        <v>675</v>
      </c>
      <c r="L88" s="328">
        <v>9927.7099999999991</v>
      </c>
      <c r="M88" s="221">
        <f t="shared" si="20"/>
        <v>65787.290000000008</v>
      </c>
      <c r="N88" s="322">
        <f t="shared" si="21"/>
        <v>0</v>
      </c>
      <c r="O88" s="224">
        <v>2</v>
      </c>
    </row>
    <row r="89" spans="1:15" x14ac:dyDescent="0.2">
      <c r="A89" s="216" t="s">
        <v>809</v>
      </c>
      <c r="B89" s="217">
        <v>456</v>
      </c>
      <c r="C89" s="218" t="s">
        <v>810</v>
      </c>
      <c r="D89" s="218" t="s">
        <v>811</v>
      </c>
      <c r="E89" s="326">
        <v>0</v>
      </c>
      <c r="F89" s="322" t="str">
        <f t="shared" si="23"/>
        <v>GRSM</v>
      </c>
      <c r="G89" s="322">
        <f t="shared" si="17"/>
        <v>0</v>
      </c>
      <c r="H89" s="220">
        <v>0</v>
      </c>
      <c r="I89" s="220">
        <f t="shared" si="18"/>
        <v>0</v>
      </c>
      <c r="J89" s="322">
        <f t="shared" si="19"/>
        <v>0</v>
      </c>
      <c r="K89" s="361" t="s">
        <v>675</v>
      </c>
      <c r="L89" s="328">
        <v>0</v>
      </c>
      <c r="M89" s="221">
        <f t="shared" si="20"/>
        <v>0</v>
      </c>
      <c r="N89" s="322">
        <f t="shared" si="21"/>
        <v>0</v>
      </c>
      <c r="O89" s="219">
        <v>2</v>
      </c>
    </row>
    <row r="90" spans="1:15" x14ac:dyDescent="0.2">
      <c r="A90" s="216" t="s">
        <v>812</v>
      </c>
      <c r="B90" s="217">
        <v>456</v>
      </c>
      <c r="C90" s="218" t="s">
        <v>813</v>
      </c>
      <c r="D90" s="218" t="s">
        <v>814</v>
      </c>
      <c r="E90" s="326">
        <v>12941.55</v>
      </c>
      <c r="F90" s="322" t="str">
        <f t="shared" si="23"/>
        <v>GRSM</v>
      </c>
      <c r="G90" s="322">
        <f t="shared" si="17"/>
        <v>0</v>
      </c>
      <c r="H90" s="220">
        <v>0</v>
      </c>
      <c r="I90" s="220">
        <f t="shared" si="18"/>
        <v>0</v>
      </c>
      <c r="J90" s="322">
        <f t="shared" si="19"/>
        <v>12941.55</v>
      </c>
      <c r="K90" s="361" t="s">
        <v>675</v>
      </c>
      <c r="L90" s="328">
        <v>2437.7399999999998</v>
      </c>
      <c r="M90" s="221">
        <f t="shared" si="20"/>
        <v>10503.81</v>
      </c>
      <c r="N90" s="322">
        <f t="shared" si="21"/>
        <v>0</v>
      </c>
      <c r="O90" s="224">
        <v>2</v>
      </c>
    </row>
    <row r="91" spans="1:15" x14ac:dyDescent="0.2">
      <c r="A91" s="216" t="s">
        <v>815</v>
      </c>
      <c r="B91" s="217">
        <v>456</v>
      </c>
      <c r="C91" s="218" t="s">
        <v>816</v>
      </c>
      <c r="D91" s="218" t="s">
        <v>817</v>
      </c>
      <c r="E91" s="326">
        <v>225</v>
      </c>
      <c r="F91" s="322" t="str">
        <f t="shared" si="23"/>
        <v>GRSM</v>
      </c>
      <c r="G91" s="322">
        <f t="shared" si="17"/>
        <v>0</v>
      </c>
      <c r="H91" s="220">
        <v>0</v>
      </c>
      <c r="I91" s="220">
        <f t="shared" si="18"/>
        <v>0</v>
      </c>
      <c r="J91" s="322">
        <f t="shared" si="19"/>
        <v>225</v>
      </c>
      <c r="K91" s="361" t="s">
        <v>675</v>
      </c>
      <c r="L91" s="328">
        <v>0</v>
      </c>
      <c r="M91" s="221">
        <f t="shared" si="20"/>
        <v>225</v>
      </c>
      <c r="N91" s="322">
        <f t="shared" si="21"/>
        <v>0</v>
      </c>
      <c r="O91" s="224">
        <v>2</v>
      </c>
    </row>
    <row r="92" spans="1:15" x14ac:dyDescent="0.2">
      <c r="A92" s="216" t="s">
        <v>818</v>
      </c>
      <c r="B92" s="217">
        <v>456</v>
      </c>
      <c r="C92" s="218" t="s">
        <v>819</v>
      </c>
      <c r="D92" s="218" t="s">
        <v>820</v>
      </c>
      <c r="E92" s="326">
        <v>6085</v>
      </c>
      <c r="F92" s="322" t="str">
        <f t="shared" si="23"/>
        <v>GRSM</v>
      </c>
      <c r="G92" s="322">
        <f t="shared" si="17"/>
        <v>0</v>
      </c>
      <c r="H92" s="220">
        <v>0</v>
      </c>
      <c r="I92" s="220">
        <f t="shared" si="18"/>
        <v>0</v>
      </c>
      <c r="J92" s="322">
        <f t="shared" si="19"/>
        <v>6085</v>
      </c>
      <c r="K92" s="361" t="s">
        <v>675</v>
      </c>
      <c r="L92" s="328">
        <v>2725</v>
      </c>
      <c r="M92" s="221">
        <f t="shared" si="20"/>
        <v>3360</v>
      </c>
      <c r="N92" s="322">
        <f t="shared" si="21"/>
        <v>0</v>
      </c>
      <c r="O92" s="219">
        <v>2</v>
      </c>
    </row>
    <row r="93" spans="1:15" x14ac:dyDescent="0.2">
      <c r="A93" s="216" t="s">
        <v>821</v>
      </c>
      <c r="B93" s="217">
        <v>456</v>
      </c>
      <c r="C93" s="217">
        <v>4186536</v>
      </c>
      <c r="D93" s="235" t="s">
        <v>822</v>
      </c>
      <c r="E93" s="326">
        <v>0</v>
      </c>
      <c r="F93" s="322" t="str">
        <f t="shared" si="23"/>
        <v>GRSM</v>
      </c>
      <c r="G93" s="322">
        <f t="shared" si="17"/>
        <v>0</v>
      </c>
      <c r="H93" s="220">
        <v>0</v>
      </c>
      <c r="I93" s="220">
        <f t="shared" si="18"/>
        <v>0</v>
      </c>
      <c r="J93" s="322">
        <f t="shared" si="19"/>
        <v>0</v>
      </c>
      <c r="K93" s="361" t="s">
        <v>675</v>
      </c>
      <c r="L93" s="328">
        <v>0</v>
      </c>
      <c r="M93" s="221">
        <f t="shared" si="20"/>
        <v>0</v>
      </c>
      <c r="N93" s="322">
        <f t="shared" si="21"/>
        <v>0</v>
      </c>
      <c r="O93" s="219">
        <v>2</v>
      </c>
    </row>
    <row r="94" spans="1:15" x14ac:dyDescent="0.2">
      <c r="A94" s="216" t="s">
        <v>823</v>
      </c>
      <c r="B94" s="217">
        <v>456</v>
      </c>
      <c r="C94" s="217">
        <v>4186538</v>
      </c>
      <c r="D94" s="235" t="s">
        <v>824</v>
      </c>
      <c r="E94" s="326">
        <v>0</v>
      </c>
      <c r="F94" s="322" t="str">
        <f t="shared" si="23"/>
        <v>GRSM</v>
      </c>
      <c r="G94" s="322">
        <f t="shared" si="17"/>
        <v>0</v>
      </c>
      <c r="H94" s="220">
        <v>0</v>
      </c>
      <c r="I94" s="220">
        <f t="shared" si="18"/>
        <v>0</v>
      </c>
      <c r="J94" s="322">
        <f t="shared" si="19"/>
        <v>0</v>
      </c>
      <c r="K94" s="361" t="s">
        <v>675</v>
      </c>
      <c r="L94" s="328">
        <v>0</v>
      </c>
      <c r="M94" s="221">
        <f t="shared" si="20"/>
        <v>0</v>
      </c>
      <c r="N94" s="322">
        <f t="shared" si="21"/>
        <v>0</v>
      </c>
      <c r="O94" s="219">
        <v>2</v>
      </c>
    </row>
    <row r="95" spans="1:15" x14ac:dyDescent="0.2">
      <c r="A95" s="216" t="s">
        <v>825</v>
      </c>
      <c r="B95" s="217">
        <v>456</v>
      </c>
      <c r="C95" s="218" t="s">
        <v>826</v>
      </c>
      <c r="D95" s="218" t="s">
        <v>827</v>
      </c>
      <c r="E95" s="326">
        <v>0</v>
      </c>
      <c r="F95" s="322" t="str">
        <f t="shared" si="23"/>
        <v>GRSM</v>
      </c>
      <c r="G95" s="322">
        <f t="shared" si="17"/>
        <v>0</v>
      </c>
      <c r="H95" s="220">
        <v>0</v>
      </c>
      <c r="I95" s="220">
        <f t="shared" si="18"/>
        <v>0</v>
      </c>
      <c r="J95" s="322">
        <f t="shared" si="19"/>
        <v>0</v>
      </c>
      <c r="K95" s="361" t="s">
        <v>617</v>
      </c>
      <c r="L95" s="328">
        <v>0</v>
      </c>
      <c r="M95" s="221">
        <f t="shared" si="20"/>
        <v>0</v>
      </c>
      <c r="N95" s="322">
        <f t="shared" si="21"/>
        <v>0</v>
      </c>
      <c r="O95" s="219">
        <v>2</v>
      </c>
    </row>
    <row r="96" spans="1:15" x14ac:dyDescent="0.2">
      <c r="A96" s="216" t="s">
        <v>828</v>
      </c>
      <c r="B96" s="217">
        <v>456</v>
      </c>
      <c r="C96" s="218" t="s">
        <v>829</v>
      </c>
      <c r="D96" s="218" t="s">
        <v>830</v>
      </c>
      <c r="E96" s="326">
        <v>0</v>
      </c>
      <c r="F96" s="322" t="str">
        <f t="shared" si="23"/>
        <v>GRSM</v>
      </c>
      <c r="G96" s="322">
        <f t="shared" si="17"/>
        <v>0</v>
      </c>
      <c r="H96" s="220">
        <v>0</v>
      </c>
      <c r="I96" s="220">
        <f t="shared" si="18"/>
        <v>0</v>
      </c>
      <c r="J96" s="322">
        <f t="shared" si="19"/>
        <v>0</v>
      </c>
      <c r="K96" s="361" t="s">
        <v>617</v>
      </c>
      <c r="L96" s="328">
        <v>0</v>
      </c>
      <c r="M96" s="221">
        <f t="shared" si="20"/>
        <v>0</v>
      </c>
      <c r="N96" s="322">
        <f t="shared" si="21"/>
        <v>0</v>
      </c>
      <c r="O96" s="219">
        <v>2</v>
      </c>
    </row>
    <row r="97" spans="1:15" x14ac:dyDescent="0.2">
      <c r="A97" s="216" t="s">
        <v>831</v>
      </c>
      <c r="B97" s="217">
        <v>456</v>
      </c>
      <c r="C97" s="218" t="s">
        <v>832</v>
      </c>
      <c r="D97" s="218" t="s">
        <v>833</v>
      </c>
      <c r="E97" s="326">
        <v>0</v>
      </c>
      <c r="F97" s="322" t="str">
        <f t="shared" si="23"/>
        <v>GRSM</v>
      </c>
      <c r="G97" s="322">
        <f t="shared" si="17"/>
        <v>0</v>
      </c>
      <c r="H97" s="220">
        <v>0</v>
      </c>
      <c r="I97" s="220">
        <f t="shared" si="18"/>
        <v>0</v>
      </c>
      <c r="J97" s="322">
        <f t="shared" si="19"/>
        <v>0</v>
      </c>
      <c r="K97" s="361" t="s">
        <v>617</v>
      </c>
      <c r="L97" s="328">
        <v>0</v>
      </c>
      <c r="M97" s="221">
        <f t="shared" si="20"/>
        <v>0</v>
      </c>
      <c r="N97" s="322">
        <f t="shared" si="21"/>
        <v>0</v>
      </c>
      <c r="O97" s="219">
        <v>2</v>
      </c>
    </row>
    <row r="98" spans="1:15" x14ac:dyDescent="0.2">
      <c r="A98" s="216" t="s">
        <v>834</v>
      </c>
      <c r="B98" s="217">
        <v>456</v>
      </c>
      <c r="C98" s="218" t="s">
        <v>835</v>
      </c>
      <c r="D98" s="218" t="s">
        <v>836</v>
      </c>
      <c r="E98" s="326">
        <v>0</v>
      </c>
      <c r="F98" s="322" t="str">
        <f t="shared" si="23"/>
        <v>GRSM</v>
      </c>
      <c r="G98" s="322">
        <f t="shared" si="17"/>
        <v>0</v>
      </c>
      <c r="H98" s="220">
        <v>0</v>
      </c>
      <c r="I98" s="220">
        <f t="shared" si="18"/>
        <v>0</v>
      </c>
      <c r="J98" s="322">
        <f>IF(F98=$J$2,E98,0)</f>
        <v>0</v>
      </c>
      <c r="K98" s="361" t="s">
        <v>617</v>
      </c>
      <c r="L98" s="328">
        <v>0</v>
      </c>
      <c r="M98" s="221">
        <f t="shared" si="20"/>
        <v>0</v>
      </c>
      <c r="N98" s="322">
        <f t="shared" si="21"/>
        <v>0</v>
      </c>
      <c r="O98" s="224">
        <v>2</v>
      </c>
    </row>
    <row r="99" spans="1:15" x14ac:dyDescent="0.2">
      <c r="A99" s="216" t="s">
        <v>837</v>
      </c>
      <c r="B99" s="217">
        <v>456</v>
      </c>
      <c r="C99" s="218" t="s">
        <v>838</v>
      </c>
      <c r="D99" s="218" t="s">
        <v>839</v>
      </c>
      <c r="E99" s="326">
        <v>16095</v>
      </c>
      <c r="F99" s="322" t="str">
        <f t="shared" si="23"/>
        <v>GRSM</v>
      </c>
      <c r="G99" s="322">
        <f t="shared" si="17"/>
        <v>0</v>
      </c>
      <c r="H99" s="220">
        <v>0</v>
      </c>
      <c r="I99" s="220">
        <f t="shared" si="18"/>
        <v>0</v>
      </c>
      <c r="J99" s="322">
        <f t="shared" si="19"/>
        <v>16095</v>
      </c>
      <c r="K99" s="361" t="s">
        <v>617</v>
      </c>
      <c r="L99" s="329">
        <v>1344.14</v>
      </c>
      <c r="M99" s="220">
        <f t="shared" si="20"/>
        <v>14750.86</v>
      </c>
      <c r="N99" s="322">
        <f t="shared" si="21"/>
        <v>0</v>
      </c>
      <c r="O99" s="219">
        <v>2</v>
      </c>
    </row>
    <row r="100" spans="1:15" x14ac:dyDescent="0.2">
      <c r="A100" s="216" t="s">
        <v>840</v>
      </c>
      <c r="B100" s="217">
        <v>456</v>
      </c>
      <c r="C100" s="218" t="s">
        <v>841</v>
      </c>
      <c r="D100" s="218" t="s">
        <v>842</v>
      </c>
      <c r="E100" s="326">
        <v>0</v>
      </c>
      <c r="F100" s="322" t="str">
        <f>$N$2</f>
        <v>Other Ratemaking</v>
      </c>
      <c r="G100" s="322">
        <f t="shared" si="17"/>
        <v>0</v>
      </c>
      <c r="H100" s="220">
        <v>0</v>
      </c>
      <c r="I100" s="220">
        <f t="shared" si="18"/>
        <v>0</v>
      </c>
      <c r="J100" s="322">
        <f t="shared" si="19"/>
        <v>0</v>
      </c>
      <c r="K100" s="322"/>
      <c r="L100" s="328"/>
      <c r="M100" s="221">
        <f t="shared" si="20"/>
        <v>0</v>
      </c>
      <c r="N100" s="322">
        <f t="shared" si="21"/>
        <v>0</v>
      </c>
      <c r="O100" s="224">
        <v>6</v>
      </c>
    </row>
    <row r="101" spans="1:15" x14ac:dyDescent="0.2">
      <c r="A101" s="216" t="s">
        <v>843</v>
      </c>
      <c r="B101" s="217">
        <v>456</v>
      </c>
      <c r="C101" s="218" t="s">
        <v>844</v>
      </c>
      <c r="D101" s="218" t="s">
        <v>845</v>
      </c>
      <c r="E101" s="326">
        <v>6639365.1699999999</v>
      </c>
      <c r="F101" s="322" t="str">
        <f>$G$2</f>
        <v>Traditional OOR</v>
      </c>
      <c r="G101" s="322">
        <f t="shared" si="17"/>
        <v>6639365.1699999999</v>
      </c>
      <c r="H101" s="220">
        <v>0</v>
      </c>
      <c r="I101" s="220">
        <f t="shared" si="18"/>
        <v>6639365.1699999999</v>
      </c>
      <c r="J101" s="322">
        <f t="shared" si="19"/>
        <v>0</v>
      </c>
      <c r="K101" s="322"/>
      <c r="L101" s="328"/>
      <c r="M101" s="221">
        <f t="shared" si="20"/>
        <v>0</v>
      </c>
      <c r="N101" s="322">
        <f t="shared" si="21"/>
        <v>0</v>
      </c>
      <c r="O101" s="224">
        <v>4</v>
      </c>
    </row>
    <row r="102" spans="1:15" x14ac:dyDescent="0.2">
      <c r="A102" s="216" t="s">
        <v>846</v>
      </c>
      <c r="B102" s="217">
        <v>456</v>
      </c>
      <c r="C102" s="218" t="s">
        <v>847</v>
      </c>
      <c r="D102" s="1193" t="s">
        <v>2011</v>
      </c>
      <c r="E102" s="326">
        <v>151892342.61000001</v>
      </c>
      <c r="F102" s="322" t="str">
        <f t="shared" ref="F102:F107" si="24">$N$2</f>
        <v>Other Ratemaking</v>
      </c>
      <c r="G102" s="322">
        <f t="shared" si="17"/>
        <v>0</v>
      </c>
      <c r="H102" s="220">
        <v>0</v>
      </c>
      <c r="I102" s="220">
        <f t="shared" si="18"/>
        <v>0</v>
      </c>
      <c r="J102" s="322">
        <f t="shared" si="19"/>
        <v>0</v>
      </c>
      <c r="K102" s="322"/>
      <c r="L102" s="328"/>
      <c r="M102" s="221">
        <f t="shared" si="20"/>
        <v>0</v>
      </c>
      <c r="N102" s="322">
        <f t="shared" si="21"/>
        <v>151892342.61000001</v>
      </c>
      <c r="O102" s="224">
        <v>6</v>
      </c>
    </row>
    <row r="103" spans="1:15" x14ac:dyDescent="0.2">
      <c r="A103" s="216" t="s">
        <v>848</v>
      </c>
      <c r="B103" s="217">
        <v>456</v>
      </c>
      <c r="C103" s="218" t="s">
        <v>849</v>
      </c>
      <c r="D103" s="1193" t="s">
        <v>2012</v>
      </c>
      <c r="E103" s="326">
        <v>-35638216.140000001</v>
      </c>
      <c r="F103" s="322" t="str">
        <f t="shared" si="24"/>
        <v>Other Ratemaking</v>
      </c>
      <c r="G103" s="322">
        <f t="shared" si="17"/>
        <v>0</v>
      </c>
      <c r="H103" s="220">
        <v>0</v>
      </c>
      <c r="I103" s="220">
        <f t="shared" si="18"/>
        <v>0</v>
      </c>
      <c r="J103" s="322">
        <f t="shared" si="19"/>
        <v>0</v>
      </c>
      <c r="K103" s="322"/>
      <c r="L103" s="328"/>
      <c r="M103" s="221">
        <f t="shared" si="20"/>
        <v>0</v>
      </c>
      <c r="N103" s="322">
        <f t="shared" si="21"/>
        <v>-35638216.140000001</v>
      </c>
      <c r="O103" s="224">
        <v>6</v>
      </c>
    </row>
    <row r="104" spans="1:15" x14ac:dyDescent="0.2">
      <c r="A104" s="216" t="s">
        <v>850</v>
      </c>
      <c r="B104" s="217">
        <v>456</v>
      </c>
      <c r="C104" s="218" t="s">
        <v>851</v>
      </c>
      <c r="D104" s="218" t="s">
        <v>852</v>
      </c>
      <c r="E104" s="326">
        <v>-152070208</v>
      </c>
      <c r="F104" s="322" t="str">
        <f t="shared" si="24"/>
        <v>Other Ratemaking</v>
      </c>
      <c r="G104" s="322">
        <f t="shared" si="17"/>
        <v>0</v>
      </c>
      <c r="H104" s="220">
        <v>0</v>
      </c>
      <c r="I104" s="220">
        <f t="shared" si="18"/>
        <v>0</v>
      </c>
      <c r="J104" s="322">
        <f t="shared" si="19"/>
        <v>0</v>
      </c>
      <c r="K104" s="322"/>
      <c r="L104" s="328"/>
      <c r="M104" s="221">
        <f t="shared" si="20"/>
        <v>0</v>
      </c>
      <c r="N104" s="322">
        <f t="shared" si="21"/>
        <v>-152070208</v>
      </c>
      <c r="O104" s="224">
        <v>6</v>
      </c>
    </row>
    <row r="105" spans="1:15" x14ac:dyDescent="0.2">
      <c r="A105" s="216" t="s">
        <v>853</v>
      </c>
      <c r="B105" s="217">
        <v>456</v>
      </c>
      <c r="C105" s="218" t="s">
        <v>854</v>
      </c>
      <c r="D105" s="218" t="s">
        <v>855</v>
      </c>
      <c r="E105" s="326">
        <v>35638216.140000001</v>
      </c>
      <c r="F105" s="322" t="str">
        <f t="shared" si="24"/>
        <v>Other Ratemaking</v>
      </c>
      <c r="G105" s="322">
        <f t="shared" si="17"/>
        <v>0</v>
      </c>
      <c r="H105" s="220">
        <v>0</v>
      </c>
      <c r="I105" s="220">
        <f t="shared" si="18"/>
        <v>0</v>
      </c>
      <c r="J105" s="322">
        <f t="shared" si="19"/>
        <v>0</v>
      </c>
      <c r="K105" s="322"/>
      <c r="L105" s="328"/>
      <c r="M105" s="221">
        <f t="shared" si="20"/>
        <v>0</v>
      </c>
      <c r="N105" s="322">
        <f t="shared" si="21"/>
        <v>35638216.140000001</v>
      </c>
      <c r="O105" s="224">
        <v>6</v>
      </c>
    </row>
    <row r="106" spans="1:15" x14ac:dyDescent="0.2">
      <c r="A106" s="216" t="s">
        <v>856</v>
      </c>
      <c r="B106" s="217">
        <v>456</v>
      </c>
      <c r="C106" s="218" t="s">
        <v>857</v>
      </c>
      <c r="D106" s="1193" t="s">
        <v>2013</v>
      </c>
      <c r="E106" s="326">
        <v>40366101.490000002</v>
      </c>
      <c r="F106" s="322" t="str">
        <f t="shared" si="24"/>
        <v>Other Ratemaking</v>
      </c>
      <c r="G106" s="322">
        <f t="shared" si="17"/>
        <v>0</v>
      </c>
      <c r="H106" s="220">
        <v>0</v>
      </c>
      <c r="I106" s="220">
        <f t="shared" si="18"/>
        <v>0</v>
      </c>
      <c r="J106" s="322">
        <f t="shared" si="19"/>
        <v>0</v>
      </c>
      <c r="K106" s="322"/>
      <c r="L106" s="328"/>
      <c r="M106" s="221">
        <f t="shared" si="20"/>
        <v>0</v>
      </c>
      <c r="N106" s="322">
        <f t="shared" si="21"/>
        <v>40366101.490000002</v>
      </c>
      <c r="O106" s="224">
        <v>6</v>
      </c>
    </row>
    <row r="107" spans="1:15" x14ac:dyDescent="0.2">
      <c r="A107" s="216" t="s">
        <v>858</v>
      </c>
      <c r="B107" s="217">
        <v>456</v>
      </c>
      <c r="C107" s="218" t="s">
        <v>859</v>
      </c>
      <c r="D107" s="218" t="s">
        <v>860</v>
      </c>
      <c r="E107" s="326">
        <v>-40366101.490000002</v>
      </c>
      <c r="F107" s="322" t="str">
        <f t="shared" si="24"/>
        <v>Other Ratemaking</v>
      </c>
      <c r="G107" s="322">
        <f t="shared" si="17"/>
        <v>0</v>
      </c>
      <c r="H107" s="220">
        <v>0</v>
      </c>
      <c r="I107" s="220">
        <f t="shared" si="18"/>
        <v>0</v>
      </c>
      <c r="J107" s="322">
        <f t="shared" si="19"/>
        <v>0</v>
      </c>
      <c r="K107" s="322"/>
      <c r="L107" s="328"/>
      <c r="M107" s="221">
        <f t="shared" si="20"/>
        <v>0</v>
      </c>
      <c r="N107" s="322">
        <f t="shared" si="21"/>
        <v>-40366101.490000002</v>
      </c>
      <c r="O107" s="224">
        <v>6</v>
      </c>
    </row>
    <row r="108" spans="1:15" x14ac:dyDescent="0.2">
      <c r="A108" s="216" t="s">
        <v>861</v>
      </c>
      <c r="B108" s="217">
        <v>456</v>
      </c>
      <c r="C108" s="218" t="s">
        <v>862</v>
      </c>
      <c r="D108" s="218" t="s">
        <v>863</v>
      </c>
      <c r="E108" s="326">
        <v>0</v>
      </c>
      <c r="F108" s="322" t="str">
        <f>$J$2</f>
        <v>GRSM</v>
      </c>
      <c r="G108" s="322">
        <f t="shared" si="17"/>
        <v>0</v>
      </c>
      <c r="H108" s="220">
        <v>0</v>
      </c>
      <c r="I108" s="220">
        <f t="shared" si="18"/>
        <v>0</v>
      </c>
      <c r="J108" s="322">
        <f t="shared" si="19"/>
        <v>0</v>
      </c>
      <c r="K108" s="361" t="s">
        <v>617</v>
      </c>
      <c r="L108" s="328">
        <v>0</v>
      </c>
      <c r="M108" s="221">
        <f t="shared" si="20"/>
        <v>0</v>
      </c>
      <c r="N108" s="322">
        <f t="shared" si="21"/>
        <v>0</v>
      </c>
      <c r="O108" s="224">
        <v>2</v>
      </c>
    </row>
    <row r="109" spans="1:15" x14ac:dyDescent="0.2">
      <c r="A109" s="216" t="s">
        <v>864</v>
      </c>
      <c r="B109" s="217">
        <v>456</v>
      </c>
      <c r="C109" s="218" t="s">
        <v>865</v>
      </c>
      <c r="D109" s="218" t="s">
        <v>866</v>
      </c>
      <c r="E109" s="329">
        <v>0</v>
      </c>
      <c r="F109" s="322" t="str">
        <f>$J$2</f>
        <v>GRSM</v>
      </c>
      <c r="G109" s="322">
        <f t="shared" si="17"/>
        <v>0</v>
      </c>
      <c r="H109" s="220">
        <v>0</v>
      </c>
      <c r="I109" s="220">
        <f t="shared" si="18"/>
        <v>0</v>
      </c>
      <c r="J109" s="322">
        <f t="shared" si="19"/>
        <v>0</v>
      </c>
      <c r="K109" s="361" t="s">
        <v>617</v>
      </c>
      <c r="L109" s="329">
        <v>0</v>
      </c>
      <c r="M109" s="221">
        <f t="shared" si="20"/>
        <v>0</v>
      </c>
      <c r="N109" s="322">
        <f t="shared" si="21"/>
        <v>0</v>
      </c>
      <c r="O109" s="224">
        <v>2</v>
      </c>
    </row>
    <row r="110" spans="1:15" x14ac:dyDescent="0.2">
      <c r="A110" s="216" t="s">
        <v>867</v>
      </c>
      <c r="B110" s="217">
        <v>456</v>
      </c>
      <c r="C110" s="218" t="s">
        <v>868</v>
      </c>
      <c r="D110" s="218" t="s">
        <v>869</v>
      </c>
      <c r="E110" s="326">
        <v>0</v>
      </c>
      <c r="F110" s="322" t="str">
        <f>$N$2</f>
        <v>Other Ratemaking</v>
      </c>
      <c r="G110" s="322">
        <f t="shared" si="17"/>
        <v>0</v>
      </c>
      <c r="H110" s="220">
        <v>0</v>
      </c>
      <c r="I110" s="220">
        <f t="shared" si="18"/>
        <v>0</v>
      </c>
      <c r="J110" s="322">
        <f t="shared" si="19"/>
        <v>0</v>
      </c>
      <c r="K110" s="322"/>
      <c r="L110" s="328"/>
      <c r="M110" s="221">
        <f t="shared" si="20"/>
        <v>0</v>
      </c>
      <c r="N110" s="322">
        <f t="shared" si="21"/>
        <v>0</v>
      </c>
      <c r="O110" s="224">
        <v>6</v>
      </c>
    </row>
    <row r="111" spans="1:15" x14ac:dyDescent="0.2">
      <c r="A111" s="216" t="s">
        <v>870</v>
      </c>
      <c r="B111" s="217">
        <v>456</v>
      </c>
      <c r="C111" s="218" t="s">
        <v>871</v>
      </c>
      <c r="D111" s="218" t="s">
        <v>872</v>
      </c>
      <c r="E111" s="326">
        <v>483897.29</v>
      </c>
      <c r="F111" s="322" t="str">
        <f t="shared" ref="F111:F121" si="25">$G$2</f>
        <v>Traditional OOR</v>
      </c>
      <c r="G111" s="322">
        <f t="shared" si="17"/>
        <v>483897.29</v>
      </c>
      <c r="H111" s="220">
        <v>0</v>
      </c>
      <c r="I111" s="220">
        <f t="shared" si="18"/>
        <v>483897.29</v>
      </c>
      <c r="J111" s="322">
        <f t="shared" si="19"/>
        <v>0</v>
      </c>
      <c r="K111" s="322"/>
      <c r="L111" s="328"/>
      <c r="M111" s="221">
        <f t="shared" si="20"/>
        <v>0</v>
      </c>
      <c r="N111" s="322">
        <f t="shared" si="21"/>
        <v>0</v>
      </c>
      <c r="O111" s="224">
        <v>1</v>
      </c>
    </row>
    <row r="112" spans="1:15" x14ac:dyDescent="0.2">
      <c r="A112" s="216" t="s">
        <v>873</v>
      </c>
      <c r="B112" s="217">
        <v>456</v>
      </c>
      <c r="C112" s="218" t="s">
        <v>874</v>
      </c>
      <c r="D112" s="218" t="s">
        <v>875</v>
      </c>
      <c r="E112" s="326">
        <v>0</v>
      </c>
      <c r="F112" s="322" t="str">
        <f t="shared" si="25"/>
        <v>Traditional OOR</v>
      </c>
      <c r="G112" s="322">
        <f t="shared" si="17"/>
        <v>0</v>
      </c>
      <c r="H112" s="220">
        <v>0</v>
      </c>
      <c r="I112" s="220">
        <f t="shared" si="18"/>
        <v>0</v>
      </c>
      <c r="J112" s="322">
        <f t="shared" si="19"/>
        <v>0</v>
      </c>
      <c r="K112" s="322"/>
      <c r="L112" s="328"/>
      <c r="M112" s="221">
        <f t="shared" si="20"/>
        <v>0</v>
      </c>
      <c r="N112" s="322">
        <f t="shared" si="21"/>
        <v>0</v>
      </c>
      <c r="O112" s="224">
        <v>1</v>
      </c>
    </row>
    <row r="113" spans="1:15" x14ac:dyDescent="0.2">
      <c r="A113" s="216" t="s">
        <v>876</v>
      </c>
      <c r="B113" s="217">
        <v>456</v>
      </c>
      <c r="C113" s="218" t="s">
        <v>877</v>
      </c>
      <c r="D113" s="218" t="s">
        <v>878</v>
      </c>
      <c r="E113" s="326">
        <v>2400744.2799999998</v>
      </c>
      <c r="F113" s="322" t="str">
        <f t="shared" si="25"/>
        <v>Traditional OOR</v>
      </c>
      <c r="G113" s="322">
        <f t="shared" si="17"/>
        <v>2400744.2799999998</v>
      </c>
      <c r="H113" s="220">
        <v>0</v>
      </c>
      <c r="I113" s="220">
        <f t="shared" si="18"/>
        <v>2400744.2799999998</v>
      </c>
      <c r="J113" s="322">
        <f t="shared" si="19"/>
        <v>0</v>
      </c>
      <c r="K113" s="322"/>
      <c r="L113" s="328"/>
      <c r="M113" s="221">
        <f t="shared" si="20"/>
        <v>0</v>
      </c>
      <c r="N113" s="322">
        <f t="shared" si="21"/>
        <v>0</v>
      </c>
      <c r="O113" s="224">
        <v>4</v>
      </c>
    </row>
    <row r="114" spans="1:15" x14ac:dyDescent="0.2">
      <c r="A114" s="216" t="s">
        <v>879</v>
      </c>
      <c r="B114" s="217">
        <v>456</v>
      </c>
      <c r="C114" s="218" t="s">
        <v>880</v>
      </c>
      <c r="D114" s="218" t="s">
        <v>881</v>
      </c>
      <c r="E114" s="326">
        <v>518163.3</v>
      </c>
      <c r="F114" s="322" t="str">
        <f t="shared" si="25"/>
        <v>Traditional OOR</v>
      </c>
      <c r="G114" s="322">
        <f t="shared" si="17"/>
        <v>518163.3</v>
      </c>
      <c r="H114" s="220">
        <v>0</v>
      </c>
      <c r="I114" s="220">
        <f t="shared" si="18"/>
        <v>518163.3</v>
      </c>
      <c r="J114" s="322">
        <f t="shared" si="19"/>
        <v>0</v>
      </c>
      <c r="K114" s="322"/>
      <c r="L114" s="328"/>
      <c r="M114" s="221">
        <f t="shared" si="20"/>
        <v>0</v>
      </c>
      <c r="N114" s="322">
        <f t="shared" si="21"/>
        <v>0</v>
      </c>
      <c r="O114" s="224">
        <v>4</v>
      </c>
    </row>
    <row r="115" spans="1:15" x14ac:dyDescent="0.2">
      <c r="A115" s="216" t="s">
        <v>882</v>
      </c>
      <c r="B115" s="217">
        <v>456</v>
      </c>
      <c r="C115" s="218" t="s">
        <v>883</v>
      </c>
      <c r="D115" s="218" t="s">
        <v>884</v>
      </c>
      <c r="E115" s="326">
        <v>-279.5</v>
      </c>
      <c r="F115" s="322" t="str">
        <f t="shared" si="25"/>
        <v>Traditional OOR</v>
      </c>
      <c r="G115" s="322">
        <f t="shared" si="17"/>
        <v>-279.5</v>
      </c>
      <c r="H115" s="220">
        <v>0</v>
      </c>
      <c r="I115" s="220">
        <f t="shared" si="18"/>
        <v>-279.5</v>
      </c>
      <c r="J115" s="322">
        <f t="shared" si="19"/>
        <v>0</v>
      </c>
      <c r="K115" s="322"/>
      <c r="L115" s="328"/>
      <c r="M115" s="221">
        <f t="shared" si="20"/>
        <v>0</v>
      </c>
      <c r="N115" s="322">
        <f t="shared" si="21"/>
        <v>0</v>
      </c>
      <c r="O115" s="224">
        <v>4</v>
      </c>
    </row>
    <row r="116" spans="1:15" x14ac:dyDescent="0.2">
      <c r="A116" s="216" t="s">
        <v>885</v>
      </c>
      <c r="B116" s="217">
        <v>456</v>
      </c>
      <c r="C116" s="218" t="s">
        <v>886</v>
      </c>
      <c r="D116" s="218" t="s">
        <v>887</v>
      </c>
      <c r="E116" s="326">
        <v>0</v>
      </c>
      <c r="F116" s="322" t="str">
        <f t="shared" si="25"/>
        <v>Traditional OOR</v>
      </c>
      <c r="G116" s="322">
        <f t="shared" si="17"/>
        <v>0</v>
      </c>
      <c r="H116" s="220">
        <v>0</v>
      </c>
      <c r="I116" s="220">
        <f t="shared" si="18"/>
        <v>0</v>
      </c>
      <c r="J116" s="322">
        <f t="shared" si="19"/>
        <v>0</v>
      </c>
      <c r="K116" s="322"/>
      <c r="L116" s="328"/>
      <c r="M116" s="221">
        <f t="shared" si="20"/>
        <v>0</v>
      </c>
      <c r="N116" s="322">
        <f t="shared" si="21"/>
        <v>0</v>
      </c>
      <c r="O116" s="224">
        <v>1</v>
      </c>
    </row>
    <row r="117" spans="1:15" x14ac:dyDescent="0.2">
      <c r="A117" s="216" t="s">
        <v>888</v>
      </c>
      <c r="B117" s="217">
        <v>456</v>
      </c>
      <c r="C117" s="218" t="s">
        <v>889</v>
      </c>
      <c r="D117" s="218" t="s">
        <v>890</v>
      </c>
      <c r="E117" s="326">
        <v>2378.58</v>
      </c>
      <c r="F117" s="322" t="str">
        <f t="shared" si="25"/>
        <v>Traditional OOR</v>
      </c>
      <c r="G117" s="322">
        <f t="shared" si="17"/>
        <v>2378.58</v>
      </c>
      <c r="H117" s="220">
        <v>0</v>
      </c>
      <c r="I117" s="220">
        <f t="shared" si="18"/>
        <v>2378.58</v>
      </c>
      <c r="J117" s="322">
        <f t="shared" si="19"/>
        <v>0</v>
      </c>
      <c r="K117" s="322"/>
      <c r="L117" s="328"/>
      <c r="M117" s="221">
        <f t="shared" si="20"/>
        <v>0</v>
      </c>
      <c r="N117" s="322">
        <f t="shared" si="21"/>
        <v>0</v>
      </c>
      <c r="O117" s="224">
        <v>4</v>
      </c>
    </row>
    <row r="118" spans="1:15" x14ac:dyDescent="0.2">
      <c r="A118" s="216" t="s">
        <v>891</v>
      </c>
      <c r="B118" s="217">
        <v>456</v>
      </c>
      <c r="C118" s="218" t="s">
        <v>892</v>
      </c>
      <c r="D118" s="218" t="s">
        <v>893</v>
      </c>
      <c r="E118" s="326">
        <v>2154224.52</v>
      </c>
      <c r="F118" s="322" t="str">
        <f t="shared" si="25"/>
        <v>Traditional OOR</v>
      </c>
      <c r="G118" s="322">
        <f t="shared" si="17"/>
        <v>2154224.52</v>
      </c>
      <c r="H118" s="873">
        <v>25838</v>
      </c>
      <c r="I118" s="220">
        <f t="shared" si="18"/>
        <v>2128386.52</v>
      </c>
      <c r="J118" s="322">
        <f t="shared" si="19"/>
        <v>0</v>
      </c>
      <c r="K118" s="322"/>
      <c r="L118" s="328"/>
      <c r="M118" s="221">
        <f t="shared" si="20"/>
        <v>0</v>
      </c>
      <c r="N118" s="322">
        <f t="shared" si="21"/>
        <v>0</v>
      </c>
      <c r="O118" s="219">
        <v>8</v>
      </c>
    </row>
    <row r="119" spans="1:15" x14ac:dyDescent="0.2">
      <c r="A119" s="216" t="s">
        <v>894</v>
      </c>
      <c r="B119" s="217">
        <v>456</v>
      </c>
      <c r="C119" s="218" t="s">
        <v>895</v>
      </c>
      <c r="D119" s="218" t="s">
        <v>896</v>
      </c>
      <c r="E119" s="326">
        <v>3574028.1</v>
      </c>
      <c r="F119" s="322" t="str">
        <f t="shared" si="25"/>
        <v>Traditional OOR</v>
      </c>
      <c r="G119" s="322">
        <f t="shared" si="17"/>
        <v>3574028.1</v>
      </c>
      <c r="H119" s="220">
        <v>0</v>
      </c>
      <c r="I119" s="220">
        <f t="shared" si="18"/>
        <v>3574028.1</v>
      </c>
      <c r="J119" s="322">
        <f t="shared" si="19"/>
        <v>0</v>
      </c>
      <c r="K119" s="322"/>
      <c r="L119" s="328"/>
      <c r="M119" s="221">
        <f t="shared" si="20"/>
        <v>0</v>
      </c>
      <c r="N119" s="322">
        <f t="shared" si="21"/>
        <v>0</v>
      </c>
      <c r="O119" s="224">
        <v>4</v>
      </c>
    </row>
    <row r="120" spans="1:15" x14ac:dyDescent="0.2">
      <c r="A120" s="216" t="s">
        <v>897</v>
      </c>
      <c r="B120" s="217">
        <v>456</v>
      </c>
      <c r="C120" s="218" t="s">
        <v>898</v>
      </c>
      <c r="D120" s="218" t="s">
        <v>899</v>
      </c>
      <c r="E120" s="326">
        <v>1938.3</v>
      </c>
      <c r="F120" s="322" t="str">
        <f t="shared" si="25"/>
        <v>Traditional OOR</v>
      </c>
      <c r="G120" s="322">
        <f t="shared" si="17"/>
        <v>1938.3</v>
      </c>
      <c r="H120" s="220">
        <v>0</v>
      </c>
      <c r="I120" s="220">
        <f t="shared" si="18"/>
        <v>1938.3</v>
      </c>
      <c r="J120" s="322">
        <f t="shared" si="19"/>
        <v>0</v>
      </c>
      <c r="K120" s="322"/>
      <c r="L120" s="328"/>
      <c r="M120" s="221">
        <f t="shared" si="20"/>
        <v>0</v>
      </c>
      <c r="N120" s="322">
        <f t="shared" si="21"/>
        <v>0</v>
      </c>
      <c r="O120" s="224">
        <v>4</v>
      </c>
    </row>
    <row r="121" spans="1:15" x14ac:dyDescent="0.2">
      <c r="A121" s="216" t="s">
        <v>900</v>
      </c>
      <c r="B121" s="217">
        <v>456</v>
      </c>
      <c r="C121" s="218" t="s">
        <v>901</v>
      </c>
      <c r="D121" s="218" t="s">
        <v>902</v>
      </c>
      <c r="E121" s="326">
        <v>4057</v>
      </c>
      <c r="F121" s="322" t="str">
        <f t="shared" si="25"/>
        <v>Traditional OOR</v>
      </c>
      <c r="G121" s="322">
        <f t="shared" si="17"/>
        <v>4057</v>
      </c>
      <c r="H121" s="220">
        <v>0</v>
      </c>
      <c r="I121" s="220">
        <f t="shared" si="18"/>
        <v>4057</v>
      </c>
      <c r="J121" s="322">
        <f t="shared" si="19"/>
        <v>0</v>
      </c>
      <c r="K121" s="322"/>
      <c r="L121" s="328"/>
      <c r="M121" s="221">
        <f t="shared" si="20"/>
        <v>0</v>
      </c>
      <c r="N121" s="322">
        <f t="shared" si="21"/>
        <v>0</v>
      </c>
      <c r="O121" s="224">
        <v>6</v>
      </c>
    </row>
    <row r="122" spans="1:15" x14ac:dyDescent="0.2">
      <c r="A122" s="1194" t="s">
        <v>1994</v>
      </c>
      <c r="B122" s="217">
        <v>456</v>
      </c>
      <c r="C122" s="218" t="s">
        <v>903</v>
      </c>
      <c r="D122" s="1193" t="s">
        <v>2014</v>
      </c>
      <c r="E122" s="326">
        <v>0</v>
      </c>
      <c r="F122" s="322" t="str">
        <f>$J$2</f>
        <v>GRSM</v>
      </c>
      <c r="G122" s="322">
        <f t="shared" si="17"/>
        <v>0</v>
      </c>
      <c r="H122" s="220">
        <v>0</v>
      </c>
      <c r="I122" s="220">
        <f t="shared" si="18"/>
        <v>0</v>
      </c>
      <c r="J122" s="322">
        <f t="shared" si="19"/>
        <v>0</v>
      </c>
      <c r="K122" s="361" t="s">
        <v>675</v>
      </c>
      <c r="L122" s="328">
        <v>0</v>
      </c>
      <c r="M122" s="221">
        <f>J122-L122</f>
        <v>0</v>
      </c>
      <c r="N122" s="322">
        <f t="shared" si="21"/>
        <v>0</v>
      </c>
      <c r="O122" s="224">
        <v>2</v>
      </c>
    </row>
    <row r="123" spans="1:15" x14ac:dyDescent="0.2">
      <c r="A123" s="1194" t="s">
        <v>1995</v>
      </c>
      <c r="B123" s="217">
        <v>456</v>
      </c>
      <c r="C123" s="216" t="s">
        <v>1586</v>
      </c>
      <c r="D123" s="218" t="s">
        <v>1585</v>
      </c>
      <c r="E123" s="326">
        <v>-908.17</v>
      </c>
      <c r="F123" s="322" t="str">
        <f>$G$2</f>
        <v>Traditional OOR</v>
      </c>
      <c r="G123" s="322">
        <f t="shared" si="17"/>
        <v>-908.17</v>
      </c>
      <c r="H123" s="220">
        <v>0</v>
      </c>
      <c r="I123" s="220">
        <f t="shared" si="18"/>
        <v>-908.17</v>
      </c>
      <c r="J123" s="322">
        <f t="shared" si="19"/>
        <v>0</v>
      </c>
      <c r="K123" s="322"/>
      <c r="L123" s="328"/>
      <c r="M123" s="221">
        <f>J123-L123</f>
        <v>0</v>
      </c>
      <c r="N123" s="322">
        <f t="shared" si="21"/>
        <v>0</v>
      </c>
      <c r="O123" s="224">
        <v>1</v>
      </c>
    </row>
    <row r="124" spans="1:15" x14ac:dyDescent="0.2">
      <c r="A124" s="1194" t="s">
        <v>2693</v>
      </c>
      <c r="B124" s="217">
        <v>456</v>
      </c>
      <c r="C124" s="217">
        <v>4186911</v>
      </c>
      <c r="D124" s="235" t="s">
        <v>2691</v>
      </c>
      <c r="E124" s="326">
        <v>1555196.68</v>
      </c>
      <c r="F124" s="322" t="s">
        <v>633</v>
      </c>
      <c r="G124" s="322">
        <f t="shared" si="17"/>
        <v>0</v>
      </c>
      <c r="H124" s="220">
        <v>0</v>
      </c>
      <c r="I124" s="220">
        <f t="shared" si="18"/>
        <v>0</v>
      </c>
      <c r="J124" s="322">
        <f t="shared" si="19"/>
        <v>0</v>
      </c>
      <c r="K124" s="322"/>
      <c r="L124" s="328"/>
      <c r="M124" s="220">
        <f t="shared" ref="M124:M125" si="26">J124-L124</f>
        <v>0</v>
      </c>
      <c r="N124" s="322">
        <f t="shared" si="21"/>
        <v>1555196.68</v>
      </c>
      <c r="O124" s="219">
        <v>6</v>
      </c>
    </row>
    <row r="125" spans="1:15" x14ac:dyDescent="0.2">
      <c r="A125" s="1194" t="s">
        <v>2694</v>
      </c>
      <c r="B125" s="217">
        <v>456</v>
      </c>
      <c r="C125" s="217">
        <v>4186925</v>
      </c>
      <c r="D125" s="235" t="s">
        <v>2692</v>
      </c>
      <c r="E125" s="326">
        <v>109658120</v>
      </c>
      <c r="F125" s="322" t="s">
        <v>633</v>
      </c>
      <c r="G125" s="322">
        <f t="shared" si="17"/>
        <v>0</v>
      </c>
      <c r="H125" s="220">
        <v>0</v>
      </c>
      <c r="I125" s="220">
        <f t="shared" si="18"/>
        <v>0</v>
      </c>
      <c r="J125" s="322">
        <f t="shared" si="19"/>
        <v>0</v>
      </c>
      <c r="K125" s="322"/>
      <c r="L125" s="328"/>
      <c r="M125" s="220">
        <f t="shared" si="26"/>
        <v>0</v>
      </c>
      <c r="N125" s="322">
        <f t="shared" si="21"/>
        <v>109658120</v>
      </c>
      <c r="O125" s="219">
        <v>6</v>
      </c>
    </row>
    <row r="126" spans="1:15" x14ac:dyDescent="0.2">
      <c r="A126" s="356"/>
      <c r="B126" s="352"/>
      <c r="C126" s="351"/>
      <c r="D126" s="353"/>
      <c r="E126" s="326"/>
      <c r="F126" s="326"/>
      <c r="G126" s="330"/>
      <c r="H126" s="328"/>
      <c r="I126" s="328"/>
      <c r="J126" s="326"/>
      <c r="K126" s="326"/>
      <c r="L126" s="328"/>
      <c r="M126" s="328"/>
      <c r="N126" s="326"/>
      <c r="O126" s="327"/>
    </row>
    <row r="127" spans="1:15" x14ac:dyDescent="0.2">
      <c r="A127" s="356"/>
      <c r="B127" s="352"/>
      <c r="C127" s="351"/>
      <c r="D127" s="353"/>
      <c r="E127" s="326"/>
      <c r="F127" s="326"/>
      <c r="G127" s="330"/>
      <c r="H127" s="328"/>
      <c r="I127" s="328"/>
      <c r="J127" s="326"/>
      <c r="K127" s="326"/>
      <c r="L127" s="328"/>
      <c r="M127" s="328"/>
      <c r="N127" s="326"/>
      <c r="O127" s="327"/>
    </row>
    <row r="128" spans="1:15" x14ac:dyDescent="0.2">
      <c r="A128" s="222">
        <v>13</v>
      </c>
      <c r="B128" s="1437" t="s">
        <v>904</v>
      </c>
      <c r="C128" s="1435"/>
      <c r="D128" s="1436"/>
      <c r="E128" s="319">
        <f>SUM(E70:E127)</f>
        <v>141386522.87000003</v>
      </c>
      <c r="F128" s="344"/>
      <c r="G128" s="319">
        <f>SUM(G70:G127)</f>
        <v>28311395.395651199</v>
      </c>
      <c r="H128" s="335">
        <f>SUM(H70:H127)</f>
        <v>41826.374067999997</v>
      </c>
      <c r="I128" s="335">
        <f>SUM(I70:I127)</f>
        <v>28269569.021583196</v>
      </c>
      <c r="J128" s="319">
        <f>SUM(J70:J127)</f>
        <v>1683442.68</v>
      </c>
      <c r="K128" s="344"/>
      <c r="L128" s="319">
        <f>SUM(L70:L127)</f>
        <v>292716.23000000004</v>
      </c>
      <c r="M128" s="319">
        <f>SUM(M70:M127)</f>
        <v>1390726.4500000002</v>
      </c>
      <c r="N128" s="319">
        <f>SUM(N70:N127)</f>
        <v>111391684.79434884</v>
      </c>
      <c r="O128" s="209"/>
    </row>
    <row r="129" spans="1:15" ht="25.5" customHeight="1" x14ac:dyDescent="0.2">
      <c r="A129" s="222">
        <v>14</v>
      </c>
      <c r="B129" s="1429" t="s">
        <v>1399</v>
      </c>
      <c r="C129" s="1430"/>
      <c r="D129" s="1431"/>
      <c r="E129" s="332">
        <v>141386523</v>
      </c>
      <c r="F129" s="334"/>
      <c r="G129" s="350"/>
      <c r="H129" s="334"/>
      <c r="I129" s="334"/>
      <c r="J129" s="350"/>
      <c r="K129" s="334"/>
      <c r="L129" s="320"/>
      <c r="M129" s="320"/>
      <c r="N129" s="320"/>
      <c r="O129" s="208"/>
    </row>
    <row r="130" spans="1:15" x14ac:dyDescent="0.2">
      <c r="A130" s="225"/>
      <c r="B130" s="226"/>
      <c r="C130" s="227"/>
      <c r="D130" s="228"/>
      <c r="E130" s="320"/>
      <c r="F130" s="320"/>
      <c r="G130" s="320"/>
      <c r="H130" s="334"/>
      <c r="I130" s="334"/>
      <c r="J130" s="320"/>
      <c r="K130" s="334"/>
      <c r="L130" s="320"/>
      <c r="M130" s="320"/>
      <c r="N130" s="320"/>
      <c r="O130" s="208"/>
    </row>
    <row r="131" spans="1:15" x14ac:dyDescent="0.2">
      <c r="A131" s="222" t="s">
        <v>905</v>
      </c>
      <c r="B131" s="217">
        <v>456.1</v>
      </c>
      <c r="C131" s="223" t="s">
        <v>906</v>
      </c>
      <c r="D131" s="218" t="s">
        <v>907</v>
      </c>
      <c r="E131" s="329">
        <v>0</v>
      </c>
      <c r="F131" s="322" t="str">
        <f>$G$2</f>
        <v>Traditional OOR</v>
      </c>
      <c r="G131" s="322">
        <f t="shared" ref="G131:G149" si="27">IF(F131=$G$2,E131,0)</f>
        <v>0</v>
      </c>
      <c r="H131" s="220">
        <f>G131</f>
        <v>0</v>
      </c>
      <c r="I131" s="220">
        <f t="shared" ref="I131:I149" si="28">G131-H131</f>
        <v>0</v>
      </c>
      <c r="J131" s="322">
        <f t="shared" ref="J131:J149" si="29">IF(F131=$J$2,E131,0)</f>
        <v>0</v>
      </c>
      <c r="K131" s="361"/>
      <c r="L131" s="328"/>
      <c r="M131" s="221">
        <f t="shared" ref="M131:M149" si="30">J131-L131</f>
        <v>0</v>
      </c>
      <c r="N131" s="322">
        <f t="shared" ref="N131:N149" si="31">IF(F131=$N$2,E131,0)</f>
        <v>0</v>
      </c>
      <c r="O131" s="224">
        <v>5</v>
      </c>
    </row>
    <row r="132" spans="1:15" x14ac:dyDescent="0.2">
      <c r="A132" s="222" t="s">
        <v>908</v>
      </c>
      <c r="B132" s="217">
        <v>456.1</v>
      </c>
      <c r="C132" s="223" t="s">
        <v>909</v>
      </c>
      <c r="D132" s="218" t="s">
        <v>910</v>
      </c>
      <c r="E132" s="329">
        <v>299738.03999999998</v>
      </c>
      <c r="F132" s="322" t="str">
        <f>$G$2</f>
        <v>Traditional OOR</v>
      </c>
      <c r="G132" s="322">
        <f t="shared" si="27"/>
        <v>299738.03999999998</v>
      </c>
      <c r="H132" s="220">
        <v>0</v>
      </c>
      <c r="I132" s="220">
        <f t="shared" si="28"/>
        <v>299738.03999999998</v>
      </c>
      <c r="J132" s="322">
        <f t="shared" si="29"/>
        <v>0</v>
      </c>
      <c r="K132" s="361"/>
      <c r="L132" s="328"/>
      <c r="M132" s="221">
        <f t="shared" si="30"/>
        <v>0</v>
      </c>
      <c r="N132" s="322">
        <f t="shared" si="31"/>
        <v>0</v>
      </c>
      <c r="O132" s="224">
        <v>4</v>
      </c>
    </row>
    <row r="133" spans="1:15" x14ac:dyDescent="0.2">
      <c r="A133" s="222" t="s">
        <v>911</v>
      </c>
      <c r="B133" s="217">
        <v>456.1</v>
      </c>
      <c r="C133" s="223" t="s">
        <v>912</v>
      </c>
      <c r="D133" s="218" t="s">
        <v>913</v>
      </c>
      <c r="E133" s="329">
        <v>992562.96</v>
      </c>
      <c r="F133" s="322" t="str">
        <f>$G$2</f>
        <v>Traditional OOR</v>
      </c>
      <c r="G133" s="322">
        <f t="shared" si="27"/>
        <v>992562.96</v>
      </c>
      <c r="H133" s="220">
        <v>0</v>
      </c>
      <c r="I133" s="220">
        <f t="shared" si="28"/>
        <v>992562.96</v>
      </c>
      <c r="J133" s="322">
        <f t="shared" si="29"/>
        <v>0</v>
      </c>
      <c r="K133" s="361"/>
      <c r="L133" s="328"/>
      <c r="M133" s="221">
        <f t="shared" si="30"/>
        <v>0</v>
      </c>
      <c r="N133" s="322">
        <f t="shared" si="31"/>
        <v>0</v>
      </c>
      <c r="O133" s="224">
        <v>4</v>
      </c>
    </row>
    <row r="134" spans="1:15" x14ac:dyDescent="0.2">
      <c r="A134" s="222" t="s">
        <v>914</v>
      </c>
      <c r="B134" s="217">
        <v>456.1</v>
      </c>
      <c r="C134" s="223" t="s">
        <v>915</v>
      </c>
      <c r="D134" s="218" t="s">
        <v>916</v>
      </c>
      <c r="E134" s="329">
        <v>245120</v>
      </c>
      <c r="F134" s="322" t="str">
        <f>$N$2</f>
        <v>Other Ratemaking</v>
      </c>
      <c r="G134" s="322">
        <f t="shared" si="27"/>
        <v>0</v>
      </c>
      <c r="H134" s="220">
        <v>0</v>
      </c>
      <c r="I134" s="220">
        <f t="shared" si="28"/>
        <v>0</v>
      </c>
      <c r="J134" s="322">
        <f t="shared" si="29"/>
        <v>0</v>
      </c>
      <c r="K134" s="361"/>
      <c r="L134" s="328"/>
      <c r="M134" s="221">
        <f t="shared" si="30"/>
        <v>0</v>
      </c>
      <c r="N134" s="322">
        <f t="shared" si="31"/>
        <v>245120</v>
      </c>
      <c r="O134" s="224">
        <v>6</v>
      </c>
    </row>
    <row r="135" spans="1:15" x14ac:dyDescent="0.2">
      <c r="A135" s="222" t="s">
        <v>917</v>
      </c>
      <c r="B135" s="217">
        <v>456.1</v>
      </c>
      <c r="C135" s="223" t="s">
        <v>918</v>
      </c>
      <c r="D135" s="218" t="s">
        <v>919</v>
      </c>
      <c r="E135" s="329">
        <v>35922110.460000001</v>
      </c>
      <c r="F135" s="322" t="str">
        <f>$N$2</f>
        <v>Other Ratemaking</v>
      </c>
      <c r="G135" s="322">
        <f t="shared" si="27"/>
        <v>0</v>
      </c>
      <c r="H135" s="220">
        <v>0</v>
      </c>
      <c r="I135" s="220">
        <f t="shared" si="28"/>
        <v>0</v>
      </c>
      <c r="J135" s="322">
        <f t="shared" si="29"/>
        <v>0</v>
      </c>
      <c r="K135" s="361"/>
      <c r="L135" s="328"/>
      <c r="M135" s="221">
        <f t="shared" si="30"/>
        <v>0</v>
      </c>
      <c r="N135" s="322">
        <f t="shared" si="31"/>
        <v>35922110.460000001</v>
      </c>
      <c r="O135" s="224">
        <v>6</v>
      </c>
    </row>
    <row r="136" spans="1:15" x14ac:dyDescent="0.2">
      <c r="A136" s="222" t="s">
        <v>920</v>
      </c>
      <c r="B136" s="217">
        <v>456.1</v>
      </c>
      <c r="C136" s="223" t="s">
        <v>921</v>
      </c>
      <c r="D136" s="218" t="s">
        <v>922</v>
      </c>
      <c r="E136" s="329">
        <v>0</v>
      </c>
      <c r="F136" s="322" t="str">
        <f>$N$2</f>
        <v>Other Ratemaking</v>
      </c>
      <c r="G136" s="322">
        <f t="shared" si="27"/>
        <v>0</v>
      </c>
      <c r="H136" s="220">
        <v>0</v>
      </c>
      <c r="I136" s="220">
        <f t="shared" si="28"/>
        <v>0</v>
      </c>
      <c r="J136" s="322">
        <f t="shared" si="29"/>
        <v>0</v>
      </c>
      <c r="K136" s="361"/>
      <c r="L136" s="328"/>
      <c r="M136" s="221">
        <f t="shared" si="30"/>
        <v>0</v>
      </c>
      <c r="N136" s="322">
        <f t="shared" si="31"/>
        <v>0</v>
      </c>
      <c r="O136" s="224">
        <v>6</v>
      </c>
    </row>
    <row r="137" spans="1:15" x14ac:dyDescent="0.2">
      <c r="A137" s="222" t="s">
        <v>923</v>
      </c>
      <c r="B137" s="217">
        <v>456.1</v>
      </c>
      <c r="C137" s="223" t="s">
        <v>924</v>
      </c>
      <c r="D137" s="218" t="s">
        <v>925</v>
      </c>
      <c r="E137" s="329">
        <v>37724739.600000001</v>
      </c>
      <c r="F137" s="322" t="str">
        <f>$G$2</f>
        <v>Traditional OOR</v>
      </c>
      <c r="G137" s="322">
        <f t="shared" si="27"/>
        <v>37724739.600000001</v>
      </c>
      <c r="H137" s="220">
        <f>G137</f>
        <v>37724739.600000001</v>
      </c>
      <c r="I137" s="220">
        <f t="shared" si="28"/>
        <v>0</v>
      </c>
      <c r="J137" s="322">
        <f t="shared" si="29"/>
        <v>0</v>
      </c>
      <c r="K137" s="361"/>
      <c r="L137" s="328"/>
      <c r="M137" s="221">
        <f t="shared" si="30"/>
        <v>0</v>
      </c>
      <c r="N137" s="322">
        <f t="shared" si="31"/>
        <v>0</v>
      </c>
      <c r="O137" s="224">
        <v>5</v>
      </c>
    </row>
    <row r="138" spans="1:15" x14ac:dyDescent="0.2">
      <c r="A138" s="222" t="s">
        <v>926</v>
      </c>
      <c r="B138" s="217">
        <v>456.1</v>
      </c>
      <c r="C138" s="223" t="s">
        <v>927</v>
      </c>
      <c r="D138" s="218" t="s">
        <v>928</v>
      </c>
      <c r="E138" s="329">
        <v>5027852.3600000003</v>
      </c>
      <c r="F138" s="322" t="str">
        <f>$G$2</f>
        <v>Traditional OOR</v>
      </c>
      <c r="G138" s="322">
        <f t="shared" si="27"/>
        <v>5027852.3600000003</v>
      </c>
      <c r="H138" s="220">
        <v>0</v>
      </c>
      <c r="I138" s="220">
        <f t="shared" si="28"/>
        <v>5027852.3600000003</v>
      </c>
      <c r="J138" s="322">
        <f t="shared" si="29"/>
        <v>0</v>
      </c>
      <c r="K138" s="361"/>
      <c r="L138" s="328"/>
      <c r="M138" s="221">
        <f t="shared" si="30"/>
        <v>0</v>
      </c>
      <c r="N138" s="322">
        <f t="shared" si="31"/>
        <v>0</v>
      </c>
      <c r="O138" s="224">
        <v>4</v>
      </c>
    </row>
    <row r="139" spans="1:15" x14ac:dyDescent="0.2">
      <c r="A139" s="222" t="s">
        <v>929</v>
      </c>
      <c r="B139" s="217">
        <v>456.1</v>
      </c>
      <c r="C139" s="223" t="s">
        <v>930</v>
      </c>
      <c r="D139" s="218" t="s">
        <v>931</v>
      </c>
      <c r="E139" s="329">
        <v>394622.16</v>
      </c>
      <c r="F139" s="322" t="str">
        <f>$G$2</f>
        <v>Traditional OOR</v>
      </c>
      <c r="G139" s="322">
        <f t="shared" si="27"/>
        <v>394622.16</v>
      </c>
      <c r="H139" s="220">
        <v>0</v>
      </c>
      <c r="I139" s="220">
        <f t="shared" si="28"/>
        <v>394622.16</v>
      </c>
      <c r="J139" s="322">
        <f t="shared" si="29"/>
        <v>0</v>
      </c>
      <c r="K139" s="361"/>
      <c r="L139" s="328"/>
      <c r="M139" s="221">
        <f t="shared" si="30"/>
        <v>0</v>
      </c>
      <c r="N139" s="322">
        <f t="shared" si="31"/>
        <v>0</v>
      </c>
      <c r="O139" s="224">
        <v>4</v>
      </c>
    </row>
    <row r="140" spans="1:15" x14ac:dyDescent="0.2">
      <c r="A140" s="222" t="s">
        <v>932</v>
      </c>
      <c r="B140" s="217">
        <v>456.1</v>
      </c>
      <c r="C140" s="223" t="s">
        <v>933</v>
      </c>
      <c r="D140" s="218" t="s">
        <v>934</v>
      </c>
      <c r="E140" s="329">
        <v>0</v>
      </c>
      <c r="F140" s="322" t="str">
        <f>$N$2</f>
        <v>Other Ratemaking</v>
      </c>
      <c r="G140" s="322">
        <f t="shared" si="27"/>
        <v>0</v>
      </c>
      <c r="H140" s="220">
        <v>0</v>
      </c>
      <c r="I140" s="220">
        <f t="shared" si="28"/>
        <v>0</v>
      </c>
      <c r="J140" s="322">
        <f t="shared" si="29"/>
        <v>0</v>
      </c>
      <c r="K140" s="361"/>
      <c r="L140" s="328"/>
      <c r="M140" s="221">
        <f t="shared" si="30"/>
        <v>0</v>
      </c>
      <c r="N140" s="322">
        <f t="shared" si="31"/>
        <v>0</v>
      </c>
      <c r="O140" s="224">
        <v>6</v>
      </c>
    </row>
    <row r="141" spans="1:15" x14ac:dyDescent="0.2">
      <c r="A141" s="222" t="s">
        <v>935</v>
      </c>
      <c r="B141" s="217">
        <v>456.1</v>
      </c>
      <c r="C141" s="223" t="s">
        <v>936</v>
      </c>
      <c r="D141" s="218" t="s">
        <v>937</v>
      </c>
      <c r="E141" s="329">
        <v>1081985.76</v>
      </c>
      <c r="F141" s="322" t="str">
        <f t="shared" ref="F141:F148" si="32">$G$2</f>
        <v>Traditional OOR</v>
      </c>
      <c r="G141" s="322">
        <f t="shared" si="27"/>
        <v>1081985.76</v>
      </c>
      <c r="H141" s="220">
        <v>0</v>
      </c>
      <c r="I141" s="220">
        <f t="shared" si="28"/>
        <v>1081985.76</v>
      </c>
      <c r="J141" s="322">
        <f t="shared" si="29"/>
        <v>0</v>
      </c>
      <c r="K141" s="361"/>
      <c r="L141" s="328"/>
      <c r="M141" s="221">
        <f t="shared" si="30"/>
        <v>0</v>
      </c>
      <c r="N141" s="322">
        <f t="shared" si="31"/>
        <v>0</v>
      </c>
      <c r="O141" s="224">
        <v>4</v>
      </c>
    </row>
    <row r="142" spans="1:15" x14ac:dyDescent="0.2">
      <c r="A142" s="222" t="s">
        <v>938</v>
      </c>
      <c r="B142" s="217">
        <v>456.1</v>
      </c>
      <c r="C142" s="223" t="s">
        <v>939</v>
      </c>
      <c r="D142" s="218" t="s">
        <v>940</v>
      </c>
      <c r="E142" s="329">
        <v>402147.6</v>
      </c>
      <c r="F142" s="322" t="str">
        <f t="shared" si="32"/>
        <v>Traditional OOR</v>
      </c>
      <c r="G142" s="322">
        <f t="shared" si="27"/>
        <v>402147.6</v>
      </c>
      <c r="H142" s="220">
        <v>0</v>
      </c>
      <c r="I142" s="220">
        <f t="shared" si="28"/>
        <v>402147.6</v>
      </c>
      <c r="J142" s="322">
        <f t="shared" si="29"/>
        <v>0</v>
      </c>
      <c r="K142" s="361"/>
      <c r="L142" s="328"/>
      <c r="M142" s="221">
        <f t="shared" si="30"/>
        <v>0</v>
      </c>
      <c r="N142" s="322">
        <f t="shared" si="31"/>
        <v>0</v>
      </c>
      <c r="O142" s="224">
        <v>4</v>
      </c>
    </row>
    <row r="143" spans="1:15" x14ac:dyDescent="0.2">
      <c r="A143" s="222" t="s">
        <v>941</v>
      </c>
      <c r="B143" s="217">
        <v>456.1</v>
      </c>
      <c r="C143" s="223" t="s">
        <v>942</v>
      </c>
      <c r="D143" s="218" t="s">
        <v>943</v>
      </c>
      <c r="E143" s="329">
        <v>206110.56</v>
      </c>
      <c r="F143" s="322" t="str">
        <f t="shared" si="32"/>
        <v>Traditional OOR</v>
      </c>
      <c r="G143" s="322">
        <f t="shared" si="27"/>
        <v>206110.56</v>
      </c>
      <c r="H143" s="220">
        <v>0</v>
      </c>
      <c r="I143" s="220">
        <f t="shared" si="28"/>
        <v>206110.56</v>
      </c>
      <c r="J143" s="322">
        <f t="shared" si="29"/>
        <v>0</v>
      </c>
      <c r="K143" s="361"/>
      <c r="L143" s="328"/>
      <c r="M143" s="221">
        <f t="shared" si="30"/>
        <v>0</v>
      </c>
      <c r="N143" s="322">
        <f t="shared" si="31"/>
        <v>0</v>
      </c>
      <c r="O143" s="224">
        <v>4</v>
      </c>
    </row>
    <row r="144" spans="1:15" x14ac:dyDescent="0.2">
      <c r="A144" s="222" t="s">
        <v>944</v>
      </c>
      <c r="B144" s="217">
        <v>456.1</v>
      </c>
      <c r="C144" s="223" t="s">
        <v>945</v>
      </c>
      <c r="D144" s="218" t="s">
        <v>946</v>
      </c>
      <c r="E144" s="329">
        <v>551001.72</v>
      </c>
      <c r="F144" s="322" t="str">
        <f t="shared" si="32"/>
        <v>Traditional OOR</v>
      </c>
      <c r="G144" s="322">
        <f t="shared" si="27"/>
        <v>551001.72</v>
      </c>
      <c r="H144" s="220">
        <v>0</v>
      </c>
      <c r="I144" s="220">
        <f t="shared" si="28"/>
        <v>551001.72</v>
      </c>
      <c r="J144" s="322">
        <f t="shared" si="29"/>
        <v>0</v>
      </c>
      <c r="K144" s="361"/>
      <c r="L144" s="328"/>
      <c r="M144" s="221">
        <f t="shared" si="30"/>
        <v>0</v>
      </c>
      <c r="N144" s="322">
        <f t="shared" si="31"/>
        <v>0</v>
      </c>
      <c r="O144" s="224">
        <v>4</v>
      </c>
    </row>
    <row r="145" spans="1:15" x14ac:dyDescent="0.2">
      <c r="A145" s="222" t="s">
        <v>947</v>
      </c>
      <c r="B145" s="217">
        <v>456.1</v>
      </c>
      <c r="C145" s="223" t="s">
        <v>948</v>
      </c>
      <c r="D145" s="218" t="s">
        <v>949</v>
      </c>
      <c r="E145" s="329">
        <v>650488.19999999995</v>
      </c>
      <c r="F145" s="322" t="str">
        <f t="shared" si="32"/>
        <v>Traditional OOR</v>
      </c>
      <c r="G145" s="322">
        <f t="shared" si="27"/>
        <v>650488.19999999995</v>
      </c>
      <c r="H145" s="220">
        <v>0</v>
      </c>
      <c r="I145" s="220">
        <f t="shared" si="28"/>
        <v>650488.19999999995</v>
      </c>
      <c r="J145" s="322">
        <f t="shared" si="29"/>
        <v>0</v>
      </c>
      <c r="K145" s="361"/>
      <c r="L145" s="328"/>
      <c r="M145" s="221">
        <f t="shared" si="30"/>
        <v>0</v>
      </c>
      <c r="N145" s="322">
        <f t="shared" si="31"/>
        <v>0</v>
      </c>
      <c r="O145" s="224">
        <v>4</v>
      </c>
    </row>
    <row r="146" spans="1:15" x14ac:dyDescent="0.2">
      <c r="A146" s="222" t="s">
        <v>950</v>
      </c>
      <c r="B146" s="217">
        <v>456.1</v>
      </c>
      <c r="C146" s="223" t="s">
        <v>951</v>
      </c>
      <c r="D146" s="218" t="s">
        <v>952</v>
      </c>
      <c r="E146" s="329">
        <v>264133.44</v>
      </c>
      <c r="F146" s="322" t="str">
        <f t="shared" si="32"/>
        <v>Traditional OOR</v>
      </c>
      <c r="G146" s="322">
        <f t="shared" si="27"/>
        <v>264133.44</v>
      </c>
      <c r="H146" s="220">
        <v>0</v>
      </c>
      <c r="I146" s="220">
        <f t="shared" si="28"/>
        <v>264133.44</v>
      </c>
      <c r="J146" s="322">
        <f t="shared" si="29"/>
        <v>0</v>
      </c>
      <c r="K146" s="361"/>
      <c r="L146" s="328"/>
      <c r="M146" s="221">
        <f t="shared" si="30"/>
        <v>0</v>
      </c>
      <c r="N146" s="322">
        <f t="shared" si="31"/>
        <v>0</v>
      </c>
      <c r="O146" s="224">
        <v>4</v>
      </c>
    </row>
    <row r="147" spans="1:15" x14ac:dyDescent="0.2">
      <c r="A147" s="222" t="s">
        <v>953</v>
      </c>
      <c r="B147" s="217">
        <v>456.1</v>
      </c>
      <c r="C147" s="223" t="s">
        <v>954</v>
      </c>
      <c r="D147" s="218" t="s">
        <v>955</v>
      </c>
      <c r="E147" s="326">
        <v>0</v>
      </c>
      <c r="F147" s="322" t="str">
        <f t="shared" si="32"/>
        <v>Traditional OOR</v>
      </c>
      <c r="G147" s="322">
        <f t="shared" si="27"/>
        <v>0</v>
      </c>
      <c r="H147" s="220">
        <v>0</v>
      </c>
      <c r="I147" s="220">
        <f t="shared" si="28"/>
        <v>0</v>
      </c>
      <c r="J147" s="322">
        <f t="shared" si="29"/>
        <v>0</v>
      </c>
      <c r="K147" s="322"/>
      <c r="L147" s="328"/>
      <c r="M147" s="221">
        <f t="shared" si="30"/>
        <v>0</v>
      </c>
      <c r="N147" s="322">
        <f t="shared" si="31"/>
        <v>0</v>
      </c>
      <c r="O147" s="224">
        <v>4</v>
      </c>
    </row>
    <row r="148" spans="1:15" x14ac:dyDescent="0.2">
      <c r="A148" s="222" t="s">
        <v>956</v>
      </c>
      <c r="B148" s="217">
        <v>456.1</v>
      </c>
      <c r="C148" s="223" t="s">
        <v>957</v>
      </c>
      <c r="D148" s="218" t="s">
        <v>958</v>
      </c>
      <c r="E148" s="329">
        <v>42492.12</v>
      </c>
      <c r="F148" s="322" t="str">
        <f t="shared" si="32"/>
        <v>Traditional OOR</v>
      </c>
      <c r="G148" s="322">
        <f t="shared" si="27"/>
        <v>42492.12</v>
      </c>
      <c r="H148" s="220">
        <v>0</v>
      </c>
      <c r="I148" s="220">
        <f t="shared" si="28"/>
        <v>42492.12</v>
      </c>
      <c r="J148" s="322">
        <f t="shared" si="29"/>
        <v>0</v>
      </c>
      <c r="K148" s="361"/>
      <c r="L148" s="328"/>
      <c r="M148" s="221">
        <f t="shared" si="30"/>
        <v>0</v>
      </c>
      <c r="N148" s="322">
        <f t="shared" si="31"/>
        <v>0</v>
      </c>
      <c r="O148" s="224">
        <v>4</v>
      </c>
    </row>
    <row r="149" spans="1:15" x14ac:dyDescent="0.2">
      <c r="A149" s="222" t="s">
        <v>959</v>
      </c>
      <c r="B149" s="217">
        <v>456.1</v>
      </c>
      <c r="C149" s="223" t="s">
        <v>960</v>
      </c>
      <c r="D149" s="218" t="s">
        <v>961</v>
      </c>
      <c r="E149" s="329">
        <v>64819.63</v>
      </c>
      <c r="F149" s="322" t="str">
        <f>$N$2</f>
        <v>Other Ratemaking</v>
      </c>
      <c r="G149" s="322">
        <f t="shared" si="27"/>
        <v>0</v>
      </c>
      <c r="H149" s="220">
        <v>0</v>
      </c>
      <c r="I149" s="220">
        <f t="shared" si="28"/>
        <v>0</v>
      </c>
      <c r="J149" s="322">
        <f t="shared" si="29"/>
        <v>0</v>
      </c>
      <c r="K149" s="361"/>
      <c r="L149" s="328"/>
      <c r="M149" s="221">
        <f t="shared" si="30"/>
        <v>0</v>
      </c>
      <c r="N149" s="322">
        <f t="shared" si="31"/>
        <v>64819.63</v>
      </c>
      <c r="O149" s="224">
        <v>6</v>
      </c>
    </row>
    <row r="150" spans="1:15" x14ac:dyDescent="0.2">
      <c r="A150" s="356"/>
      <c r="B150" s="352"/>
      <c r="C150" s="351"/>
      <c r="D150" s="353"/>
      <c r="E150" s="329"/>
      <c r="F150" s="329"/>
      <c r="G150" s="330"/>
      <c r="H150" s="328"/>
      <c r="I150" s="328"/>
      <c r="J150" s="326"/>
      <c r="K150" s="329"/>
      <c r="L150" s="328"/>
      <c r="M150" s="328"/>
      <c r="N150" s="326"/>
      <c r="O150" s="327"/>
    </row>
    <row r="151" spans="1:15" x14ac:dyDescent="0.2">
      <c r="A151" s="356"/>
      <c r="B151" s="352"/>
      <c r="C151" s="351"/>
      <c r="D151" s="353"/>
      <c r="E151" s="329"/>
      <c r="F151" s="329"/>
      <c r="G151" s="330"/>
      <c r="H151" s="328"/>
      <c r="I151" s="328"/>
      <c r="J151" s="326"/>
      <c r="K151" s="329"/>
      <c r="L151" s="328"/>
      <c r="M151" s="328"/>
      <c r="N151" s="326"/>
      <c r="O151" s="327"/>
    </row>
    <row r="152" spans="1:15" x14ac:dyDescent="0.2">
      <c r="A152" s="222">
        <v>16</v>
      </c>
      <c r="B152" s="1437" t="s">
        <v>962</v>
      </c>
      <c r="C152" s="1435"/>
      <c r="D152" s="1436"/>
      <c r="E152" s="319">
        <f>SUM(E131:E151)</f>
        <v>83869924.609999999</v>
      </c>
      <c r="F152" s="344"/>
      <c r="G152" s="319">
        <f>SUM(G131:G151)</f>
        <v>47637874.519999996</v>
      </c>
      <c r="H152" s="335">
        <f>SUM(H131:H151)</f>
        <v>37724739.600000001</v>
      </c>
      <c r="I152" s="335">
        <f>SUM(I131:I151)</f>
        <v>9913134.9199999981</v>
      </c>
      <c r="J152" s="319">
        <f>SUM(J131:J151)</f>
        <v>0</v>
      </c>
      <c r="K152" s="344"/>
      <c r="L152" s="319">
        <f>SUM(L131:L151)</f>
        <v>0</v>
      </c>
      <c r="M152" s="319">
        <f>SUM(M131:M151)</f>
        <v>0</v>
      </c>
      <c r="N152" s="319">
        <f>SUM(N131:N151)</f>
        <v>36232050.090000004</v>
      </c>
      <c r="O152" s="209"/>
    </row>
    <row r="153" spans="1:15" ht="25.5" customHeight="1" x14ac:dyDescent="0.2">
      <c r="A153" s="222">
        <v>17</v>
      </c>
      <c r="B153" s="1429" t="s">
        <v>1394</v>
      </c>
      <c r="C153" s="1430"/>
      <c r="D153" s="1431"/>
      <c r="E153" s="332">
        <v>83869925</v>
      </c>
      <c r="F153" s="334"/>
      <c r="G153" s="346"/>
      <c r="H153" s="336"/>
      <c r="I153" s="336"/>
      <c r="J153" s="318"/>
      <c r="K153" s="336"/>
      <c r="L153" s="318"/>
      <c r="M153" s="318"/>
      <c r="N153" s="318"/>
      <c r="O153" s="208"/>
    </row>
    <row r="154" spans="1:15" x14ac:dyDescent="0.2">
      <c r="A154" s="225"/>
      <c r="B154" s="226"/>
      <c r="C154" s="227"/>
      <c r="D154" s="228"/>
      <c r="E154" s="318"/>
      <c r="F154" s="318"/>
      <c r="G154" s="318"/>
      <c r="H154" s="336"/>
      <c r="I154" s="336"/>
      <c r="J154" s="318"/>
      <c r="K154" s="336"/>
      <c r="L154" s="318"/>
      <c r="M154" s="318"/>
      <c r="N154" s="318"/>
      <c r="O154" s="208"/>
    </row>
    <row r="155" spans="1:15" x14ac:dyDescent="0.2">
      <c r="A155" s="356" t="s">
        <v>963</v>
      </c>
      <c r="B155" s="354"/>
      <c r="C155" s="374"/>
      <c r="D155" s="374"/>
      <c r="E155" s="375"/>
      <c r="F155" s="375"/>
      <c r="G155" s="375"/>
      <c r="H155" s="375"/>
      <c r="I155" s="375"/>
      <c r="J155" s="375"/>
      <c r="K155" s="375"/>
      <c r="L155" s="375"/>
      <c r="M155" s="375"/>
      <c r="N155" s="375"/>
      <c r="O155" s="327"/>
    </row>
    <row r="156" spans="1:15" x14ac:dyDescent="0.2">
      <c r="A156" s="356"/>
      <c r="B156" s="376"/>
      <c r="C156" s="374"/>
      <c r="D156" s="374"/>
      <c r="E156" s="375"/>
      <c r="F156" s="375"/>
      <c r="G156" s="375"/>
      <c r="H156" s="375"/>
      <c r="I156" s="375"/>
      <c r="J156" s="375"/>
      <c r="K156" s="375"/>
      <c r="L156" s="375"/>
      <c r="M156" s="375"/>
      <c r="N156" s="375"/>
      <c r="O156" s="327"/>
    </row>
    <row r="157" spans="1:15" x14ac:dyDescent="0.2">
      <c r="A157" s="216">
        <v>19</v>
      </c>
      <c r="B157" s="1437" t="s">
        <v>964</v>
      </c>
      <c r="C157" s="1435"/>
      <c r="D157" s="1436"/>
      <c r="E157" s="319">
        <f>SUM(E155:E156)</f>
        <v>0</v>
      </c>
      <c r="F157" s="382"/>
      <c r="G157" s="319">
        <f>SUM(G155:G156)</f>
        <v>0</v>
      </c>
      <c r="H157" s="319">
        <f t="shared" ref="H157:N157" si="33">SUM(H155:H156)</f>
        <v>0</v>
      </c>
      <c r="I157" s="319">
        <f t="shared" si="33"/>
        <v>0</v>
      </c>
      <c r="J157" s="319">
        <f t="shared" si="33"/>
        <v>0</v>
      </c>
      <c r="K157" s="344"/>
      <c r="L157" s="319">
        <f t="shared" si="33"/>
        <v>0</v>
      </c>
      <c r="M157" s="319">
        <f t="shared" si="33"/>
        <v>0</v>
      </c>
      <c r="N157" s="319">
        <f t="shared" si="33"/>
        <v>0</v>
      </c>
      <c r="O157" s="319"/>
    </row>
    <row r="158" spans="1:15" ht="26.25" customHeight="1" x14ac:dyDescent="0.2">
      <c r="A158" s="216">
        <v>20</v>
      </c>
      <c r="B158" s="1447" t="s">
        <v>1400</v>
      </c>
      <c r="C158" s="1448"/>
      <c r="D158" s="1449"/>
      <c r="E158" s="332">
        <v>0</v>
      </c>
      <c r="F158" s="318"/>
      <c r="G158" s="320"/>
      <c r="H158" s="334"/>
      <c r="I158" s="334"/>
      <c r="J158" s="320"/>
      <c r="K158" s="334"/>
      <c r="L158" s="320"/>
      <c r="M158" s="320"/>
      <c r="N158" s="320"/>
      <c r="O158" s="465"/>
    </row>
    <row r="159" spans="1:15" x14ac:dyDescent="0.2">
      <c r="A159" s="225"/>
      <c r="B159" s="226"/>
      <c r="C159" s="227"/>
      <c r="D159" s="228"/>
      <c r="E159" s="318"/>
      <c r="F159" s="318"/>
      <c r="G159" s="320"/>
      <c r="H159" s="334"/>
      <c r="I159" s="334"/>
      <c r="J159" s="320"/>
      <c r="K159" s="334"/>
      <c r="L159" s="320"/>
      <c r="M159" s="320"/>
      <c r="N159" s="320"/>
      <c r="O159" s="465"/>
    </row>
    <row r="160" spans="1:15" x14ac:dyDescent="0.2">
      <c r="A160" s="356" t="s">
        <v>965</v>
      </c>
      <c r="B160" s="354"/>
      <c r="C160" s="374"/>
      <c r="D160" s="374"/>
      <c r="E160" s="375"/>
      <c r="F160" s="375"/>
      <c r="G160" s="332"/>
      <c r="H160" s="332"/>
      <c r="I160" s="332"/>
      <c r="J160" s="332"/>
      <c r="K160" s="332"/>
      <c r="L160" s="332"/>
      <c r="M160" s="332"/>
      <c r="N160" s="332"/>
      <c r="O160" s="328"/>
    </row>
    <row r="161" spans="1:15" x14ac:dyDescent="0.2">
      <c r="A161" s="356"/>
      <c r="B161" s="376"/>
      <c r="C161" s="374"/>
      <c r="D161" s="374"/>
      <c r="E161" s="375"/>
      <c r="F161" s="375"/>
      <c r="G161" s="332"/>
      <c r="H161" s="332"/>
      <c r="I161" s="332"/>
      <c r="J161" s="332"/>
      <c r="K161" s="332"/>
      <c r="L161" s="332"/>
      <c r="M161" s="332"/>
      <c r="N161" s="332"/>
      <c r="O161" s="328"/>
    </row>
    <row r="162" spans="1:15" x14ac:dyDescent="0.2">
      <c r="A162" s="216">
        <v>22</v>
      </c>
      <c r="B162" s="1437" t="s">
        <v>966</v>
      </c>
      <c r="C162" s="1435"/>
      <c r="D162" s="1436"/>
      <c r="E162" s="319">
        <f>SUM(E160:E161)</f>
        <v>0</v>
      </c>
      <c r="F162" s="382"/>
      <c r="G162" s="319">
        <f>SUM(G160:G161)</f>
        <v>0</v>
      </c>
      <c r="H162" s="319">
        <f>SUM(H160:H161)</f>
        <v>0</v>
      </c>
      <c r="I162" s="319">
        <f>SUM(I160:I161)</f>
        <v>0</v>
      </c>
      <c r="J162" s="319">
        <f>SUM(J160:J161)</f>
        <v>0</v>
      </c>
      <c r="K162" s="344"/>
      <c r="L162" s="319">
        <f>SUM(L160:L161)</f>
        <v>0</v>
      </c>
      <c r="M162" s="319">
        <f>SUM(M160:M161)</f>
        <v>0</v>
      </c>
      <c r="N162" s="319">
        <f>SUM(N160:N161)</f>
        <v>0</v>
      </c>
      <c r="O162" s="319"/>
    </row>
    <row r="163" spans="1:15" ht="26.25" customHeight="1" x14ac:dyDescent="0.2">
      <c r="A163" s="216">
        <v>23</v>
      </c>
      <c r="B163" s="1447" t="s">
        <v>1401</v>
      </c>
      <c r="C163" s="1448"/>
      <c r="D163" s="1449"/>
      <c r="E163" s="332">
        <v>0</v>
      </c>
      <c r="F163" s="318"/>
      <c r="G163" s="318"/>
      <c r="H163" s="336"/>
      <c r="I163" s="336"/>
      <c r="J163" s="318"/>
      <c r="K163" s="336"/>
      <c r="L163" s="318"/>
      <c r="M163" s="318"/>
      <c r="N163" s="318"/>
      <c r="O163" s="208"/>
    </row>
    <row r="164" spans="1:15" x14ac:dyDescent="0.2">
      <c r="A164" s="225"/>
      <c r="B164" s="226"/>
      <c r="C164" s="227"/>
      <c r="D164" s="228"/>
      <c r="E164" s="318"/>
      <c r="F164" s="318"/>
      <c r="G164" s="318"/>
      <c r="H164" s="336"/>
      <c r="I164" s="336"/>
      <c r="J164" s="318"/>
      <c r="K164" s="336"/>
      <c r="L164" s="318"/>
      <c r="M164" s="318"/>
      <c r="N164" s="318"/>
      <c r="O164" s="208"/>
    </row>
    <row r="165" spans="1:15" x14ac:dyDescent="0.2">
      <c r="A165" s="225"/>
      <c r="B165" s="226" t="s">
        <v>967</v>
      </c>
      <c r="C165" s="227"/>
      <c r="D165" s="228"/>
      <c r="E165" s="318"/>
      <c r="F165" s="318"/>
      <c r="G165" s="318"/>
      <c r="H165" s="336"/>
      <c r="I165" s="336"/>
      <c r="J165" s="318"/>
      <c r="K165" s="336"/>
      <c r="L165" s="318"/>
      <c r="M165" s="318"/>
      <c r="N165" s="318"/>
      <c r="O165" s="208"/>
    </row>
    <row r="166" spans="1:15" x14ac:dyDescent="0.2">
      <c r="A166" s="222" t="s">
        <v>968</v>
      </c>
      <c r="B166" s="236">
        <v>417</v>
      </c>
      <c r="C166" s="325">
        <v>4863135</v>
      </c>
      <c r="D166" s="232" t="s">
        <v>969</v>
      </c>
      <c r="E166" s="329">
        <v>0</v>
      </c>
      <c r="F166" s="322" t="str">
        <f t="shared" ref="F166:F180" si="34">$J$2</f>
        <v>GRSM</v>
      </c>
      <c r="G166" s="322">
        <f t="shared" ref="G166:G180" si="35">IF(F166=$G$2,E166,0)</f>
        <v>0</v>
      </c>
      <c r="H166" s="220">
        <v>0</v>
      </c>
      <c r="I166" s="220">
        <f t="shared" ref="I166:I180" si="36">G166-H166</f>
        <v>0</v>
      </c>
      <c r="J166" s="322">
        <f t="shared" ref="J166:J180" si="37">IF(F166=$J$2,E166,0)</f>
        <v>0</v>
      </c>
      <c r="K166" s="219" t="s">
        <v>675</v>
      </c>
      <c r="L166" s="326">
        <v>0</v>
      </c>
      <c r="M166" s="321">
        <f t="shared" ref="M166:M180" si="38">J166-L166</f>
        <v>0</v>
      </c>
      <c r="N166" s="322">
        <f t="shared" ref="N166:N180" si="39">IF(F166=$N$2,E166,0)</f>
        <v>0</v>
      </c>
      <c r="O166" s="224">
        <v>2</v>
      </c>
    </row>
    <row r="167" spans="1:15" x14ac:dyDescent="0.2">
      <c r="A167" s="222" t="s">
        <v>970</v>
      </c>
      <c r="B167" s="236">
        <v>417</v>
      </c>
      <c r="C167" s="325">
        <v>4863130</v>
      </c>
      <c r="D167" s="232" t="s">
        <v>971</v>
      </c>
      <c r="E167" s="329">
        <v>723784.85</v>
      </c>
      <c r="F167" s="322" t="str">
        <f t="shared" si="34"/>
        <v>GRSM</v>
      </c>
      <c r="G167" s="322">
        <f t="shared" si="35"/>
        <v>0</v>
      </c>
      <c r="H167" s="220">
        <v>0</v>
      </c>
      <c r="I167" s="220">
        <f t="shared" si="36"/>
        <v>0</v>
      </c>
      <c r="J167" s="322">
        <f t="shared" si="37"/>
        <v>723784.85</v>
      </c>
      <c r="K167" s="219" t="s">
        <v>675</v>
      </c>
      <c r="L167" s="326">
        <v>144486.95000000001</v>
      </c>
      <c r="M167" s="321">
        <f t="shared" si="38"/>
        <v>579297.89999999991</v>
      </c>
      <c r="N167" s="322">
        <f t="shared" si="39"/>
        <v>0</v>
      </c>
      <c r="O167" s="224">
        <v>2</v>
      </c>
    </row>
    <row r="168" spans="1:15" x14ac:dyDescent="0.2">
      <c r="A168" s="222" t="s">
        <v>972</v>
      </c>
      <c r="B168" s="236">
        <v>417</v>
      </c>
      <c r="C168" s="325">
        <v>4862110</v>
      </c>
      <c r="D168" s="232" t="s">
        <v>973</v>
      </c>
      <c r="E168" s="329">
        <v>5942547.3899999997</v>
      </c>
      <c r="F168" s="322" t="str">
        <f t="shared" si="34"/>
        <v>GRSM</v>
      </c>
      <c r="G168" s="322">
        <f t="shared" si="35"/>
        <v>0</v>
      </c>
      <c r="H168" s="220">
        <v>0</v>
      </c>
      <c r="I168" s="220">
        <f t="shared" si="36"/>
        <v>0</v>
      </c>
      <c r="J168" s="322">
        <f t="shared" si="37"/>
        <v>5942547.3899999997</v>
      </c>
      <c r="K168" s="219" t="s">
        <v>617</v>
      </c>
      <c r="L168" s="326">
        <v>1181066.6100000001</v>
      </c>
      <c r="M168" s="321">
        <f t="shared" si="38"/>
        <v>4761480.7799999993</v>
      </c>
      <c r="N168" s="322">
        <f t="shared" si="39"/>
        <v>0</v>
      </c>
      <c r="O168" s="224">
        <v>2</v>
      </c>
    </row>
    <row r="169" spans="1:15" x14ac:dyDescent="0.2">
      <c r="A169" s="222" t="s">
        <v>974</v>
      </c>
      <c r="B169" s="236">
        <v>417</v>
      </c>
      <c r="C169" s="325">
        <v>4862115</v>
      </c>
      <c r="D169" s="232" t="s">
        <v>975</v>
      </c>
      <c r="E169" s="329">
        <v>3328069.95</v>
      </c>
      <c r="F169" s="322" t="str">
        <f t="shared" si="34"/>
        <v>GRSM</v>
      </c>
      <c r="G169" s="322">
        <f t="shared" si="35"/>
        <v>0</v>
      </c>
      <c r="H169" s="220">
        <v>0</v>
      </c>
      <c r="I169" s="220">
        <f t="shared" si="36"/>
        <v>0</v>
      </c>
      <c r="J169" s="322">
        <f t="shared" si="37"/>
        <v>3328069.95</v>
      </c>
      <c r="K169" s="219" t="s">
        <v>617</v>
      </c>
      <c r="L169" s="326">
        <v>664284.31000000006</v>
      </c>
      <c r="M169" s="321">
        <f t="shared" si="38"/>
        <v>2663785.64</v>
      </c>
      <c r="N169" s="322">
        <f t="shared" si="39"/>
        <v>0</v>
      </c>
      <c r="O169" s="224">
        <v>2</v>
      </c>
    </row>
    <row r="170" spans="1:15" x14ac:dyDescent="0.2">
      <c r="A170" s="222" t="s">
        <v>976</v>
      </c>
      <c r="B170" s="236">
        <v>417</v>
      </c>
      <c r="C170" s="325">
        <v>4862120</v>
      </c>
      <c r="D170" s="232" t="s">
        <v>977</v>
      </c>
      <c r="E170" s="329">
        <v>202614.64</v>
      </c>
      <c r="F170" s="322" t="str">
        <f t="shared" si="34"/>
        <v>GRSM</v>
      </c>
      <c r="G170" s="322">
        <f t="shared" si="35"/>
        <v>0</v>
      </c>
      <c r="H170" s="220">
        <v>0</v>
      </c>
      <c r="I170" s="220">
        <f t="shared" si="36"/>
        <v>0</v>
      </c>
      <c r="J170" s="322">
        <f t="shared" si="37"/>
        <v>202614.64</v>
      </c>
      <c r="K170" s="219" t="s">
        <v>617</v>
      </c>
      <c r="L170" s="326">
        <v>52045.26</v>
      </c>
      <c r="M170" s="321">
        <f t="shared" si="38"/>
        <v>150569.38</v>
      </c>
      <c r="N170" s="322">
        <f t="shared" si="39"/>
        <v>0</v>
      </c>
      <c r="O170" s="224">
        <v>2</v>
      </c>
    </row>
    <row r="171" spans="1:15" x14ac:dyDescent="0.2">
      <c r="A171" s="222" t="s">
        <v>978</v>
      </c>
      <c r="B171" s="236">
        <v>417</v>
      </c>
      <c r="C171" s="325">
        <v>4862135</v>
      </c>
      <c r="D171" s="232" t="s">
        <v>979</v>
      </c>
      <c r="E171" s="329">
        <v>26678811.129999999</v>
      </c>
      <c r="F171" s="322" t="str">
        <f t="shared" si="34"/>
        <v>GRSM</v>
      </c>
      <c r="G171" s="322">
        <f t="shared" si="35"/>
        <v>0</v>
      </c>
      <c r="H171" s="220">
        <v>0</v>
      </c>
      <c r="I171" s="220">
        <f t="shared" si="36"/>
        <v>0</v>
      </c>
      <c r="J171" s="322">
        <f t="shared" si="37"/>
        <v>26678811.129999999</v>
      </c>
      <c r="K171" s="219" t="s">
        <v>617</v>
      </c>
      <c r="L171" s="326">
        <v>5242135.93</v>
      </c>
      <c r="M171" s="321">
        <f t="shared" si="38"/>
        <v>21436675.199999999</v>
      </c>
      <c r="N171" s="322">
        <f t="shared" si="39"/>
        <v>0</v>
      </c>
      <c r="O171" s="224">
        <v>2</v>
      </c>
    </row>
    <row r="172" spans="1:15" x14ac:dyDescent="0.2">
      <c r="A172" s="222" t="s">
        <v>980</v>
      </c>
      <c r="B172" s="236">
        <v>417</v>
      </c>
      <c r="C172" s="325">
        <v>4864110</v>
      </c>
      <c r="D172" s="665" t="s">
        <v>2015</v>
      </c>
      <c r="E172" s="329">
        <v>0</v>
      </c>
      <c r="F172" s="322" t="str">
        <f t="shared" si="34"/>
        <v>GRSM</v>
      </c>
      <c r="G172" s="322">
        <f t="shared" si="35"/>
        <v>0</v>
      </c>
      <c r="H172" s="220">
        <v>0</v>
      </c>
      <c r="I172" s="220">
        <f t="shared" si="36"/>
        <v>0</v>
      </c>
      <c r="J172" s="322">
        <f t="shared" si="37"/>
        <v>0</v>
      </c>
      <c r="K172" s="219" t="s">
        <v>617</v>
      </c>
      <c r="L172" s="326">
        <v>0</v>
      </c>
      <c r="M172" s="321">
        <f t="shared" si="38"/>
        <v>0</v>
      </c>
      <c r="N172" s="322">
        <f t="shared" si="39"/>
        <v>0</v>
      </c>
      <c r="O172" s="224">
        <v>2</v>
      </c>
    </row>
    <row r="173" spans="1:15" x14ac:dyDescent="0.2">
      <c r="A173" s="222" t="s">
        <v>981</v>
      </c>
      <c r="B173" s="236">
        <v>417</v>
      </c>
      <c r="C173" s="325">
        <v>4864115</v>
      </c>
      <c r="D173" s="232" t="s">
        <v>982</v>
      </c>
      <c r="E173" s="329">
        <v>477484.81</v>
      </c>
      <c r="F173" s="322" t="str">
        <f t="shared" si="34"/>
        <v>GRSM</v>
      </c>
      <c r="G173" s="322">
        <f t="shared" si="35"/>
        <v>0</v>
      </c>
      <c r="H173" s="220">
        <v>0</v>
      </c>
      <c r="I173" s="220">
        <f t="shared" si="36"/>
        <v>0</v>
      </c>
      <c r="J173" s="322">
        <f t="shared" si="37"/>
        <v>477484.81</v>
      </c>
      <c r="K173" s="219" t="s">
        <v>617</v>
      </c>
      <c r="L173" s="326">
        <v>70312.05</v>
      </c>
      <c r="M173" s="321">
        <f t="shared" si="38"/>
        <v>407172.76</v>
      </c>
      <c r="N173" s="322">
        <f t="shared" si="39"/>
        <v>0</v>
      </c>
      <c r="O173" s="224">
        <v>2</v>
      </c>
    </row>
    <row r="174" spans="1:15" x14ac:dyDescent="0.2">
      <c r="A174" s="222" t="s">
        <v>983</v>
      </c>
      <c r="B174" s="236">
        <v>417</v>
      </c>
      <c r="C174" s="325">
        <v>4862125</v>
      </c>
      <c r="D174" s="232" t="s">
        <v>984</v>
      </c>
      <c r="E174" s="329">
        <v>12879472.68</v>
      </c>
      <c r="F174" s="322" t="str">
        <f t="shared" si="34"/>
        <v>GRSM</v>
      </c>
      <c r="G174" s="322">
        <f t="shared" si="35"/>
        <v>0</v>
      </c>
      <c r="H174" s="220">
        <v>0</v>
      </c>
      <c r="I174" s="220">
        <f t="shared" si="36"/>
        <v>0</v>
      </c>
      <c r="J174" s="322">
        <f t="shared" si="37"/>
        <v>12879472.68</v>
      </c>
      <c r="K174" s="219" t="s">
        <v>617</v>
      </c>
      <c r="L174" s="326">
        <v>2560286.37</v>
      </c>
      <c r="M174" s="321">
        <f t="shared" si="38"/>
        <v>10319186.309999999</v>
      </c>
      <c r="N174" s="322">
        <f t="shared" si="39"/>
        <v>0</v>
      </c>
      <c r="O174" s="224">
        <v>2</v>
      </c>
    </row>
    <row r="175" spans="1:15" x14ac:dyDescent="0.2">
      <c r="A175" s="222" t="s">
        <v>985</v>
      </c>
      <c r="B175" s="236">
        <v>417</v>
      </c>
      <c r="C175" s="325">
        <v>4862130</v>
      </c>
      <c r="D175" s="232" t="s">
        <v>986</v>
      </c>
      <c r="E175" s="329">
        <v>1850035.85</v>
      </c>
      <c r="F175" s="322" t="str">
        <f t="shared" si="34"/>
        <v>GRSM</v>
      </c>
      <c r="G175" s="322">
        <f t="shared" si="35"/>
        <v>0</v>
      </c>
      <c r="H175" s="220">
        <v>0</v>
      </c>
      <c r="I175" s="220">
        <f t="shared" si="36"/>
        <v>0</v>
      </c>
      <c r="J175" s="322">
        <f t="shared" si="37"/>
        <v>1850035.85</v>
      </c>
      <c r="K175" s="219" t="s">
        <v>617</v>
      </c>
      <c r="L175" s="326">
        <v>315656.76</v>
      </c>
      <c r="M175" s="321">
        <f t="shared" si="38"/>
        <v>1534379.09</v>
      </c>
      <c r="N175" s="322">
        <f t="shared" si="39"/>
        <v>0</v>
      </c>
      <c r="O175" s="224">
        <v>2</v>
      </c>
    </row>
    <row r="176" spans="1:15" x14ac:dyDescent="0.2">
      <c r="A176" s="222" t="s">
        <v>987</v>
      </c>
      <c r="B176" s="236">
        <v>417</v>
      </c>
      <c r="C176" s="325">
        <v>4863120</v>
      </c>
      <c r="D176" s="232" t="s">
        <v>988</v>
      </c>
      <c r="E176" s="329">
        <v>376315.2</v>
      </c>
      <c r="F176" s="322" t="str">
        <f t="shared" si="34"/>
        <v>GRSM</v>
      </c>
      <c r="G176" s="322">
        <f t="shared" si="35"/>
        <v>0</v>
      </c>
      <c r="H176" s="220">
        <v>0</v>
      </c>
      <c r="I176" s="220">
        <f t="shared" si="36"/>
        <v>0</v>
      </c>
      <c r="J176" s="322">
        <f t="shared" si="37"/>
        <v>376315.2</v>
      </c>
      <c r="K176" s="219" t="s">
        <v>675</v>
      </c>
      <c r="L176" s="326">
        <v>67907.350000000006</v>
      </c>
      <c r="M176" s="321">
        <f t="shared" si="38"/>
        <v>308407.84999999998</v>
      </c>
      <c r="N176" s="322">
        <f t="shared" si="39"/>
        <v>0</v>
      </c>
      <c r="O176" s="224">
        <v>2</v>
      </c>
    </row>
    <row r="177" spans="1:15" x14ac:dyDescent="0.2">
      <c r="A177" s="222" t="s">
        <v>989</v>
      </c>
      <c r="B177" s="236">
        <v>417</v>
      </c>
      <c r="C177" s="325">
        <v>4863110</v>
      </c>
      <c r="D177" s="232" t="s">
        <v>990</v>
      </c>
      <c r="E177" s="329">
        <v>2823127.66</v>
      </c>
      <c r="F177" s="322" t="str">
        <f t="shared" si="34"/>
        <v>GRSM</v>
      </c>
      <c r="G177" s="322">
        <f t="shared" si="35"/>
        <v>0</v>
      </c>
      <c r="H177" s="220">
        <v>0</v>
      </c>
      <c r="I177" s="220">
        <f t="shared" si="36"/>
        <v>0</v>
      </c>
      <c r="J177" s="322">
        <f t="shared" si="37"/>
        <v>2823127.66</v>
      </c>
      <c r="K177" s="219" t="s">
        <v>675</v>
      </c>
      <c r="L177" s="326">
        <v>562711.26</v>
      </c>
      <c r="M177" s="321">
        <f t="shared" si="38"/>
        <v>2260416.4000000004</v>
      </c>
      <c r="N177" s="322">
        <f t="shared" si="39"/>
        <v>0</v>
      </c>
      <c r="O177" s="224">
        <v>2</v>
      </c>
    </row>
    <row r="178" spans="1:15" x14ac:dyDescent="0.2">
      <c r="A178" s="222" t="s">
        <v>991</v>
      </c>
      <c r="B178" s="236">
        <v>417</v>
      </c>
      <c r="C178" s="325">
        <v>4863115</v>
      </c>
      <c r="D178" s="232" t="s">
        <v>992</v>
      </c>
      <c r="E178" s="329">
        <v>260832.9</v>
      </c>
      <c r="F178" s="322" t="str">
        <f t="shared" si="34"/>
        <v>GRSM</v>
      </c>
      <c r="G178" s="322">
        <f t="shared" si="35"/>
        <v>0</v>
      </c>
      <c r="H178" s="220">
        <v>0</v>
      </c>
      <c r="I178" s="220">
        <f t="shared" si="36"/>
        <v>0</v>
      </c>
      <c r="J178" s="322">
        <f t="shared" si="37"/>
        <v>260832.9</v>
      </c>
      <c r="K178" s="219" t="s">
        <v>675</v>
      </c>
      <c r="L178" s="326">
        <v>133302.35999999999</v>
      </c>
      <c r="M178" s="321">
        <f t="shared" si="38"/>
        <v>127530.54000000001</v>
      </c>
      <c r="N178" s="322">
        <f t="shared" si="39"/>
        <v>0</v>
      </c>
      <c r="O178" s="224">
        <v>2</v>
      </c>
    </row>
    <row r="179" spans="1:15" x14ac:dyDescent="0.2">
      <c r="A179" s="222" t="s">
        <v>993</v>
      </c>
      <c r="B179" s="236">
        <v>417</v>
      </c>
      <c r="C179" s="325">
        <v>4863125</v>
      </c>
      <c r="D179" s="232" t="s">
        <v>994</v>
      </c>
      <c r="E179" s="329">
        <v>818764.6</v>
      </c>
      <c r="F179" s="322" t="str">
        <f t="shared" si="34"/>
        <v>GRSM</v>
      </c>
      <c r="G179" s="322">
        <f t="shared" si="35"/>
        <v>0</v>
      </c>
      <c r="H179" s="220">
        <v>0</v>
      </c>
      <c r="I179" s="220">
        <f t="shared" si="36"/>
        <v>0</v>
      </c>
      <c r="J179" s="322">
        <f t="shared" si="37"/>
        <v>818764.6</v>
      </c>
      <c r="K179" s="219" t="s">
        <v>675</v>
      </c>
      <c r="L179" s="326">
        <v>185902.11</v>
      </c>
      <c r="M179" s="321">
        <f t="shared" si="38"/>
        <v>632862.49</v>
      </c>
      <c r="N179" s="322">
        <f t="shared" si="39"/>
        <v>0</v>
      </c>
      <c r="O179" s="224">
        <v>2</v>
      </c>
    </row>
    <row r="180" spans="1:15" x14ac:dyDescent="0.2">
      <c r="A180" s="222" t="s">
        <v>995</v>
      </c>
      <c r="B180" s="236">
        <v>417</v>
      </c>
      <c r="C180" s="325">
        <v>4864120</v>
      </c>
      <c r="D180" s="232" t="s">
        <v>996</v>
      </c>
      <c r="E180" s="329">
        <v>21837.84</v>
      </c>
      <c r="F180" s="322" t="str">
        <f t="shared" si="34"/>
        <v>GRSM</v>
      </c>
      <c r="G180" s="322">
        <f t="shared" si="35"/>
        <v>0</v>
      </c>
      <c r="H180" s="220">
        <v>0</v>
      </c>
      <c r="I180" s="220">
        <f t="shared" si="36"/>
        <v>0</v>
      </c>
      <c r="J180" s="322">
        <f t="shared" si="37"/>
        <v>21837.84</v>
      </c>
      <c r="K180" s="219" t="s">
        <v>617</v>
      </c>
      <c r="L180" s="326">
        <v>4478.51</v>
      </c>
      <c r="M180" s="321">
        <f t="shared" si="38"/>
        <v>17359.330000000002</v>
      </c>
      <c r="N180" s="322">
        <f t="shared" si="39"/>
        <v>0</v>
      </c>
      <c r="O180" s="224">
        <v>2</v>
      </c>
    </row>
    <row r="181" spans="1:15" x14ac:dyDescent="0.2">
      <c r="A181" s="356"/>
      <c r="B181" s="354"/>
      <c r="C181" s="355"/>
      <c r="D181" s="353"/>
      <c r="E181" s="333"/>
      <c r="F181" s="333"/>
      <c r="G181" s="330"/>
      <c r="H181" s="328"/>
      <c r="I181" s="328"/>
      <c r="J181" s="326"/>
      <c r="K181" s="327"/>
      <c r="L181" s="326"/>
      <c r="M181" s="326"/>
      <c r="N181" s="326"/>
      <c r="O181" s="327"/>
    </row>
    <row r="182" spans="1:15" x14ac:dyDescent="0.2">
      <c r="A182" s="356"/>
      <c r="B182" s="354"/>
      <c r="C182" s="355"/>
      <c r="D182" s="353"/>
      <c r="E182" s="333"/>
      <c r="F182" s="333"/>
      <c r="G182" s="330"/>
      <c r="H182" s="328"/>
      <c r="I182" s="328"/>
      <c r="J182" s="326"/>
      <c r="K182" s="327"/>
      <c r="L182" s="326"/>
      <c r="M182" s="326"/>
      <c r="N182" s="326"/>
      <c r="O182" s="327"/>
    </row>
    <row r="183" spans="1:15" x14ac:dyDescent="0.2">
      <c r="A183" s="222">
        <v>25</v>
      </c>
      <c r="B183" s="1434" t="s">
        <v>997</v>
      </c>
      <c r="C183" s="1435"/>
      <c r="D183" s="1436"/>
      <c r="E183" s="319">
        <f>SUM(E166:E182)</f>
        <v>56383699.500000015</v>
      </c>
      <c r="F183" s="344"/>
      <c r="G183" s="319">
        <f>SUM(G166:G182)</f>
        <v>0</v>
      </c>
      <c r="H183" s="335">
        <f>SUM(H166:H182)</f>
        <v>0</v>
      </c>
      <c r="I183" s="335">
        <f>SUM(I166:I182)</f>
        <v>0</v>
      </c>
      <c r="J183" s="319">
        <f>SUM(J166:J182)</f>
        <v>56383699.500000015</v>
      </c>
      <c r="K183" s="344"/>
      <c r="L183" s="319">
        <f>SUM(L166:L182)</f>
        <v>11184575.829999998</v>
      </c>
      <c r="M183" s="319">
        <f>SUM(M166:M182)</f>
        <v>45199123.670000002</v>
      </c>
      <c r="N183" s="319">
        <f>SUM(N166:N182)</f>
        <v>0</v>
      </c>
      <c r="O183" s="209"/>
    </row>
    <row r="184" spans="1:15" x14ac:dyDescent="0.2">
      <c r="A184" s="222">
        <v>26</v>
      </c>
      <c r="B184" s="1434" t="s">
        <v>998</v>
      </c>
      <c r="C184" s="1435"/>
      <c r="D184" s="1436"/>
      <c r="E184" s="332">
        <v>6245259.5</v>
      </c>
      <c r="F184" s="320"/>
      <c r="G184" s="318"/>
      <c r="H184" s="336"/>
      <c r="I184" s="336"/>
      <c r="J184" s="318"/>
      <c r="K184" s="336"/>
      <c r="L184" s="318"/>
      <c r="M184" s="318"/>
      <c r="N184" s="318"/>
      <c r="O184" s="208"/>
    </row>
    <row r="185" spans="1:15" ht="25.5" customHeight="1" x14ac:dyDescent="0.2">
      <c r="A185" s="222">
        <v>27</v>
      </c>
      <c r="B185" s="1429" t="s">
        <v>1403</v>
      </c>
      <c r="C185" s="1430"/>
      <c r="D185" s="1431"/>
      <c r="E185" s="332">
        <v>62628959</v>
      </c>
      <c r="F185" s="377" t="s">
        <v>361</v>
      </c>
    </row>
    <row r="186" spans="1:15" x14ac:dyDescent="0.2">
      <c r="A186" s="230"/>
    </row>
    <row r="187" spans="1:15" x14ac:dyDescent="0.2">
      <c r="B187" s="39" t="s">
        <v>999</v>
      </c>
    </row>
    <row r="188" spans="1:15" x14ac:dyDescent="0.2">
      <c r="A188" s="219" t="s">
        <v>1000</v>
      </c>
      <c r="B188" s="1441">
        <v>418.1</v>
      </c>
      <c r="C188" s="1442"/>
      <c r="D188" s="232" t="s">
        <v>1001</v>
      </c>
      <c r="E188" s="329">
        <v>12349614</v>
      </c>
      <c r="F188" s="322" t="str">
        <f>$J$2</f>
        <v>GRSM</v>
      </c>
      <c r="G188" s="322">
        <f t="shared" ref="G188:G193" si="40">IF(F188=$G$2,E188,0)</f>
        <v>0</v>
      </c>
      <c r="H188" s="219">
        <v>0</v>
      </c>
      <c r="I188" s="220">
        <f t="shared" ref="I188:I193" si="41">G188-H188</f>
        <v>0</v>
      </c>
      <c r="J188" s="322">
        <f>IF(F188=$J$2,E188,0)</f>
        <v>12349614</v>
      </c>
      <c r="K188" s="362" t="s">
        <v>617</v>
      </c>
      <c r="L188" s="326">
        <v>1848232.51</v>
      </c>
      <c r="M188" s="221">
        <f t="shared" ref="M188:M193" si="42">J188-L188</f>
        <v>10501381.49</v>
      </c>
      <c r="N188" s="322">
        <f t="shared" ref="N188:N193" si="43">IF(F188=$N$2,E188,0)</f>
        <v>0</v>
      </c>
      <c r="O188" s="224" t="s">
        <v>1002</v>
      </c>
    </row>
    <row r="189" spans="1:15" x14ac:dyDescent="0.2">
      <c r="A189" s="219" t="s">
        <v>1003</v>
      </c>
      <c r="B189" s="1441">
        <v>418.1</v>
      </c>
      <c r="C189" s="1442"/>
      <c r="D189" s="232" t="s">
        <v>1004</v>
      </c>
      <c r="E189" s="329">
        <v>253421</v>
      </c>
      <c r="F189" s="322" t="str">
        <f>$J$2</f>
        <v>GRSM</v>
      </c>
      <c r="G189" s="322">
        <f t="shared" si="40"/>
        <v>0</v>
      </c>
      <c r="H189" s="219">
        <v>0</v>
      </c>
      <c r="I189" s="220">
        <f t="shared" si="41"/>
        <v>0</v>
      </c>
      <c r="J189" s="322">
        <f>IF(F189=$J$2,E189,0)</f>
        <v>253421</v>
      </c>
      <c r="K189" s="362" t="s">
        <v>675</v>
      </c>
      <c r="L189" s="326">
        <v>0</v>
      </c>
      <c r="M189" s="221">
        <f t="shared" si="42"/>
        <v>253421</v>
      </c>
      <c r="N189" s="322">
        <f t="shared" si="43"/>
        <v>0</v>
      </c>
      <c r="O189" s="224" t="s">
        <v>1002</v>
      </c>
    </row>
    <row r="190" spans="1:15" x14ac:dyDescent="0.2">
      <c r="A190" s="219" t="s">
        <v>1005</v>
      </c>
      <c r="B190" s="1441">
        <v>418.1</v>
      </c>
      <c r="C190" s="1442"/>
      <c r="D190" s="665" t="s">
        <v>1942</v>
      </c>
      <c r="E190" s="329">
        <v>0</v>
      </c>
      <c r="F190" s="666" t="s">
        <v>632</v>
      </c>
      <c r="G190" s="322">
        <f t="shared" si="40"/>
        <v>0</v>
      </c>
      <c r="H190" s="219">
        <v>0</v>
      </c>
      <c r="I190" s="220">
        <f t="shared" si="41"/>
        <v>0</v>
      </c>
      <c r="J190" s="322">
        <f>IF(F190=$J$2,E190,0)</f>
        <v>0</v>
      </c>
      <c r="K190" s="667" t="s">
        <v>675</v>
      </c>
      <c r="L190" s="326">
        <v>0</v>
      </c>
      <c r="M190" s="221">
        <f t="shared" si="42"/>
        <v>0</v>
      </c>
      <c r="N190" s="322">
        <f t="shared" si="43"/>
        <v>0</v>
      </c>
      <c r="O190" s="663" t="s">
        <v>1943</v>
      </c>
    </row>
    <row r="191" spans="1:15" x14ac:dyDescent="0.2">
      <c r="A191" s="219" t="s">
        <v>1007</v>
      </c>
      <c r="B191" s="1441">
        <v>418.1</v>
      </c>
      <c r="C191" s="1442"/>
      <c r="D191" s="232" t="s">
        <v>1006</v>
      </c>
      <c r="E191" s="329">
        <v>-1067</v>
      </c>
      <c r="F191" s="322" t="str">
        <f>$G$2</f>
        <v>Traditional OOR</v>
      </c>
      <c r="G191" s="322">
        <f t="shared" si="40"/>
        <v>-1067</v>
      </c>
      <c r="H191" s="220">
        <v>0</v>
      </c>
      <c r="I191" s="220">
        <f t="shared" si="41"/>
        <v>-1067</v>
      </c>
      <c r="J191" s="322">
        <f>IF(F191=$J$2,E191,0)</f>
        <v>0</v>
      </c>
      <c r="K191" s="362"/>
      <c r="L191" s="326"/>
      <c r="M191" s="220">
        <f t="shared" si="42"/>
        <v>0</v>
      </c>
      <c r="N191" s="322">
        <f t="shared" si="43"/>
        <v>0</v>
      </c>
      <c r="O191" s="219">
        <v>13</v>
      </c>
    </row>
    <row r="192" spans="1:15" x14ac:dyDescent="0.2">
      <c r="A192" s="664" t="s">
        <v>1326</v>
      </c>
      <c r="B192" s="1441">
        <v>418.1</v>
      </c>
      <c r="C192" s="1442"/>
      <c r="D192" s="232" t="s">
        <v>1008</v>
      </c>
      <c r="E192" s="329">
        <v>-1100</v>
      </c>
      <c r="F192" s="322" t="str">
        <f>$G$2</f>
        <v>Traditional OOR</v>
      </c>
      <c r="G192" s="322">
        <f t="shared" si="40"/>
        <v>-1100</v>
      </c>
      <c r="H192" s="220">
        <v>0</v>
      </c>
      <c r="I192" s="220">
        <f t="shared" si="41"/>
        <v>-1100</v>
      </c>
      <c r="J192" s="322">
        <f>IF(F192=$J$2,E192,0)</f>
        <v>0</v>
      </c>
      <c r="K192" s="362"/>
      <c r="L192" s="326"/>
      <c r="M192" s="220">
        <f t="shared" si="42"/>
        <v>0</v>
      </c>
      <c r="N192" s="322">
        <f t="shared" si="43"/>
        <v>0</v>
      </c>
      <c r="O192" s="219">
        <v>14</v>
      </c>
    </row>
    <row r="193" spans="1:15" x14ac:dyDescent="0.2">
      <c r="A193" s="664" t="s">
        <v>1327</v>
      </c>
      <c r="B193" s="1119">
        <v>418.1</v>
      </c>
      <c r="C193" s="1195"/>
      <c r="D193" s="665" t="s">
        <v>2218</v>
      </c>
      <c r="E193" s="329">
        <v>1073689.28</v>
      </c>
      <c r="F193" s="322" t="str">
        <f>$G$2</f>
        <v>Traditional OOR</v>
      </c>
      <c r="G193" s="322">
        <f t="shared" si="40"/>
        <v>1073689.28</v>
      </c>
      <c r="H193" s="220">
        <f>E193*$D$234</f>
        <v>46104.217683199997</v>
      </c>
      <c r="I193" s="220">
        <f t="shared" si="41"/>
        <v>1027585.0623168</v>
      </c>
      <c r="J193" s="322">
        <v>0</v>
      </c>
      <c r="K193" s="362"/>
      <c r="L193" s="326">
        <v>0</v>
      </c>
      <c r="M193" s="220">
        <f t="shared" si="42"/>
        <v>0</v>
      </c>
      <c r="N193" s="322">
        <f t="shared" si="43"/>
        <v>0</v>
      </c>
      <c r="O193" s="664" t="s">
        <v>2938</v>
      </c>
    </row>
    <row r="194" spans="1:15" x14ac:dyDescent="0.2">
      <c r="A194" s="327"/>
      <c r="B194" s="369"/>
      <c r="C194" s="370"/>
      <c r="D194" s="371"/>
      <c r="E194" s="329"/>
      <c r="F194" s="326"/>
      <c r="G194" s="330"/>
      <c r="H194" s="327"/>
      <c r="I194" s="328"/>
      <c r="J194" s="326"/>
      <c r="K194" s="372"/>
      <c r="L194" s="326"/>
      <c r="M194" s="373"/>
      <c r="N194" s="326"/>
      <c r="O194" s="327"/>
    </row>
    <row r="195" spans="1:15" x14ac:dyDescent="0.2">
      <c r="A195" s="327"/>
      <c r="B195" s="369"/>
      <c r="C195" s="370"/>
      <c r="D195" s="371"/>
      <c r="E195" s="329"/>
      <c r="F195" s="326"/>
      <c r="G195" s="330"/>
      <c r="H195" s="327"/>
      <c r="I195" s="328"/>
      <c r="J195" s="326"/>
      <c r="K195" s="372"/>
      <c r="L195" s="326"/>
      <c r="M195" s="373"/>
      <c r="N195" s="326"/>
      <c r="O195" s="327"/>
    </row>
    <row r="196" spans="1:15" x14ac:dyDescent="0.2">
      <c r="A196" s="224">
        <v>29</v>
      </c>
      <c r="B196" s="1434" t="s">
        <v>1009</v>
      </c>
      <c r="C196" s="1435"/>
      <c r="D196" s="1436"/>
      <c r="E196" s="459">
        <f>SUM(E188:E195)</f>
        <v>13674557.279999999</v>
      </c>
      <c r="F196" s="381"/>
      <c r="G196" s="461">
        <f>SUM(G188:G195)</f>
        <v>1071522.28</v>
      </c>
      <c r="H196" s="461">
        <f>SUM(H188:H195)</f>
        <v>46104.217683199997</v>
      </c>
      <c r="I196" s="461">
        <f>SUM(I188:I195)</f>
        <v>1025418.0623168</v>
      </c>
      <c r="J196" s="459">
        <f>SUM(J188:J195)</f>
        <v>12603035</v>
      </c>
      <c r="K196" s="345"/>
      <c r="L196" s="459">
        <f>SUM(L188:L195)</f>
        <v>1848232.51</v>
      </c>
      <c r="M196" s="459">
        <f>SUM(M188:M195)</f>
        <v>10754802.49</v>
      </c>
      <c r="N196" s="459">
        <f>SUM(N188:N195)</f>
        <v>0</v>
      </c>
      <c r="O196" s="209"/>
    </row>
    <row r="197" spans="1:15" x14ac:dyDescent="0.2">
      <c r="A197" s="224">
        <v>30</v>
      </c>
      <c r="B197" s="1434" t="s">
        <v>2057</v>
      </c>
      <c r="C197" s="1444"/>
      <c r="D197" s="1445"/>
      <c r="E197" s="460">
        <v>-13273374.279999999</v>
      </c>
      <c r="F197" s="380"/>
      <c r="G197" s="380"/>
      <c r="H197" s="380"/>
      <c r="I197" s="380"/>
      <c r="J197" s="379"/>
      <c r="K197" s="380"/>
      <c r="L197" s="379"/>
      <c r="M197" s="379"/>
      <c r="N197" s="379"/>
      <c r="O197" s="208"/>
    </row>
    <row r="198" spans="1:15" ht="25.5" customHeight="1" x14ac:dyDescent="0.2">
      <c r="A198" s="224">
        <v>31</v>
      </c>
      <c r="B198" s="1443" t="s">
        <v>1402</v>
      </c>
      <c r="C198" s="1433"/>
      <c r="D198" s="1433"/>
      <c r="E198" s="460">
        <v>401183</v>
      </c>
      <c r="F198" s="380"/>
      <c r="G198" s="380"/>
      <c r="H198" s="380"/>
      <c r="I198" s="380"/>
      <c r="J198" s="379"/>
      <c r="K198" s="380"/>
      <c r="L198" s="379"/>
      <c r="M198" s="379"/>
      <c r="N198" s="379"/>
      <c r="O198" s="208"/>
    </row>
    <row r="199" spans="1:15" x14ac:dyDescent="0.2">
      <c r="A199" s="230"/>
    </row>
    <row r="200" spans="1:15" x14ac:dyDescent="0.2">
      <c r="A200" s="224">
        <v>32</v>
      </c>
      <c r="B200" s="349"/>
      <c r="C200" s="348"/>
      <c r="D200" s="241" t="s">
        <v>1010</v>
      </c>
      <c r="E200" s="462">
        <f>E9+E28+E36+E67+E128+E152+E157+E162+E183+E196</f>
        <v>422567011.87</v>
      </c>
      <c r="F200" s="463"/>
      <c r="G200" s="462">
        <f>G9+G28+G36+G67+G128+G152+G157+G162+G183+G196</f>
        <v>175346353.73721018</v>
      </c>
      <c r="H200" s="462">
        <f>H9+H28+H36+H67+H128+H152+H157+H162+H183+H196</f>
        <v>40090289.279887602</v>
      </c>
      <c r="I200" s="462">
        <f>I9+I28+I36+I67+I128+I152+I157+I162+I183+I196</f>
        <v>135256064.4573226</v>
      </c>
      <c r="J200" s="462">
        <f>J9+J28+J36+J67+J128+J152+J157+J162+J183+J196</f>
        <v>93887855.62000002</v>
      </c>
      <c r="K200" s="463"/>
      <c r="L200" s="462">
        <f>L9+L28+L36+L67+L128+L152+L157+L162+L183+L196</f>
        <v>16671388.919999998</v>
      </c>
      <c r="M200" s="462">
        <f>M9+M28+M36+M67+M128+M152+M157+M162+M183+M196</f>
        <v>77216466.700000003</v>
      </c>
      <c r="N200" s="462">
        <f>N9+N28+N36+N67+N128+N152+N157+N162+N183+N196</f>
        <v>153332802.51278985</v>
      </c>
      <c r="O200" s="209"/>
    </row>
    <row r="201" spans="1:15" x14ac:dyDescent="0.2">
      <c r="A201" s="242"/>
      <c r="B201" s="243"/>
      <c r="C201" s="242"/>
      <c r="E201" s="230"/>
      <c r="F201" s="230"/>
      <c r="G201" s="323"/>
      <c r="J201" s="340"/>
      <c r="K201" s="339"/>
      <c r="N201" s="323"/>
    </row>
    <row r="202" spans="1:15" x14ac:dyDescent="0.2">
      <c r="A202" s="242"/>
      <c r="B202" s="243"/>
      <c r="C202" s="242"/>
      <c r="E202" s="230"/>
      <c r="F202" s="230" t="s">
        <v>173</v>
      </c>
      <c r="J202" s="340"/>
      <c r="K202" s="339"/>
      <c r="N202" s="323"/>
    </row>
    <row r="203" spans="1:15" x14ac:dyDescent="0.2">
      <c r="A203" s="224">
        <v>33</v>
      </c>
      <c r="B203" s="368"/>
      <c r="C203" s="368"/>
      <c r="D203" s="364" t="s">
        <v>1011</v>
      </c>
      <c r="E203" s="361">
        <f>L200</f>
        <v>16671388.919999998</v>
      </c>
      <c r="F203" s="363" t="s">
        <v>1012</v>
      </c>
      <c r="G203" s="323"/>
      <c r="N203" s="323"/>
    </row>
    <row r="204" spans="1:15" x14ac:dyDescent="0.2">
      <c r="A204" s="219">
        <v>34</v>
      </c>
      <c r="B204" s="368"/>
      <c r="C204" s="368"/>
      <c r="D204" s="364" t="s">
        <v>1014</v>
      </c>
      <c r="E204" s="361">
        <f>E203*(5.425/16.671)</f>
        <v>5425126.5605542557</v>
      </c>
      <c r="F204" s="1196" t="s">
        <v>1320</v>
      </c>
      <c r="G204" s="339"/>
      <c r="N204" s="323"/>
    </row>
    <row r="205" spans="1:15" x14ac:dyDescent="0.2">
      <c r="A205" s="219">
        <v>35</v>
      </c>
      <c r="B205" s="368"/>
      <c r="C205" s="368"/>
      <c r="D205" s="366"/>
      <c r="E205" s="316"/>
      <c r="F205" s="1197"/>
      <c r="G205" s="339"/>
      <c r="N205" s="323"/>
    </row>
    <row r="206" spans="1:15" x14ac:dyDescent="0.2">
      <c r="A206" s="219">
        <v>36</v>
      </c>
      <c r="B206" s="368"/>
      <c r="C206" s="368"/>
      <c r="D206" s="364" t="s">
        <v>1015</v>
      </c>
      <c r="E206" s="361">
        <f>SUMIF(K4:K189,"=A",M4:M189)</f>
        <v>51806740.840000004</v>
      </c>
      <c r="F206" s="1198" t="s">
        <v>1016</v>
      </c>
      <c r="G206" s="339"/>
      <c r="N206" s="323"/>
    </row>
    <row r="207" spans="1:15" x14ac:dyDescent="0.2">
      <c r="A207" s="219">
        <v>37</v>
      </c>
      <c r="B207" s="358"/>
      <c r="C207" s="358"/>
      <c r="D207" s="364" t="s">
        <v>1017</v>
      </c>
      <c r="E207" s="361">
        <f>0.1*E206</f>
        <v>5180674.0840000007</v>
      </c>
      <c r="F207" s="68" t="str">
        <f>"= Line "&amp;A206&amp;"D * 10%"</f>
        <v>= Line 36D * 10%</v>
      </c>
      <c r="G207" s="40"/>
      <c r="H207" s="342"/>
      <c r="I207" s="343"/>
    </row>
    <row r="208" spans="1:15" x14ac:dyDescent="0.2">
      <c r="A208" s="219">
        <v>38</v>
      </c>
      <c r="B208" s="358"/>
      <c r="C208" s="358"/>
      <c r="D208" s="364" t="s">
        <v>1018</v>
      </c>
      <c r="E208" s="361">
        <f>SUMIF(K4:K192,"=P",M4:M192)</f>
        <v>25409725.859999996</v>
      </c>
      <c r="F208" s="1199" t="s">
        <v>1019</v>
      </c>
      <c r="G208" s="40"/>
      <c r="H208" s="230"/>
      <c r="I208" s="343"/>
    </row>
    <row r="209" spans="1:254" x14ac:dyDescent="0.2">
      <c r="A209" s="219">
        <v>39</v>
      </c>
      <c r="B209" s="358"/>
      <c r="C209" s="358"/>
      <c r="D209" s="364" t="s">
        <v>1020</v>
      </c>
      <c r="E209" s="361">
        <f>0.3*E208</f>
        <v>7622917.7579999985</v>
      </c>
      <c r="F209" s="68" t="str">
        <f>"= Line "&amp;A208&amp;"D * 30%"</f>
        <v>= Line 38D * 30%</v>
      </c>
      <c r="G209" s="40"/>
      <c r="H209" s="342"/>
      <c r="I209" s="343"/>
    </row>
    <row r="210" spans="1:254" x14ac:dyDescent="0.2">
      <c r="A210" s="219">
        <v>40</v>
      </c>
      <c r="B210" s="358"/>
      <c r="C210" s="358"/>
      <c r="D210" s="364" t="s">
        <v>1021</v>
      </c>
      <c r="E210" s="361">
        <f>E207+E209</f>
        <v>12803591.842</v>
      </c>
      <c r="F210" s="68" t="str">
        <f>"= Line "&amp;A207&amp;"D + Line "&amp;A209&amp;"D"</f>
        <v>= Line 37D + Line 39D</v>
      </c>
      <c r="G210" s="338"/>
    </row>
    <row r="211" spans="1:254" x14ac:dyDescent="0.2">
      <c r="A211" s="219">
        <v>41</v>
      </c>
      <c r="B211" s="358"/>
      <c r="C211" s="358"/>
      <c r="D211" s="364" t="s">
        <v>1022</v>
      </c>
      <c r="E211" s="365">
        <f>5.425/16.671</f>
        <v>0.32541539199808051</v>
      </c>
      <c r="F211" s="1198" t="s">
        <v>1013</v>
      </c>
      <c r="G211" s="338"/>
    </row>
    <row r="212" spans="1:254" x14ac:dyDescent="0.2">
      <c r="A212" s="219">
        <v>42</v>
      </c>
      <c r="B212" s="358"/>
      <c r="C212" s="358"/>
      <c r="D212" s="364" t="s">
        <v>1023</v>
      </c>
      <c r="E212" s="361">
        <f>E210*E211</f>
        <v>4166485.8582478557</v>
      </c>
      <c r="F212" s="68" t="str">
        <f>"= Line "&amp;A210&amp;"D * Line "&amp;A211&amp;"D"</f>
        <v>= Line 40D * Line 41D</v>
      </c>
      <c r="G212" s="338"/>
    </row>
    <row r="213" spans="1:254" ht="12.75" customHeight="1" x14ac:dyDescent="0.2">
      <c r="A213" s="219">
        <v>43</v>
      </c>
      <c r="B213" s="358"/>
      <c r="C213" s="358"/>
      <c r="D213" s="367" t="s">
        <v>2058</v>
      </c>
      <c r="E213" s="461">
        <f>E212+E204</f>
        <v>9591612.4188021123</v>
      </c>
      <c r="F213" s="68" t="str">
        <f>"= Line "&amp;A204&amp;"D + Line "&amp;A212&amp;"D"</f>
        <v>= Line 34D + Line 42D</v>
      </c>
      <c r="G213" s="338"/>
    </row>
    <row r="214" spans="1:254" x14ac:dyDescent="0.2">
      <c r="A214" s="40"/>
      <c r="D214" s="338"/>
      <c r="E214" s="1200"/>
      <c r="F214" s="1198"/>
      <c r="G214" s="338"/>
    </row>
    <row r="215" spans="1:254" x14ac:dyDescent="0.2">
      <c r="A215" s="40"/>
      <c r="D215" s="239"/>
      <c r="E215" s="245" t="s">
        <v>196</v>
      </c>
      <c r="F215" s="245" t="s">
        <v>173</v>
      </c>
      <c r="G215" s="237"/>
      <c r="I215" s="240"/>
      <c r="J215" s="40"/>
      <c r="K215" s="240"/>
      <c r="L215" s="239"/>
      <c r="M215" s="245"/>
      <c r="N215" s="245"/>
      <c r="O215" s="237"/>
      <c r="P215" s="238"/>
      <c r="Q215" s="240"/>
      <c r="R215" s="239"/>
      <c r="S215" s="245"/>
      <c r="T215" s="245"/>
      <c r="U215" s="237"/>
      <c r="V215" s="238"/>
      <c r="W215" s="240"/>
      <c r="X215" s="40"/>
      <c r="Y215" s="240"/>
      <c r="Z215" s="239"/>
      <c r="AA215" s="245"/>
      <c r="AB215" s="245"/>
      <c r="AC215" s="237"/>
      <c r="AD215" s="238"/>
      <c r="AE215" s="240"/>
      <c r="AF215" s="40"/>
      <c r="AG215" s="240"/>
      <c r="AH215" s="239"/>
      <c r="AI215" s="245"/>
      <c r="AJ215" s="245"/>
      <c r="AK215" s="237"/>
      <c r="AL215" s="238"/>
      <c r="AM215" s="240"/>
      <c r="AN215" s="40"/>
      <c r="AO215" s="240"/>
      <c r="AP215" s="239"/>
      <c r="AQ215" s="245"/>
      <c r="AR215" s="245"/>
      <c r="AS215" s="237"/>
      <c r="AT215" s="238"/>
      <c r="AU215" s="240"/>
      <c r="AV215" s="40"/>
      <c r="AW215" s="240"/>
      <c r="AX215" s="239"/>
      <c r="AY215" s="245"/>
      <c r="AZ215" s="245"/>
      <c r="BA215" s="237"/>
      <c r="BB215" s="238"/>
      <c r="BC215" s="240"/>
      <c r="BD215" s="40"/>
      <c r="BE215" s="240"/>
      <c r="BF215" s="239"/>
      <c r="BG215" s="245"/>
      <c r="BH215" s="245"/>
      <c r="BI215" s="237"/>
      <c r="BJ215" s="238"/>
      <c r="BK215" s="240"/>
      <c r="BL215" s="40"/>
      <c r="BM215" s="240"/>
      <c r="BN215" s="239"/>
      <c r="BO215" s="245"/>
      <c r="BP215" s="245"/>
      <c r="BQ215" s="237"/>
      <c r="BR215" s="238"/>
      <c r="BS215" s="240"/>
      <c r="BT215" s="40"/>
      <c r="BU215" s="240"/>
      <c r="BV215" s="239"/>
      <c r="BW215" s="245"/>
      <c r="BX215" s="245"/>
      <c r="BY215" s="237"/>
      <c r="BZ215" s="238"/>
      <c r="CA215" s="240"/>
      <c r="CB215" s="40"/>
      <c r="CC215" s="240"/>
      <c r="CD215" s="239"/>
      <c r="CE215" s="245"/>
      <c r="CF215" s="245"/>
      <c r="CG215" s="237"/>
      <c r="CH215" s="238"/>
      <c r="CI215" s="240"/>
      <c r="CJ215" s="40"/>
      <c r="CK215" s="240"/>
      <c r="CL215" s="239"/>
      <c r="CM215" s="245"/>
      <c r="CN215" s="245"/>
      <c r="CO215" s="237"/>
      <c r="CP215" s="238"/>
      <c r="CQ215" s="240"/>
      <c r="CR215" s="40"/>
      <c r="CS215" s="240"/>
      <c r="CT215" s="239"/>
      <c r="CU215" s="245"/>
      <c r="CV215" s="245"/>
      <c r="CW215" s="237"/>
      <c r="CX215" s="238"/>
      <c r="CY215" s="240"/>
      <c r="CZ215" s="40"/>
      <c r="DA215" s="240"/>
      <c r="DB215" s="239"/>
      <c r="DC215" s="245"/>
      <c r="DD215" s="245"/>
      <c r="DE215" s="237"/>
      <c r="DF215" s="238"/>
      <c r="DG215" s="240"/>
      <c r="DH215" s="40"/>
      <c r="DI215" s="240"/>
      <c r="DJ215" s="239"/>
      <c r="DK215" s="245"/>
      <c r="DL215" s="245"/>
      <c r="DM215" s="237"/>
      <c r="DN215" s="238"/>
      <c r="DO215" s="240"/>
      <c r="DP215" s="40"/>
      <c r="DQ215" s="240"/>
      <c r="DR215" s="239"/>
      <c r="DS215" s="245"/>
      <c r="DT215" s="245"/>
      <c r="DU215" s="237"/>
      <c r="DV215" s="238"/>
      <c r="DW215" s="240"/>
      <c r="DX215" s="40"/>
      <c r="DY215" s="240"/>
      <c r="DZ215" s="239"/>
      <c r="EA215" s="245"/>
      <c r="EB215" s="245"/>
      <c r="EC215" s="237"/>
      <c r="ED215" s="238"/>
      <c r="EE215" s="240"/>
      <c r="EF215" s="40"/>
      <c r="EG215" s="240"/>
      <c r="EH215" s="239"/>
      <c r="EI215" s="245"/>
      <c r="EJ215" s="245"/>
      <c r="EK215" s="237"/>
      <c r="EL215" s="238"/>
      <c r="EM215" s="240"/>
      <c r="EN215" s="40"/>
      <c r="EO215" s="240"/>
      <c r="EP215" s="239"/>
      <c r="EQ215" s="245"/>
      <c r="ER215" s="245"/>
      <c r="ES215" s="237"/>
      <c r="ET215" s="238"/>
      <c r="EU215" s="240"/>
      <c r="EV215" s="40"/>
      <c r="EW215" s="240"/>
      <c r="EX215" s="239"/>
      <c r="EY215" s="245"/>
      <c r="EZ215" s="245"/>
      <c r="FA215" s="237"/>
      <c r="FB215" s="238"/>
      <c r="FC215" s="240"/>
      <c r="FD215" s="40"/>
      <c r="FE215" s="240"/>
      <c r="FF215" s="239"/>
      <c r="FG215" s="245"/>
      <c r="FH215" s="245"/>
      <c r="FI215" s="237"/>
      <c r="FJ215" s="238"/>
      <c r="FK215" s="240"/>
      <c r="FL215" s="40"/>
      <c r="FM215" s="240"/>
      <c r="FN215" s="239"/>
      <c r="FO215" s="245"/>
      <c r="FP215" s="245"/>
      <c r="FQ215" s="237"/>
      <c r="FR215" s="238"/>
      <c r="FS215" s="240"/>
      <c r="FT215" s="40"/>
      <c r="FU215" s="240"/>
      <c r="FV215" s="239"/>
      <c r="FW215" s="245"/>
      <c r="FX215" s="245"/>
      <c r="FY215" s="237"/>
      <c r="FZ215" s="238"/>
      <c r="GA215" s="240"/>
      <c r="GB215" s="40"/>
      <c r="GC215" s="240"/>
      <c r="GD215" s="239"/>
      <c r="GE215" s="245"/>
      <c r="GF215" s="245"/>
      <c r="GG215" s="237"/>
      <c r="GH215" s="238"/>
      <c r="GI215" s="240"/>
      <c r="GJ215" s="40"/>
      <c r="GK215" s="240"/>
      <c r="GL215" s="239"/>
      <c r="GM215" s="245"/>
      <c r="GN215" s="245"/>
      <c r="GO215" s="237"/>
      <c r="GP215" s="238"/>
      <c r="GQ215" s="240"/>
      <c r="GR215" s="40"/>
      <c r="GS215" s="240"/>
      <c r="GT215" s="239"/>
      <c r="GU215" s="245"/>
      <c r="GV215" s="245"/>
      <c r="GW215" s="237"/>
      <c r="GX215" s="238"/>
      <c r="GY215" s="240"/>
      <c r="GZ215" s="40"/>
      <c r="HA215" s="240"/>
      <c r="HB215" s="239"/>
      <c r="HC215" s="245"/>
      <c r="HD215" s="245"/>
      <c r="HE215" s="237"/>
      <c r="HF215" s="238"/>
      <c r="HG215" s="240"/>
      <c r="HH215" s="40"/>
      <c r="HI215" s="240"/>
      <c r="HJ215" s="239"/>
      <c r="HK215" s="245"/>
      <c r="HL215" s="245"/>
      <c r="HM215" s="237"/>
      <c r="HN215" s="238"/>
      <c r="HO215" s="240"/>
      <c r="HP215" s="40"/>
      <c r="HQ215" s="240"/>
      <c r="HR215" s="239"/>
      <c r="HS215" s="245"/>
      <c r="HT215" s="245"/>
      <c r="HU215" s="237"/>
      <c r="HV215" s="238"/>
      <c r="HW215" s="240"/>
      <c r="HX215" s="40"/>
      <c r="HY215" s="240"/>
      <c r="HZ215" s="239"/>
      <c r="IA215" s="245"/>
      <c r="IB215" s="245"/>
      <c r="IC215" s="237"/>
      <c r="ID215" s="238"/>
      <c r="IE215" s="240"/>
      <c r="IF215" s="40"/>
      <c r="IG215" s="240"/>
      <c r="IH215" s="239"/>
      <c r="II215" s="245"/>
      <c r="IJ215" s="245"/>
      <c r="IK215" s="237"/>
      <c r="IL215" s="238"/>
      <c r="IM215" s="240"/>
      <c r="IN215" s="40"/>
      <c r="IO215" s="240"/>
      <c r="IP215" s="239"/>
      <c r="IQ215" s="245"/>
      <c r="IR215" s="245"/>
      <c r="IS215" s="237"/>
      <c r="IT215" s="238"/>
    </row>
    <row r="216" spans="1:254" x14ac:dyDescent="0.2">
      <c r="A216" s="219">
        <v>44</v>
      </c>
      <c r="B216" s="39" t="s">
        <v>1046</v>
      </c>
      <c r="D216" s="239"/>
      <c r="E216" s="464">
        <f>H200+E213</f>
        <v>49681901.698689714</v>
      </c>
      <c r="F216" s="867" t="s">
        <v>2634</v>
      </c>
      <c r="G216" s="237"/>
      <c r="J216" s="39"/>
      <c r="K216" s="240"/>
      <c r="L216" s="239"/>
      <c r="M216" s="244"/>
      <c r="N216" s="246"/>
      <c r="O216" s="237"/>
      <c r="P216" s="238"/>
      <c r="Q216" s="240"/>
      <c r="R216" s="239"/>
      <c r="S216" s="244"/>
      <c r="T216" s="246"/>
      <c r="U216" s="237"/>
      <c r="V216" s="238"/>
      <c r="W216" s="224"/>
      <c r="X216" s="39"/>
      <c r="Y216" s="240"/>
      <c r="Z216" s="239"/>
      <c r="AA216" s="244"/>
      <c r="AB216" s="246"/>
      <c r="AC216" s="237"/>
      <c r="AD216" s="238"/>
      <c r="AE216" s="224"/>
      <c r="AF216" s="39"/>
      <c r="AG216" s="240"/>
      <c r="AH216" s="239"/>
      <c r="AI216" s="244"/>
      <c r="AJ216" s="246"/>
      <c r="AK216" s="237"/>
      <c r="AL216" s="238"/>
      <c r="AM216" s="224"/>
      <c r="AN216" s="39"/>
      <c r="AO216" s="240"/>
      <c r="AP216" s="239"/>
      <c r="AQ216" s="244"/>
      <c r="AR216" s="246"/>
      <c r="AS216" s="237"/>
      <c r="AT216" s="238"/>
      <c r="AU216" s="224"/>
      <c r="AV216" s="39"/>
      <c r="AW216" s="240"/>
      <c r="AX216" s="239"/>
      <c r="AY216" s="244"/>
      <c r="AZ216" s="246"/>
      <c r="BA216" s="237"/>
      <c r="BB216" s="238"/>
      <c r="BC216" s="224"/>
      <c r="BD216" s="39"/>
      <c r="BE216" s="240"/>
      <c r="BF216" s="239"/>
      <c r="BG216" s="244"/>
      <c r="BH216" s="246"/>
      <c r="BI216" s="237"/>
      <c r="BJ216" s="238"/>
      <c r="BK216" s="224"/>
      <c r="BL216" s="39"/>
      <c r="BM216" s="240"/>
      <c r="BN216" s="239"/>
      <c r="BO216" s="244"/>
      <c r="BP216" s="246"/>
      <c r="BQ216" s="237"/>
      <c r="BR216" s="238"/>
      <c r="BS216" s="224"/>
      <c r="BT216" s="39"/>
      <c r="BU216" s="240"/>
      <c r="BV216" s="239"/>
      <c r="BW216" s="244"/>
      <c r="BX216" s="246"/>
      <c r="BY216" s="237"/>
      <c r="BZ216" s="238"/>
      <c r="CA216" s="224"/>
      <c r="CB216" s="39"/>
      <c r="CC216" s="240"/>
      <c r="CD216" s="239"/>
      <c r="CE216" s="244"/>
      <c r="CF216" s="246"/>
      <c r="CG216" s="237"/>
      <c r="CH216" s="238"/>
      <c r="CI216" s="224"/>
      <c r="CJ216" s="39"/>
      <c r="CK216" s="240"/>
      <c r="CL216" s="239"/>
      <c r="CM216" s="244"/>
      <c r="CN216" s="246"/>
      <c r="CO216" s="237"/>
      <c r="CP216" s="238"/>
      <c r="CQ216" s="224"/>
      <c r="CR216" s="39"/>
      <c r="CS216" s="240"/>
      <c r="CT216" s="239"/>
      <c r="CU216" s="244"/>
      <c r="CV216" s="246"/>
      <c r="CW216" s="237"/>
      <c r="CX216" s="238"/>
      <c r="CY216" s="224"/>
      <c r="CZ216" s="39"/>
      <c r="DA216" s="240"/>
      <c r="DB216" s="239"/>
      <c r="DC216" s="244"/>
      <c r="DD216" s="246"/>
      <c r="DE216" s="237"/>
      <c r="DF216" s="238"/>
      <c r="DG216" s="224"/>
      <c r="DH216" s="39"/>
      <c r="DI216" s="240"/>
      <c r="DJ216" s="239"/>
      <c r="DK216" s="244"/>
      <c r="DL216" s="246"/>
      <c r="DM216" s="237"/>
      <c r="DN216" s="238"/>
      <c r="DO216" s="224"/>
      <c r="DP216" s="39"/>
      <c r="DQ216" s="240"/>
      <c r="DR216" s="239"/>
      <c r="DS216" s="244"/>
      <c r="DT216" s="246"/>
      <c r="DU216" s="237"/>
      <c r="DV216" s="238"/>
      <c r="DW216" s="224"/>
      <c r="DX216" s="39"/>
      <c r="DY216" s="240"/>
      <c r="DZ216" s="239"/>
      <c r="EA216" s="244"/>
      <c r="EB216" s="246"/>
      <c r="EC216" s="237"/>
      <c r="ED216" s="238"/>
      <c r="EE216" s="224"/>
      <c r="EF216" s="39"/>
      <c r="EG216" s="240"/>
      <c r="EH216" s="239"/>
      <c r="EI216" s="244"/>
      <c r="EJ216" s="246"/>
      <c r="EK216" s="237"/>
      <c r="EL216" s="238"/>
      <c r="EM216" s="224"/>
      <c r="EN216" s="39"/>
      <c r="EO216" s="240"/>
      <c r="EP216" s="239"/>
      <c r="EQ216" s="244"/>
      <c r="ER216" s="246"/>
      <c r="ES216" s="237"/>
      <c r="ET216" s="238"/>
      <c r="EU216" s="224"/>
      <c r="EV216" s="39"/>
      <c r="EW216" s="240"/>
      <c r="EX216" s="239"/>
      <c r="EY216" s="244"/>
      <c r="EZ216" s="246"/>
      <c r="FA216" s="237"/>
      <c r="FB216" s="238"/>
      <c r="FC216" s="224"/>
      <c r="FD216" s="39"/>
      <c r="FE216" s="240"/>
      <c r="FF216" s="239"/>
      <c r="FG216" s="244"/>
      <c r="FH216" s="246"/>
      <c r="FI216" s="237"/>
      <c r="FJ216" s="238"/>
      <c r="FK216" s="224"/>
      <c r="FL216" s="39"/>
      <c r="FM216" s="240"/>
      <c r="FN216" s="239"/>
      <c r="FO216" s="244"/>
      <c r="FP216" s="246"/>
      <c r="FQ216" s="237"/>
      <c r="FR216" s="238"/>
      <c r="FS216" s="224"/>
      <c r="FT216" s="39"/>
      <c r="FU216" s="240"/>
      <c r="FV216" s="239"/>
      <c r="FW216" s="244"/>
      <c r="FX216" s="246"/>
      <c r="FY216" s="237"/>
      <c r="FZ216" s="238"/>
      <c r="GA216" s="224"/>
      <c r="GB216" s="39"/>
      <c r="GC216" s="240"/>
      <c r="GD216" s="239"/>
      <c r="GE216" s="244"/>
      <c r="GF216" s="246"/>
      <c r="GG216" s="237"/>
      <c r="GH216" s="238"/>
      <c r="GI216" s="224"/>
      <c r="GJ216" s="39"/>
      <c r="GK216" s="240"/>
      <c r="GL216" s="239"/>
      <c r="GM216" s="244"/>
      <c r="GN216" s="246"/>
      <c r="GO216" s="237"/>
      <c r="GP216" s="238"/>
      <c r="GQ216" s="224"/>
      <c r="GR216" s="39"/>
      <c r="GS216" s="240"/>
      <c r="GT216" s="239"/>
      <c r="GU216" s="244"/>
      <c r="GV216" s="246"/>
      <c r="GW216" s="237"/>
      <c r="GX216" s="238"/>
      <c r="GY216" s="224"/>
      <c r="GZ216" s="39"/>
      <c r="HA216" s="240"/>
      <c r="HB216" s="239"/>
      <c r="HC216" s="244"/>
      <c r="HD216" s="246"/>
      <c r="HE216" s="237"/>
      <c r="HF216" s="238"/>
      <c r="HG216" s="224"/>
      <c r="HH216" s="39"/>
      <c r="HI216" s="240"/>
      <c r="HJ216" s="239"/>
      <c r="HK216" s="244"/>
      <c r="HL216" s="246"/>
      <c r="HM216" s="237"/>
      <c r="HN216" s="238"/>
      <c r="HO216" s="224"/>
      <c r="HP216" s="39"/>
      <c r="HQ216" s="240"/>
      <c r="HR216" s="239"/>
      <c r="HS216" s="244"/>
      <c r="HT216" s="246"/>
      <c r="HU216" s="237"/>
      <c r="HV216" s="238"/>
      <c r="HW216" s="224"/>
      <c r="HX216" s="39"/>
      <c r="HY216" s="240"/>
      <c r="HZ216" s="239"/>
      <c r="IA216" s="244"/>
      <c r="IB216" s="246"/>
      <c r="IC216" s="237"/>
      <c r="ID216" s="238"/>
      <c r="IE216" s="224"/>
      <c r="IF216" s="39"/>
      <c r="IG216" s="240"/>
      <c r="IH216" s="239"/>
      <c r="II216" s="244"/>
      <c r="IJ216" s="246"/>
      <c r="IK216" s="237"/>
      <c r="IL216" s="238"/>
      <c r="IM216" s="224"/>
      <c r="IN216" s="39"/>
      <c r="IO216" s="240"/>
      <c r="IP216" s="239"/>
      <c r="IQ216" s="244"/>
      <c r="IR216" s="246"/>
      <c r="IS216" s="237"/>
      <c r="IT216" s="238"/>
    </row>
    <row r="217" spans="1:254" x14ac:dyDescent="0.2">
      <c r="D217" s="338"/>
      <c r="E217" s="324"/>
      <c r="F217" s="363"/>
    </row>
    <row r="219" spans="1:254" x14ac:dyDescent="0.2">
      <c r="A219" s="240" t="s">
        <v>258</v>
      </c>
    </row>
    <row r="220" spans="1:254" ht="12.75" customHeight="1" x14ac:dyDescent="0.2">
      <c r="A220" s="92" t="s">
        <v>1024</v>
      </c>
      <c r="B220" s="1450" t="s">
        <v>1696</v>
      </c>
      <c r="C220" s="1451"/>
      <c r="D220" s="1451"/>
    </row>
    <row r="221" spans="1:254" ht="77.25" customHeight="1" x14ac:dyDescent="0.2">
      <c r="A221" s="92" t="s">
        <v>1025</v>
      </c>
      <c r="B221" s="1423" t="s">
        <v>2245</v>
      </c>
      <c r="C221" s="1424"/>
      <c r="D221" s="1424"/>
      <c r="E221" s="1425"/>
      <c r="F221" s="1425"/>
    </row>
    <row r="222" spans="1:254" ht="12.75" customHeight="1" x14ac:dyDescent="0.2">
      <c r="A222" s="92" t="s">
        <v>1026</v>
      </c>
      <c r="B222" s="1438" t="s">
        <v>1027</v>
      </c>
      <c r="C222" s="1439"/>
      <c r="D222" s="1439"/>
      <c r="E222" s="1440"/>
      <c r="F222" s="1440"/>
    </row>
    <row r="223" spans="1:254" ht="12.75" customHeight="1" x14ac:dyDescent="0.2">
      <c r="A223" s="77" t="s">
        <v>1028</v>
      </c>
      <c r="B223" s="1423" t="s">
        <v>1741</v>
      </c>
      <c r="C223" s="1439"/>
      <c r="D223" s="1439"/>
      <c r="E223" s="1440"/>
      <c r="F223" s="1440"/>
    </row>
    <row r="224" spans="1:254" ht="12.75" customHeight="1" x14ac:dyDescent="0.2">
      <c r="A224" s="92" t="s">
        <v>1029</v>
      </c>
      <c r="B224" s="1438" t="s">
        <v>1030</v>
      </c>
      <c r="C224" s="1439"/>
      <c r="D224" s="1439"/>
      <c r="E224" s="1440"/>
      <c r="F224" s="1440"/>
    </row>
    <row r="225" spans="1:8" ht="12.75" customHeight="1" x14ac:dyDescent="0.2">
      <c r="A225" s="77" t="s">
        <v>1031</v>
      </c>
      <c r="B225" s="1438" t="s">
        <v>1032</v>
      </c>
      <c r="C225" s="1439"/>
      <c r="D225" s="1439"/>
      <c r="E225" s="1440"/>
      <c r="F225" s="1440"/>
    </row>
    <row r="226" spans="1:8" ht="12.75" customHeight="1" x14ac:dyDescent="0.2">
      <c r="A226" s="77" t="s">
        <v>1033</v>
      </c>
      <c r="B226" s="1423" t="s">
        <v>2021</v>
      </c>
      <c r="C226" s="1424"/>
      <c r="D226" s="1424"/>
      <c r="E226" s="1446"/>
      <c r="F226" s="1446"/>
    </row>
    <row r="227" spans="1:8" ht="12.75" customHeight="1" x14ac:dyDescent="0.2">
      <c r="A227" s="77"/>
      <c r="B227" s="1446"/>
      <c r="C227" s="1446"/>
      <c r="D227" s="1446"/>
      <c r="E227" s="1446"/>
      <c r="F227" s="1446"/>
    </row>
    <row r="228" spans="1:8" ht="12.75" customHeight="1" x14ac:dyDescent="0.2">
      <c r="A228" s="77"/>
      <c r="B228" s="1438" t="s">
        <v>1034</v>
      </c>
      <c r="C228" s="1439"/>
      <c r="D228" s="378">
        <v>4.2939999999999999E-2</v>
      </c>
      <c r="E228" s="1201" t="s">
        <v>2054</v>
      </c>
      <c r="F228" s="697" t="s">
        <v>2696</v>
      </c>
      <c r="G228" s="698"/>
    </row>
    <row r="229" spans="1:8" ht="26.25" customHeight="1" x14ac:dyDescent="0.2">
      <c r="A229" s="77" t="s">
        <v>1035</v>
      </c>
      <c r="B229" s="1438" t="s">
        <v>1036</v>
      </c>
      <c r="C229" s="1439"/>
      <c r="D229" s="1439"/>
      <c r="E229" s="1440"/>
      <c r="F229" s="1440"/>
    </row>
    <row r="230" spans="1:8" ht="27.75" customHeight="1" x14ac:dyDescent="0.2">
      <c r="A230" s="77" t="s">
        <v>1037</v>
      </c>
      <c r="B230" s="1438" t="s">
        <v>1038</v>
      </c>
      <c r="C230" s="1439"/>
      <c r="D230" s="1439"/>
      <c r="E230" s="1440"/>
      <c r="F230" s="1440"/>
    </row>
    <row r="231" spans="1:8" ht="25.5" customHeight="1" x14ac:dyDescent="0.2">
      <c r="A231" s="92" t="s">
        <v>1039</v>
      </c>
      <c r="B231" s="1438" t="s">
        <v>1040</v>
      </c>
      <c r="C231" s="1439"/>
      <c r="D231" s="1439"/>
      <c r="E231" s="1440"/>
      <c r="F231" s="1440"/>
    </row>
    <row r="232" spans="1:8" ht="39.950000000000003" customHeight="1" x14ac:dyDescent="0.2">
      <c r="A232" s="77" t="s">
        <v>1041</v>
      </c>
      <c r="B232" s="1423" t="s">
        <v>2055</v>
      </c>
      <c r="C232" s="1424"/>
      <c r="D232" s="1424"/>
      <c r="E232" s="1425"/>
      <c r="F232" s="1425"/>
      <c r="G232" s="338"/>
    </row>
    <row r="233" spans="1:8" ht="26.1" customHeight="1" x14ac:dyDescent="0.2">
      <c r="A233" s="77" t="s">
        <v>1042</v>
      </c>
      <c r="B233" s="1423" t="s">
        <v>2022</v>
      </c>
      <c r="C233" s="1424"/>
      <c r="D233" s="1424"/>
      <c r="E233" s="1446"/>
      <c r="F233" s="1446"/>
      <c r="G233" s="1446"/>
    </row>
    <row r="234" spans="1:8" ht="12.75" customHeight="1" x14ac:dyDescent="0.2">
      <c r="A234" s="77"/>
      <c r="B234" s="1438" t="s">
        <v>1034</v>
      </c>
      <c r="C234" s="1439"/>
      <c r="D234" s="378">
        <v>4.2939999999999999E-2</v>
      </c>
      <c r="E234" s="1201" t="s">
        <v>2054</v>
      </c>
      <c r="F234" s="697" t="s">
        <v>2696</v>
      </c>
      <c r="G234" s="698"/>
    </row>
    <row r="235" spans="1:8" ht="12.75" customHeight="1" x14ac:dyDescent="0.2">
      <c r="A235" s="77" t="s">
        <v>1043</v>
      </c>
      <c r="B235" s="1423" t="s">
        <v>2628</v>
      </c>
      <c r="C235" s="1424"/>
      <c r="D235" s="1424"/>
      <c r="E235" s="1446"/>
      <c r="F235" s="1446"/>
      <c r="G235" s="1446"/>
      <c r="H235" s="1446"/>
    </row>
    <row r="236" spans="1:8" ht="12.75" customHeight="1" x14ac:dyDescent="0.2">
      <c r="A236" s="77" t="s">
        <v>1044</v>
      </c>
      <c r="B236" s="1423" t="s">
        <v>2629</v>
      </c>
      <c r="C236" s="1424"/>
      <c r="D236" s="1424"/>
      <c r="E236" s="1446"/>
      <c r="F236" s="1446"/>
      <c r="G236" s="1446"/>
    </row>
    <row r="237" spans="1:8" ht="25.5" customHeight="1" x14ac:dyDescent="0.2">
      <c r="A237" s="668" t="s">
        <v>1944</v>
      </c>
      <c r="B237" s="1423" t="s">
        <v>2083</v>
      </c>
      <c r="C237" s="1424"/>
      <c r="D237" s="1424"/>
      <c r="E237" s="1425"/>
      <c r="F237" s="1425"/>
      <c r="G237" s="338"/>
    </row>
    <row r="238" spans="1:8" x14ac:dyDescent="0.2">
      <c r="A238" s="668" t="s">
        <v>2056</v>
      </c>
      <c r="B238" s="639" t="s">
        <v>2123</v>
      </c>
      <c r="C238" s="40"/>
      <c r="E238" s="40"/>
      <c r="F238" s="40"/>
      <c r="G238" s="338"/>
    </row>
    <row r="239" spans="1:8" x14ac:dyDescent="0.2">
      <c r="A239" s="668" t="s">
        <v>2089</v>
      </c>
      <c r="B239" s="639" t="s">
        <v>2219</v>
      </c>
      <c r="C239" s="40"/>
      <c r="E239" s="338"/>
      <c r="F239" s="338"/>
      <c r="G239" s="338"/>
    </row>
    <row r="240" spans="1:8" x14ac:dyDescent="0.2">
      <c r="A240" s="40"/>
      <c r="B240" s="639" t="s">
        <v>2220</v>
      </c>
      <c r="C240" s="40"/>
      <c r="E240" s="338"/>
      <c r="F240" s="338"/>
      <c r="G240" s="338"/>
    </row>
    <row r="241" spans="1:7" x14ac:dyDescent="0.2">
      <c r="A241" s="40"/>
      <c r="B241" s="639" t="s">
        <v>2221</v>
      </c>
      <c r="C241" s="40"/>
      <c r="E241" s="338"/>
      <c r="F241" s="338"/>
      <c r="G241" s="338"/>
    </row>
    <row r="242" spans="1:7" x14ac:dyDescent="0.2">
      <c r="A242" s="40"/>
      <c r="B242" s="639" t="s">
        <v>2222</v>
      </c>
      <c r="C242" s="40"/>
      <c r="E242" s="338"/>
      <c r="F242" s="338"/>
      <c r="G242" s="338"/>
    </row>
  </sheetData>
  <autoFilter ref="A1:O238"/>
  <mergeCells count="46">
    <mergeCell ref="B235:H235"/>
    <mergeCell ref="B236:G236"/>
    <mergeCell ref="B128:D128"/>
    <mergeCell ref="B231:F231"/>
    <mergeCell ref="B232:F232"/>
    <mergeCell ref="B234:C234"/>
    <mergeCell ref="B233:G233"/>
    <mergeCell ref="B158:D158"/>
    <mergeCell ref="B183:D183"/>
    <mergeCell ref="B163:D163"/>
    <mergeCell ref="B192:C192"/>
    <mergeCell ref="B220:D220"/>
    <mergeCell ref="B157:D157"/>
    <mergeCell ref="B152:D152"/>
    <mergeCell ref="B228:C228"/>
    <mergeCell ref="B226:F227"/>
    <mergeCell ref="B230:F230"/>
    <mergeCell ref="B221:F221"/>
    <mergeCell ref="B188:C188"/>
    <mergeCell ref="B189:C189"/>
    <mergeCell ref="B191:C191"/>
    <mergeCell ref="B196:D196"/>
    <mergeCell ref="B198:D198"/>
    <mergeCell ref="B197:D197"/>
    <mergeCell ref="B190:C190"/>
    <mergeCell ref="B222:F222"/>
    <mergeCell ref="B223:F223"/>
    <mergeCell ref="B225:F225"/>
    <mergeCell ref="B224:F224"/>
    <mergeCell ref="B229:F229"/>
    <mergeCell ref="B237:F237"/>
    <mergeCell ref="J2:M2"/>
    <mergeCell ref="G2:I2"/>
    <mergeCell ref="B185:D185"/>
    <mergeCell ref="B153:D153"/>
    <mergeCell ref="B68:D68"/>
    <mergeCell ref="B37:D37"/>
    <mergeCell ref="B29:D29"/>
    <mergeCell ref="B184:D184"/>
    <mergeCell ref="B162:D162"/>
    <mergeCell ref="B9:D9"/>
    <mergeCell ref="B10:D10"/>
    <mergeCell ref="B36:D36"/>
    <mergeCell ref="B28:D28"/>
    <mergeCell ref="B67:D67"/>
    <mergeCell ref="B129:D129"/>
  </mergeCells>
  <conditionalFormatting sqref="A224:A225 C159:C161 C130:C151 D73 C2:C8 C154:C156 C239:C65548 A229:A230 C163:C172 A232:A235 C217:C219 C30:C35 C38:C66 C69:C127 C200:C214 A237:A238 C11:C27">
    <cfRule type="cellIs" dxfId="5" priority="6" stopIfTrue="1" operator="between">
      <formula>4990000</formula>
      <formula>4999999</formula>
    </cfRule>
  </conditionalFormatting>
  <conditionalFormatting sqref="A236">
    <cfRule type="cellIs" dxfId="4" priority="5" stopIfTrue="1" operator="between">
      <formula>4990000</formula>
      <formula>4999999</formula>
    </cfRule>
  </conditionalFormatting>
  <conditionalFormatting sqref="A226:A228">
    <cfRule type="cellIs" dxfId="3" priority="4" stopIfTrue="1" operator="between">
      <formula>4990000</formula>
      <formula>4999999</formula>
    </cfRule>
  </conditionalFormatting>
  <conditionalFormatting sqref="K215:K216 Q215:Q216 Y215:Y216 AG215:AG216 AO215:AO216 AW215:AW216 BE215:BE216 BM215:BM216 BU215:BU216 CC215:CC216 CK215:CK216 CS215:CS216 DA215:DA216 DI215:DI216 DQ215:DQ216 DY215:DY216 EG215:EG216 EO215:EO216 EW215:EW216 FE215:FE216 FM215:FM216 FU215:FU216 GC215:GC216 GK215:GK216 GS215:GS216 HA215:HA216 HI215:HI216 HQ215:HQ216 HY215:HY216 IG215:IG216 IO215:IO216">
    <cfRule type="cellIs" dxfId="2" priority="3" stopIfTrue="1" operator="between">
      <formula>4990000</formula>
      <formula>4999999</formula>
    </cfRule>
  </conditionalFormatting>
  <conditionalFormatting sqref="C215:C216">
    <cfRule type="cellIs" dxfId="1" priority="2" stopIfTrue="1" operator="between">
      <formula>4990000</formula>
      <formula>4999999</formula>
    </cfRule>
  </conditionalFormatting>
  <conditionalFormatting sqref="A239">
    <cfRule type="cellIs" dxfId="0" priority="1" stopIfTrue="1" operator="between">
      <formula>4990000</formula>
      <formula>4999999</formula>
    </cfRule>
  </conditionalFormatting>
  <pageMargins left="0.7" right="0.7" top="0.75" bottom="0.75" header="0.3" footer="0.3"/>
  <pageSetup scale="50" orientation="landscape" cellComments="asDisplayed" r:id="rId1"/>
  <headerFooter>
    <oddHeader>&amp;CSchedule 21
Revenue Credits
&amp;RTO8 Annual Update (Revised)
Attachment  1</oddHeader>
    <oddFooter>&amp;R21-RevenueCredits</oddFooter>
  </headerFooter>
  <rowBreaks count="3" manualBreakCount="3">
    <brk id="68" max="16383" man="1"/>
    <brk id="129" max="16383" man="1"/>
    <brk id="18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Layout" zoomScaleNormal="85" workbookViewId="0">
      <selection activeCell="D27" sqref="D27"/>
    </sheetView>
  </sheetViews>
  <sheetFormatPr defaultRowHeight="12.75" x14ac:dyDescent="0.2"/>
  <cols>
    <col min="1" max="1" width="4.7109375" style="62" customWidth="1"/>
    <col min="2" max="2" width="14" customWidth="1"/>
    <col min="3" max="3" width="26.85546875" customWidth="1"/>
    <col min="4" max="4" width="28.5703125" customWidth="1"/>
    <col min="5" max="5" width="16.28515625" bestFit="1" customWidth="1"/>
    <col min="6" max="6" width="20.7109375" style="411" customWidth="1"/>
    <col min="7" max="7" width="9.7109375" customWidth="1"/>
  </cols>
  <sheetData>
    <row r="1" spans="1:7" x14ac:dyDescent="0.2">
      <c r="A1" s="89" t="s">
        <v>1189</v>
      </c>
      <c r="C1" s="89"/>
      <c r="D1" s="89"/>
      <c r="E1" s="89"/>
    </row>
    <row r="2" spans="1:7" x14ac:dyDescent="0.2">
      <c r="A2" s="89"/>
      <c r="C2" s="89"/>
      <c r="D2" s="89"/>
      <c r="E2" s="1146" t="s">
        <v>2031</v>
      </c>
      <c r="F2" s="447">
        <v>2012</v>
      </c>
    </row>
    <row r="3" spans="1:7" x14ac:dyDescent="0.2">
      <c r="B3" s="89" t="s">
        <v>1226</v>
      </c>
      <c r="C3" s="89"/>
      <c r="D3" s="89"/>
      <c r="E3" s="89"/>
    </row>
    <row r="4" spans="1:7" ht="15" x14ac:dyDescent="0.25">
      <c r="A4" s="52" t="s">
        <v>362</v>
      </c>
      <c r="C4" s="89"/>
      <c r="E4" s="3" t="s">
        <v>1059</v>
      </c>
      <c r="F4" s="412" t="s">
        <v>189</v>
      </c>
    </row>
    <row r="5" spans="1:7" ht="15" x14ac:dyDescent="0.25">
      <c r="A5" s="260">
        <v>1</v>
      </c>
      <c r="B5" s="51" t="s">
        <v>1190</v>
      </c>
      <c r="C5" s="51"/>
      <c r="D5" s="413"/>
      <c r="E5" s="887">
        <v>18816506</v>
      </c>
      <c r="F5" s="415" t="s">
        <v>238</v>
      </c>
    </row>
    <row r="6" spans="1:7" ht="15" x14ac:dyDescent="0.25">
      <c r="A6" s="260">
        <v>2</v>
      </c>
      <c r="B6" s="413" t="s">
        <v>1191</v>
      </c>
      <c r="C6" s="413"/>
      <c r="D6" s="413"/>
      <c r="E6" s="466">
        <v>119334857</v>
      </c>
      <c r="F6" s="415" t="s">
        <v>35</v>
      </c>
    </row>
    <row r="7" spans="1:7" ht="15" x14ac:dyDescent="0.25">
      <c r="A7" s="260">
        <v>3</v>
      </c>
      <c r="B7" s="51" t="s">
        <v>1192</v>
      </c>
      <c r="C7" s="51"/>
      <c r="D7" s="51"/>
      <c r="E7" s="60">
        <f>E5+E6</f>
        <v>138151363</v>
      </c>
      <c r="F7" s="13" t="str">
        <f>"Line "&amp;A5&amp;" + Line "&amp;A6&amp;""</f>
        <v>Line 1 + Line 2</v>
      </c>
    </row>
    <row r="8" spans="1:7" ht="15.75" x14ac:dyDescent="0.25">
      <c r="A8" s="416">
        <v>4</v>
      </c>
      <c r="B8" s="1452" t="s">
        <v>1193</v>
      </c>
      <c r="C8" s="1453"/>
      <c r="D8" s="1453"/>
      <c r="E8" s="414">
        <v>138151363</v>
      </c>
      <c r="F8" s="418" t="s">
        <v>1389</v>
      </c>
      <c r="G8" s="400"/>
    </row>
    <row r="9" spans="1:7" ht="15" x14ac:dyDescent="0.25">
      <c r="A9" s="416"/>
      <c r="B9" s="417"/>
      <c r="C9" s="419"/>
      <c r="D9" s="419"/>
      <c r="E9" s="420"/>
      <c r="F9" s="429"/>
      <c r="G9" s="400"/>
    </row>
    <row r="10" spans="1:7" ht="15" x14ac:dyDescent="0.25">
      <c r="A10" s="416"/>
      <c r="B10" s="89" t="s">
        <v>1227</v>
      </c>
      <c r="C10" s="419"/>
      <c r="D10" s="419"/>
      <c r="E10" s="420"/>
      <c r="F10" s="418"/>
      <c r="G10" s="400"/>
    </row>
    <row r="11" spans="1:7" ht="15" x14ac:dyDescent="0.25">
      <c r="A11" s="421"/>
      <c r="B11" s="51"/>
      <c r="C11" s="51"/>
      <c r="D11" s="51"/>
      <c r="E11" s="60"/>
      <c r="F11" s="418"/>
      <c r="G11" s="400"/>
    </row>
    <row r="12" spans="1:7" ht="15" x14ac:dyDescent="0.25">
      <c r="A12" s="421">
        <v>5</v>
      </c>
      <c r="B12" s="51" t="s">
        <v>1190</v>
      </c>
      <c r="C12" s="51"/>
      <c r="D12" s="51"/>
      <c r="E12" s="414">
        <v>12374574</v>
      </c>
      <c r="F12" s="418" t="s">
        <v>313</v>
      </c>
      <c r="G12" s="400"/>
    </row>
    <row r="13" spans="1:7" ht="15" x14ac:dyDescent="0.25">
      <c r="A13" s="421">
        <v>6</v>
      </c>
      <c r="B13" s="51" t="s">
        <v>1191</v>
      </c>
      <c r="C13" s="51"/>
      <c r="D13" s="51"/>
      <c r="E13" s="1241">
        <v>136173048</v>
      </c>
      <c r="F13" s="415" t="s">
        <v>35</v>
      </c>
      <c r="G13" s="400"/>
    </row>
    <row r="14" spans="1:7" ht="15" x14ac:dyDescent="0.25">
      <c r="A14" s="421">
        <v>7</v>
      </c>
      <c r="B14" s="51" t="s">
        <v>1192</v>
      </c>
      <c r="C14" s="51"/>
      <c r="D14" s="51"/>
      <c r="E14" s="420">
        <f>E12+E13</f>
        <v>148547622</v>
      </c>
      <c r="F14" s="13" t="str">
        <f>"Line "&amp;A12&amp;" + Line "&amp;A13&amp;""</f>
        <v>Line 5 + Line 6</v>
      </c>
      <c r="G14" s="400"/>
    </row>
    <row r="15" spans="1:7" ht="15.75" x14ac:dyDescent="0.25">
      <c r="A15" s="416">
        <v>8</v>
      </c>
      <c r="B15" s="1452" t="s">
        <v>1194</v>
      </c>
      <c r="C15" s="1453"/>
      <c r="D15" s="1453"/>
      <c r="E15" s="887">
        <v>148547622</v>
      </c>
      <c r="F15" s="418" t="s">
        <v>1195</v>
      </c>
      <c r="G15" s="400"/>
    </row>
    <row r="16" spans="1:7" ht="15" x14ac:dyDescent="0.25">
      <c r="A16" s="260"/>
      <c r="B16" s="51"/>
      <c r="C16" s="51"/>
      <c r="D16" s="51"/>
      <c r="E16" s="60"/>
      <c r="F16" s="415"/>
    </row>
    <row r="17" spans="1:7" ht="15" x14ac:dyDescent="0.25">
      <c r="A17" s="260">
        <v>9</v>
      </c>
      <c r="B17" s="51" t="s">
        <v>1196</v>
      </c>
      <c r="C17" s="51"/>
      <c r="D17" s="51"/>
      <c r="E17" s="60">
        <f>(E5+E12)/2</f>
        <v>15595540</v>
      </c>
      <c r="F17" s="16" t="str">
        <f>"(Line "&amp;A5&amp;" + Line "&amp;A12&amp;") / 2"</f>
        <v>(Line 1 + Line 5) / 2</v>
      </c>
      <c r="G17" s="422"/>
    </row>
    <row r="18" spans="1:7" ht="15" x14ac:dyDescent="0.25">
      <c r="A18" s="260"/>
      <c r="B18" s="413"/>
      <c r="C18" s="423"/>
      <c r="D18" s="424"/>
      <c r="E18" s="425"/>
      <c r="F18" s="415"/>
    </row>
    <row r="19" spans="1:7" ht="15" x14ac:dyDescent="0.25">
      <c r="A19" s="260">
        <v>10</v>
      </c>
      <c r="B19" s="413" t="s">
        <v>1197</v>
      </c>
      <c r="C19" s="423"/>
      <c r="D19" s="423"/>
      <c r="E19" s="426">
        <v>617891</v>
      </c>
      <c r="F19" s="430" t="s">
        <v>1050</v>
      </c>
    </row>
    <row r="20" spans="1:7" ht="15" x14ac:dyDescent="0.25">
      <c r="A20" s="260">
        <v>11</v>
      </c>
      <c r="B20" s="413" t="s">
        <v>1198</v>
      </c>
      <c r="C20" s="423"/>
      <c r="D20" s="423"/>
      <c r="E20" s="466">
        <v>842258840</v>
      </c>
      <c r="F20" s="415" t="s">
        <v>35</v>
      </c>
    </row>
    <row r="21" spans="1:7" ht="15" x14ac:dyDescent="0.25">
      <c r="A21" s="260">
        <v>12</v>
      </c>
      <c r="B21" s="413" t="s">
        <v>1199</v>
      </c>
      <c r="C21" s="423"/>
      <c r="D21" s="423"/>
      <c r="E21" s="427">
        <f>E19+E20</f>
        <v>842876731</v>
      </c>
      <c r="F21" s="13" t="str">
        <f>"Line "&amp;A19&amp;" + Line "&amp;A20&amp;""</f>
        <v>Line 10 + Line 11</v>
      </c>
    </row>
    <row r="22" spans="1:7" ht="15" x14ac:dyDescent="0.25">
      <c r="A22" s="260">
        <v>13</v>
      </c>
      <c r="B22" s="1452" t="s">
        <v>1200</v>
      </c>
      <c r="C22" s="1453"/>
      <c r="D22" s="1453"/>
      <c r="E22" s="888">
        <v>842876731</v>
      </c>
      <c r="F22" s="415" t="s">
        <v>1201</v>
      </c>
    </row>
    <row r="23" spans="1:7" x14ac:dyDescent="0.2">
      <c r="C23" s="61"/>
      <c r="D23" s="61"/>
    </row>
    <row r="24" spans="1:7" x14ac:dyDescent="0.2">
      <c r="C24" s="61"/>
      <c r="D24" s="61"/>
    </row>
    <row r="25" spans="1:7" x14ac:dyDescent="0.2">
      <c r="A25" s="52" t="s">
        <v>258</v>
      </c>
    </row>
    <row r="26" spans="1:7" x14ac:dyDescent="0.2">
      <c r="A26" s="62">
        <v>1</v>
      </c>
      <c r="B26" s="12" t="s">
        <v>1225</v>
      </c>
    </row>
    <row r="27" spans="1:7" x14ac:dyDescent="0.2">
      <c r="A27" s="62">
        <v>2</v>
      </c>
      <c r="B27" s="12" t="s">
        <v>1228</v>
      </c>
    </row>
    <row r="28" spans="1:7" x14ac:dyDescent="0.2">
      <c r="A28" s="62">
        <v>3</v>
      </c>
      <c r="B28" t="s">
        <v>1941</v>
      </c>
    </row>
    <row r="29" spans="1:7" x14ac:dyDescent="0.2">
      <c r="A29" s="62">
        <v>4</v>
      </c>
      <c r="B29" t="s">
        <v>2551</v>
      </c>
      <c r="E29" s="428"/>
    </row>
    <row r="30" spans="1:7" x14ac:dyDescent="0.2">
      <c r="B30" t="s">
        <v>2550</v>
      </c>
      <c r="E30" s="428"/>
    </row>
    <row r="31" spans="1:7" x14ac:dyDescent="0.2">
      <c r="E31" s="428"/>
    </row>
    <row r="32" spans="1:7" x14ac:dyDescent="0.2">
      <c r="A32"/>
      <c r="E32" s="428"/>
    </row>
    <row r="33" spans="1:5" x14ac:dyDescent="0.2">
      <c r="A33"/>
      <c r="E33" s="428"/>
    </row>
    <row r="34" spans="1:5" x14ac:dyDescent="0.2">
      <c r="A34"/>
      <c r="E34" s="428"/>
    </row>
    <row r="35" spans="1:5" x14ac:dyDescent="0.2">
      <c r="A35"/>
      <c r="E35" s="428"/>
    </row>
    <row r="39" spans="1:5" x14ac:dyDescent="0.2">
      <c r="A39"/>
      <c r="C39" s="106"/>
      <c r="D39" s="106"/>
      <c r="E39" s="106"/>
    </row>
    <row r="40" spans="1:5" x14ac:dyDescent="0.2">
      <c r="A40"/>
      <c r="C40" s="106"/>
      <c r="D40" s="106"/>
      <c r="E40" s="106"/>
    </row>
    <row r="41" spans="1:5" x14ac:dyDescent="0.2">
      <c r="A41"/>
      <c r="C41" s="106"/>
      <c r="D41" s="106"/>
      <c r="E41" s="106"/>
    </row>
    <row r="42" spans="1:5" x14ac:dyDescent="0.2">
      <c r="A42"/>
      <c r="C42" s="106"/>
      <c r="D42" s="106"/>
      <c r="E42" s="106"/>
    </row>
    <row r="43" spans="1:5" x14ac:dyDescent="0.2">
      <c r="A43"/>
      <c r="C43" s="106"/>
      <c r="D43" s="106"/>
      <c r="E43" s="106"/>
    </row>
    <row r="44" spans="1:5" x14ac:dyDescent="0.2">
      <c r="A44"/>
      <c r="C44" s="106"/>
      <c r="D44" s="106"/>
      <c r="E44" s="106"/>
    </row>
    <row r="45" spans="1:5" x14ac:dyDescent="0.2">
      <c r="A45"/>
      <c r="C45" s="106"/>
      <c r="D45" s="106"/>
      <c r="E45" s="106"/>
    </row>
    <row r="46" spans="1:5" x14ac:dyDescent="0.2">
      <c r="A46"/>
      <c r="C46" s="106"/>
      <c r="D46" s="106"/>
      <c r="E46" s="106"/>
    </row>
    <row r="47" spans="1:5" x14ac:dyDescent="0.2">
      <c r="A47"/>
      <c r="C47" s="106"/>
      <c r="D47" s="106"/>
      <c r="E47" s="106"/>
    </row>
    <row r="48" spans="1:5" x14ac:dyDescent="0.2">
      <c r="A48"/>
      <c r="C48" s="106"/>
      <c r="D48" s="106"/>
      <c r="E48" s="106"/>
    </row>
    <row r="49" spans="1:5" x14ac:dyDescent="0.2">
      <c r="A49"/>
      <c r="C49" s="106"/>
      <c r="D49" s="106"/>
      <c r="E49" s="106"/>
    </row>
    <row r="50" spans="1:5" x14ac:dyDescent="0.2">
      <c r="A50"/>
      <c r="C50" s="106"/>
      <c r="D50" s="106"/>
      <c r="E50" s="106"/>
    </row>
    <row r="51" spans="1:5" x14ac:dyDescent="0.2">
      <c r="A51"/>
      <c r="C51" s="106"/>
      <c r="D51" s="106"/>
      <c r="E51" s="106"/>
    </row>
    <row r="54" spans="1:5" x14ac:dyDescent="0.2">
      <c r="A54"/>
      <c r="E54" s="106"/>
    </row>
  </sheetData>
  <mergeCells count="3">
    <mergeCell ref="B8:D8"/>
    <mergeCell ref="B15:D15"/>
    <mergeCell ref="B22:D22"/>
  </mergeCells>
  <pageMargins left="0.7" right="0.7" top="0.75" bottom="0.75" header="0.3" footer="0.3"/>
  <pageSetup scale="75" orientation="portrait" cellComments="asDisplayed" r:id="rId1"/>
  <headerFooter>
    <oddHeader>&amp;CSchedule 22
Network Upgrade Credits and Interest Expense
&amp;RTO8 Annual Update (Revised)
Attachment  1</oddHeader>
    <oddFooter>&amp;R22-NUCs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Layout" zoomScaleNormal="100" workbookViewId="0"/>
  </sheetViews>
  <sheetFormatPr defaultRowHeight="12.75" x14ac:dyDescent="0.2"/>
  <cols>
    <col min="1" max="1" width="4.7109375" customWidth="1"/>
    <col min="2" max="2" width="30.7109375" customWidth="1"/>
    <col min="3" max="5" width="15.7109375" customWidth="1"/>
    <col min="6" max="6" width="3.7109375" customWidth="1"/>
    <col min="7" max="8" width="10.7109375" customWidth="1"/>
  </cols>
  <sheetData>
    <row r="1" spans="1:11" x14ac:dyDescent="0.2">
      <c r="A1" s="833" t="s">
        <v>2007</v>
      </c>
      <c r="B1" s="834"/>
      <c r="C1" s="834"/>
      <c r="D1" s="834"/>
      <c r="E1" s="834"/>
      <c r="F1" s="834"/>
      <c r="G1" s="834"/>
      <c r="H1" s="14"/>
      <c r="I1" s="14"/>
      <c r="J1" s="14"/>
      <c r="K1" s="14"/>
    </row>
    <row r="2" spans="1:11" x14ac:dyDescent="0.2">
      <c r="A2" s="14"/>
      <c r="B2" s="14"/>
      <c r="C2" s="14"/>
      <c r="D2" s="14"/>
      <c r="E2" s="14"/>
      <c r="F2" s="14"/>
      <c r="G2" s="14"/>
      <c r="H2" s="14"/>
      <c r="I2" s="14"/>
      <c r="J2" s="14"/>
      <c r="K2" s="14"/>
    </row>
    <row r="3" spans="1:11" x14ac:dyDescent="0.2">
      <c r="A3" s="835" t="s">
        <v>362</v>
      </c>
      <c r="B3" s="834"/>
      <c r="C3" s="834"/>
      <c r="D3" s="834"/>
      <c r="E3" s="834"/>
      <c r="F3" s="834"/>
      <c r="G3" s="834"/>
      <c r="H3" s="14"/>
      <c r="I3" s="14"/>
      <c r="J3" s="14"/>
      <c r="K3" s="14"/>
    </row>
    <row r="4" spans="1:11" x14ac:dyDescent="0.2">
      <c r="A4" s="836">
        <v>1</v>
      </c>
      <c r="B4" s="695" t="s">
        <v>1996</v>
      </c>
      <c r="C4" s="834"/>
      <c r="D4" s="834"/>
      <c r="E4" s="834"/>
      <c r="F4" s="834"/>
      <c r="G4" s="834"/>
      <c r="H4" s="14"/>
      <c r="I4" s="14"/>
      <c r="J4" s="14"/>
      <c r="K4" s="14"/>
    </row>
    <row r="5" spans="1:11" x14ac:dyDescent="0.2">
      <c r="A5" s="836">
        <v>2</v>
      </c>
      <c r="B5" s="695" t="s">
        <v>1997</v>
      </c>
      <c r="C5" s="834"/>
      <c r="D5" s="834"/>
      <c r="E5" s="834"/>
      <c r="F5" s="834"/>
      <c r="G5" s="834"/>
      <c r="H5" s="14"/>
      <c r="I5" s="14"/>
      <c r="J5" s="14"/>
      <c r="K5" s="14"/>
    </row>
    <row r="6" spans="1:11" x14ac:dyDescent="0.2">
      <c r="A6" s="836">
        <v>3</v>
      </c>
      <c r="B6" s="695" t="s">
        <v>1998</v>
      </c>
      <c r="C6" s="834"/>
      <c r="D6" s="834"/>
      <c r="E6" s="834"/>
      <c r="F6" s="834"/>
      <c r="G6" s="834"/>
      <c r="H6" s="14"/>
      <c r="I6" s="14"/>
      <c r="J6" s="14"/>
      <c r="K6" s="14"/>
    </row>
    <row r="7" spans="1:11" x14ac:dyDescent="0.2">
      <c r="A7" s="836">
        <v>4</v>
      </c>
      <c r="B7" s="834"/>
      <c r="C7" s="834"/>
      <c r="D7" s="834"/>
      <c r="E7" s="834"/>
      <c r="F7" s="834"/>
      <c r="G7" s="834"/>
      <c r="H7" s="14"/>
      <c r="I7" s="14"/>
      <c r="J7" s="14"/>
      <c r="K7" s="14"/>
    </row>
    <row r="8" spans="1:11" x14ac:dyDescent="0.2">
      <c r="A8" s="836">
        <v>5</v>
      </c>
      <c r="B8" s="695" t="s">
        <v>458</v>
      </c>
      <c r="C8" s="834"/>
      <c r="D8" s="834"/>
      <c r="E8" s="834"/>
      <c r="F8" s="834"/>
      <c r="G8" s="834"/>
      <c r="H8" s="14"/>
      <c r="I8" s="14"/>
      <c r="J8" s="14"/>
      <c r="K8" s="14"/>
    </row>
    <row r="9" spans="1:11" x14ac:dyDescent="0.2">
      <c r="A9" s="836">
        <v>6</v>
      </c>
      <c r="B9" s="695" t="s">
        <v>457</v>
      </c>
      <c r="C9" s="834"/>
      <c r="D9" s="834"/>
      <c r="E9" s="834"/>
      <c r="F9" s="834"/>
      <c r="G9" s="834"/>
      <c r="H9" s="14"/>
      <c r="I9" s="14"/>
      <c r="J9" s="14"/>
      <c r="K9" s="14"/>
    </row>
    <row r="10" spans="1:11" x14ac:dyDescent="0.2">
      <c r="A10" s="836">
        <v>7</v>
      </c>
      <c r="B10" s="834"/>
      <c r="C10" s="834"/>
      <c r="D10" s="834"/>
      <c r="E10" s="834"/>
      <c r="F10" s="834"/>
      <c r="G10" s="834"/>
      <c r="H10" s="14"/>
      <c r="I10" s="14"/>
      <c r="J10" s="14"/>
      <c r="K10" s="14"/>
    </row>
    <row r="11" spans="1:11" x14ac:dyDescent="0.2">
      <c r="A11" s="836">
        <v>8</v>
      </c>
      <c r="B11" s="695" t="s">
        <v>1999</v>
      </c>
      <c r="C11" s="834"/>
      <c r="D11" s="834"/>
      <c r="E11" s="834"/>
      <c r="F11" s="834"/>
      <c r="G11" s="834"/>
      <c r="H11" s="14"/>
      <c r="I11" s="14"/>
      <c r="J11" s="14"/>
      <c r="K11" s="14"/>
    </row>
    <row r="12" spans="1:11" x14ac:dyDescent="0.2">
      <c r="A12" s="836">
        <v>9</v>
      </c>
      <c r="B12" s="695" t="s">
        <v>2000</v>
      </c>
      <c r="C12" s="834"/>
      <c r="D12" s="834"/>
      <c r="E12" s="834"/>
      <c r="F12" s="834"/>
      <c r="G12" s="834"/>
      <c r="H12" s="14"/>
      <c r="I12" s="14"/>
      <c r="J12" s="14"/>
      <c r="K12" s="14"/>
    </row>
    <row r="13" spans="1:11" x14ac:dyDescent="0.2">
      <c r="A13" s="836">
        <v>10</v>
      </c>
      <c r="B13" s="695" t="s">
        <v>2001</v>
      </c>
      <c r="C13" s="834"/>
      <c r="D13" s="834"/>
      <c r="E13" s="834"/>
      <c r="F13" s="834"/>
      <c r="G13" s="834"/>
      <c r="H13" s="14"/>
      <c r="I13" s="14"/>
      <c r="J13" s="14"/>
      <c r="K13" s="14"/>
    </row>
    <row r="14" spans="1:11" x14ac:dyDescent="0.2">
      <c r="A14" s="836">
        <v>11</v>
      </c>
      <c r="B14" s="834"/>
      <c r="C14" s="834"/>
      <c r="D14" s="834"/>
      <c r="E14" s="834"/>
      <c r="F14" s="834"/>
      <c r="G14" s="834"/>
      <c r="H14" s="14"/>
      <c r="I14" s="14"/>
      <c r="J14" s="14"/>
      <c r="K14" s="14"/>
    </row>
    <row r="15" spans="1:11" x14ac:dyDescent="0.2">
      <c r="A15" s="836">
        <v>12</v>
      </c>
      <c r="B15" s="695"/>
      <c r="C15" s="834"/>
      <c r="D15" s="834"/>
      <c r="E15" s="836" t="s">
        <v>75</v>
      </c>
      <c r="F15" s="834"/>
      <c r="G15" s="834"/>
      <c r="H15" s="14"/>
      <c r="I15" s="14"/>
      <c r="J15" s="14"/>
      <c r="K15" s="14"/>
    </row>
    <row r="16" spans="1:11" x14ac:dyDescent="0.2">
      <c r="A16" s="836">
        <v>13</v>
      </c>
      <c r="B16" s="834"/>
      <c r="C16" s="834"/>
      <c r="D16" s="834"/>
      <c r="E16" s="1202" t="s">
        <v>196</v>
      </c>
      <c r="F16" s="834"/>
      <c r="G16" s="1203" t="s">
        <v>2314</v>
      </c>
      <c r="H16" s="14"/>
      <c r="I16" s="14"/>
      <c r="J16" s="14"/>
      <c r="K16" s="14"/>
    </row>
    <row r="17" spans="1:11" x14ac:dyDescent="0.2">
      <c r="A17" s="836">
        <v>14</v>
      </c>
      <c r="B17" s="695" t="s">
        <v>459</v>
      </c>
      <c r="C17" s="834"/>
      <c r="D17" s="834"/>
      <c r="E17" s="690">
        <f>D29</f>
        <v>0</v>
      </c>
      <c r="F17" s="834"/>
      <c r="G17" s="695" t="s">
        <v>560</v>
      </c>
      <c r="H17" s="14"/>
      <c r="I17" s="14"/>
      <c r="J17" s="14"/>
      <c r="K17" s="14"/>
    </row>
    <row r="18" spans="1:11" x14ac:dyDescent="0.2">
      <c r="A18" s="836">
        <v>15</v>
      </c>
      <c r="B18" s="695" t="s">
        <v>1885</v>
      </c>
      <c r="C18" s="834"/>
      <c r="D18" s="834"/>
      <c r="E18" s="690">
        <f>(C29+D29)/2</f>
        <v>0</v>
      </c>
      <c r="F18" s="834"/>
      <c r="G18" s="695" t="s">
        <v>2315</v>
      </c>
      <c r="H18" s="14"/>
      <c r="I18" s="14"/>
      <c r="J18" s="14"/>
      <c r="K18" s="14"/>
    </row>
    <row r="19" spans="1:11" x14ac:dyDescent="0.2">
      <c r="A19" s="836">
        <v>16</v>
      </c>
      <c r="B19" s="695" t="s">
        <v>2002</v>
      </c>
      <c r="C19" s="834"/>
      <c r="D19" s="834"/>
      <c r="E19" s="690">
        <f>E29</f>
        <v>0</v>
      </c>
      <c r="F19" s="834"/>
      <c r="G19" s="695" t="s">
        <v>2316</v>
      </c>
      <c r="H19" s="14"/>
      <c r="I19" s="14"/>
      <c r="J19" s="14"/>
      <c r="K19" s="14"/>
    </row>
    <row r="20" spans="1:11" x14ac:dyDescent="0.2">
      <c r="A20" s="836"/>
      <c r="B20" s="695"/>
      <c r="C20" s="834"/>
      <c r="D20" s="834"/>
      <c r="E20" s="690"/>
      <c r="F20" s="834"/>
      <c r="G20" s="834"/>
      <c r="H20" s="14"/>
      <c r="I20" s="14"/>
      <c r="J20" s="14"/>
      <c r="K20" s="14"/>
    </row>
    <row r="21" spans="1:11" x14ac:dyDescent="0.2">
      <c r="A21" s="836"/>
      <c r="B21" s="834"/>
      <c r="C21" s="841" t="s">
        <v>396</v>
      </c>
      <c r="D21" s="841" t="s">
        <v>380</v>
      </c>
      <c r="E21" s="841" t="s">
        <v>381</v>
      </c>
      <c r="F21" s="834"/>
      <c r="G21" s="834"/>
      <c r="H21" s="14"/>
      <c r="I21" s="14"/>
      <c r="J21" s="14"/>
      <c r="K21" s="14"/>
    </row>
    <row r="22" spans="1:11" x14ac:dyDescent="0.2">
      <c r="A22" s="836"/>
      <c r="B22" s="834"/>
      <c r="C22" s="836" t="s">
        <v>75</v>
      </c>
      <c r="D22" s="836" t="s">
        <v>75</v>
      </c>
      <c r="E22" s="836" t="s">
        <v>75</v>
      </c>
      <c r="F22" s="834"/>
      <c r="G22" s="834"/>
      <c r="H22" s="14"/>
      <c r="I22" s="14"/>
      <c r="J22" s="14"/>
      <c r="K22" s="14"/>
    </row>
    <row r="23" spans="1:11" ht="15" x14ac:dyDescent="0.25">
      <c r="A23" s="836"/>
      <c r="B23" s="836" t="s">
        <v>460</v>
      </c>
      <c r="C23" s="836" t="s">
        <v>425</v>
      </c>
      <c r="D23" s="836" t="s">
        <v>332</v>
      </c>
      <c r="E23" s="1204" t="s">
        <v>2003</v>
      </c>
      <c r="F23" s="834"/>
      <c r="G23" s="1205" t="s">
        <v>2317</v>
      </c>
      <c r="H23" s="1139"/>
      <c r="I23" s="14"/>
      <c r="J23" s="14"/>
      <c r="K23" s="14"/>
    </row>
    <row r="24" spans="1:11" x14ac:dyDescent="0.2">
      <c r="A24" s="836"/>
      <c r="B24" s="836" t="s">
        <v>461</v>
      </c>
      <c r="C24" s="836" t="s">
        <v>466</v>
      </c>
      <c r="D24" s="836" t="s">
        <v>466</v>
      </c>
      <c r="E24" s="836" t="s">
        <v>467</v>
      </c>
      <c r="F24" s="834"/>
      <c r="G24" s="1205" t="s">
        <v>2318</v>
      </c>
      <c r="H24" s="1139"/>
      <c r="I24" s="14"/>
      <c r="J24" s="14"/>
      <c r="K24" s="14"/>
    </row>
    <row r="25" spans="1:11" x14ac:dyDescent="0.2">
      <c r="A25" s="836"/>
      <c r="B25" s="1202" t="s">
        <v>462</v>
      </c>
      <c r="C25" s="1202" t="s">
        <v>462</v>
      </c>
      <c r="D25" s="1202" t="s">
        <v>462</v>
      </c>
      <c r="E25" s="1202" t="s">
        <v>2004</v>
      </c>
      <c r="F25" s="834"/>
      <c r="G25" s="1206" t="s">
        <v>2319</v>
      </c>
      <c r="H25" s="1139"/>
      <c r="I25" s="14"/>
      <c r="J25" s="14"/>
      <c r="K25" s="14"/>
    </row>
    <row r="26" spans="1:11" x14ac:dyDescent="0.2">
      <c r="A26" s="686">
        <v>17</v>
      </c>
      <c r="B26" s="691" t="s">
        <v>463</v>
      </c>
      <c r="C26" s="692">
        <v>0</v>
      </c>
      <c r="D26" s="692">
        <v>0</v>
      </c>
      <c r="E26" s="692">
        <v>0</v>
      </c>
      <c r="F26" s="684"/>
      <c r="G26" s="713"/>
      <c r="H26" s="102"/>
    </row>
    <row r="27" spans="1:11" x14ac:dyDescent="0.2">
      <c r="A27" s="686">
        <v>18</v>
      </c>
      <c r="B27" s="691" t="s">
        <v>464</v>
      </c>
      <c r="C27" s="692">
        <v>0</v>
      </c>
      <c r="D27" s="692">
        <v>0</v>
      </c>
      <c r="E27" s="692">
        <v>0</v>
      </c>
      <c r="F27" s="684"/>
      <c r="G27" s="713"/>
      <c r="H27" s="102"/>
    </row>
    <row r="28" spans="1:11" x14ac:dyDescent="0.2">
      <c r="A28" s="686">
        <v>19</v>
      </c>
      <c r="B28" s="691" t="s">
        <v>465</v>
      </c>
      <c r="C28" s="693">
        <v>0</v>
      </c>
      <c r="D28" s="693">
        <v>0</v>
      </c>
      <c r="E28" s="693">
        <v>0</v>
      </c>
      <c r="F28" s="684"/>
      <c r="G28" s="713"/>
      <c r="H28" s="102"/>
    </row>
    <row r="29" spans="1:11" x14ac:dyDescent="0.2">
      <c r="A29" s="686">
        <v>20</v>
      </c>
      <c r="B29" s="687" t="s">
        <v>218</v>
      </c>
      <c r="C29" s="694">
        <v>0</v>
      </c>
      <c r="D29" s="694">
        <v>0</v>
      </c>
      <c r="E29" s="694">
        <v>0</v>
      </c>
      <c r="F29" s="684"/>
      <c r="G29" s="687" t="s">
        <v>358</v>
      </c>
    </row>
    <row r="30" spans="1:11" x14ac:dyDescent="0.2">
      <c r="A30" s="686"/>
      <c r="B30" s="684"/>
      <c r="C30" s="684"/>
      <c r="D30" s="684"/>
      <c r="E30" s="684"/>
      <c r="F30" s="684"/>
      <c r="G30" s="684"/>
    </row>
    <row r="31" spans="1:11" x14ac:dyDescent="0.2">
      <c r="A31" s="686"/>
      <c r="B31" s="683" t="s">
        <v>422</v>
      </c>
      <c r="C31" s="684"/>
      <c r="D31" s="684"/>
      <c r="E31" s="684"/>
      <c r="F31" s="684"/>
      <c r="G31" s="684"/>
    </row>
    <row r="32" spans="1:11" x14ac:dyDescent="0.2">
      <c r="A32" s="686"/>
      <c r="B32" s="695" t="s">
        <v>2005</v>
      </c>
      <c r="C32" s="834"/>
      <c r="D32" s="834"/>
      <c r="E32" s="834"/>
      <c r="F32" s="834"/>
      <c r="G32" s="834"/>
      <c r="H32" s="14"/>
    </row>
    <row r="33" spans="1:8" x14ac:dyDescent="0.2">
      <c r="A33" s="686"/>
      <c r="B33" s="695" t="s">
        <v>468</v>
      </c>
      <c r="C33" s="14"/>
      <c r="D33" s="14"/>
      <c r="E33" s="14"/>
      <c r="F33" s="14"/>
      <c r="G33" s="14"/>
      <c r="H33" s="14"/>
    </row>
    <row r="34" spans="1:8" x14ac:dyDescent="0.2">
      <c r="A34" s="686"/>
      <c r="B34" s="1207" t="s">
        <v>561</v>
      </c>
      <c r="C34" s="14"/>
      <c r="D34" s="14"/>
      <c r="E34" s="14"/>
      <c r="F34" s="14"/>
      <c r="G34" s="14"/>
      <c r="H34" s="14"/>
    </row>
    <row r="35" spans="1:8" x14ac:dyDescent="0.2">
      <c r="A35" s="686"/>
      <c r="B35" s="1207" t="s">
        <v>562</v>
      </c>
      <c r="C35" s="14"/>
      <c r="D35" s="14"/>
      <c r="E35" s="1139"/>
      <c r="F35" s="14"/>
      <c r="G35" s="14"/>
      <c r="H35" s="14"/>
    </row>
    <row r="36" spans="1:8" x14ac:dyDescent="0.2">
      <c r="A36" s="686"/>
      <c r="B36" s="695" t="s">
        <v>469</v>
      </c>
      <c r="C36" s="14"/>
      <c r="D36" s="14"/>
      <c r="E36" s="14"/>
      <c r="F36" s="14"/>
      <c r="G36" s="14"/>
      <c r="H36" s="14"/>
    </row>
    <row r="37" spans="1:8" x14ac:dyDescent="0.2">
      <c r="A37" s="686"/>
    </row>
    <row r="38" spans="1:8" x14ac:dyDescent="0.2">
      <c r="A38" s="686"/>
      <c r="B38" s="684"/>
    </row>
    <row r="39" spans="1:8" x14ac:dyDescent="0.2">
      <c r="A39" s="686"/>
      <c r="B39" s="684"/>
    </row>
  </sheetData>
  <pageMargins left="0.7" right="0.7" top="0.75" bottom="0.75" header="0.3" footer="0.3"/>
  <pageSetup scale="98" orientation="landscape" cellComments="asDisplayed" r:id="rId1"/>
  <headerFooter>
    <oddHeader>&amp;CSchedule 23
Regulatory Assets and Liabilities
&amp;RTO8 Annual Update (Revised)
Attachment  1</oddHeader>
    <oddFooter>&amp;R23-RegAssets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view="pageLayout" zoomScaleNormal="85" workbookViewId="0">
      <selection activeCell="E13" sqref="E13"/>
    </sheetView>
  </sheetViews>
  <sheetFormatPr defaultRowHeight="12.75" x14ac:dyDescent="0.2"/>
  <cols>
    <col min="1" max="2" width="4.7109375" customWidth="1"/>
    <col min="3" max="3" width="28.7109375" customWidth="1"/>
    <col min="4" max="8" width="14.7109375" customWidth="1"/>
  </cols>
  <sheetData>
    <row r="1" spans="1:9" ht="15" x14ac:dyDescent="0.25">
      <c r="A1" s="1" t="s">
        <v>1404</v>
      </c>
      <c r="I1" s="397"/>
    </row>
    <row r="3" spans="1:9" x14ac:dyDescent="0.2">
      <c r="B3" s="1" t="s">
        <v>1729</v>
      </c>
    </row>
    <row r="4" spans="1:9" x14ac:dyDescent="0.2">
      <c r="B4" s="1"/>
    </row>
    <row r="5" spans="1:9" x14ac:dyDescent="0.2">
      <c r="B5" s="1"/>
      <c r="C5" s="1" t="s">
        <v>1600</v>
      </c>
      <c r="D5" s="90" t="s">
        <v>396</v>
      </c>
      <c r="E5" s="90" t="s">
        <v>380</v>
      </c>
      <c r="F5" s="90" t="s">
        <v>381</v>
      </c>
    </row>
    <row r="6" spans="1:9" ht="15" x14ac:dyDescent="0.25">
      <c r="D6" s="260" t="s">
        <v>75</v>
      </c>
      <c r="E6" s="260" t="s">
        <v>75</v>
      </c>
      <c r="F6" s="260" t="s">
        <v>219</v>
      </c>
    </row>
    <row r="7" spans="1:9" ht="15" x14ac:dyDescent="0.25">
      <c r="C7" s="1"/>
      <c r="D7" s="260" t="s">
        <v>332</v>
      </c>
      <c r="E7" s="260" t="s">
        <v>257</v>
      </c>
      <c r="F7" s="260" t="s">
        <v>220</v>
      </c>
    </row>
    <row r="8" spans="1:9" x14ac:dyDescent="0.2">
      <c r="A8" s="3" t="s">
        <v>362</v>
      </c>
      <c r="C8" s="3" t="s">
        <v>252</v>
      </c>
      <c r="D8" s="3" t="s">
        <v>196</v>
      </c>
      <c r="E8" s="3" t="s">
        <v>196</v>
      </c>
      <c r="F8" s="3" t="s">
        <v>196</v>
      </c>
      <c r="G8" s="3" t="s">
        <v>200</v>
      </c>
    </row>
    <row r="9" spans="1:9" x14ac:dyDescent="0.2">
      <c r="A9" s="2">
        <v>1</v>
      </c>
      <c r="C9" s="99" t="s">
        <v>1417</v>
      </c>
      <c r="D9" s="7">
        <f>'10-CWIP'!E25</f>
        <v>786298777.73778844</v>
      </c>
      <c r="E9" s="7">
        <f>'10-CWIP'!E26</f>
        <v>924767364.61809039</v>
      </c>
      <c r="F9" s="7">
        <f>'10-CWIP'!K113</f>
        <v>-123028140.70129158</v>
      </c>
      <c r="G9" s="46" t="str">
        <f>"10-CWIP, Lines "&amp;'10-CWIP'!A25&amp;", "&amp;'10-CWIP'!A26&amp;", "&amp;'10-CWIP'!A113&amp;""</f>
        <v>10-CWIP, Lines 13, 14, 80</v>
      </c>
    </row>
    <row r="10" spans="1:9" x14ac:dyDescent="0.2">
      <c r="A10" s="2">
        <f>A9+1</f>
        <v>2</v>
      </c>
      <c r="C10" s="99" t="s">
        <v>1418</v>
      </c>
      <c r="D10" s="7">
        <f>'10-CWIP'!F25</f>
        <v>536335938.83999997</v>
      </c>
      <c r="E10" s="7">
        <f>'10-CWIP'!F26</f>
        <v>305353304.31020802</v>
      </c>
      <c r="F10" s="7">
        <f>'10-CWIP'!K146</f>
        <v>-536600893.84000081</v>
      </c>
      <c r="G10" s="46" t="str">
        <f>"10-CWIP, Lines "&amp;'10-CWIP'!A25&amp;", "&amp;'10-CWIP'!A26&amp;", "&amp;'10-CWIP'!A146&amp;""</f>
        <v>10-CWIP, Lines 13, 14, 106</v>
      </c>
    </row>
    <row r="11" spans="1:9" x14ac:dyDescent="0.2">
      <c r="A11" s="2">
        <f t="shared" ref="A11:A20" si="0">A10+1</f>
        <v>3</v>
      </c>
      <c r="C11" s="99" t="s">
        <v>1419</v>
      </c>
      <c r="D11" s="7">
        <f>'10-CWIP'!G25</f>
        <v>149796433.14000002</v>
      </c>
      <c r="E11" s="7">
        <f>'10-CWIP'!G26</f>
        <v>67820899.70964402</v>
      </c>
      <c r="F11" s="7">
        <f>'10-CWIP'!K177</f>
        <v>-149797190.29999998</v>
      </c>
      <c r="G11" s="46" t="str">
        <f>"10-CWIP, Lines "&amp;'10-CWIP'!A25&amp;", "&amp;'10-CWIP'!A26&amp;", "&amp;'10-CWIP'!A177&amp;""</f>
        <v>10-CWIP, Lines 13, 14, 132</v>
      </c>
    </row>
    <row r="12" spans="1:9" x14ac:dyDescent="0.2">
      <c r="A12" s="2">
        <f t="shared" si="0"/>
        <v>4</v>
      </c>
      <c r="C12" s="99" t="s">
        <v>1420</v>
      </c>
      <c r="D12" s="7">
        <f>'10-CWIP'!H25</f>
        <v>-69617.340000000084</v>
      </c>
      <c r="E12" s="7">
        <f>'10-CWIP'!H26</f>
        <v>-70159.231515233419</v>
      </c>
      <c r="F12" s="7">
        <f>'10-CWIP'!K210</f>
        <v>0</v>
      </c>
      <c r="G12" s="46" t="str">
        <f>"10-CWIP, Lines "&amp;'10-CWIP'!A25&amp;", "&amp;'10-CWIP'!A26&amp;", "&amp;'10-CWIP'!A210&amp;""</f>
        <v>10-CWIP, Lines 13, 14, 158</v>
      </c>
    </row>
    <row r="13" spans="1:9" x14ac:dyDescent="0.2">
      <c r="A13" s="2">
        <f t="shared" si="0"/>
        <v>5</v>
      </c>
      <c r="C13" s="99" t="s">
        <v>1421</v>
      </c>
      <c r="D13" s="7">
        <f>'10-CWIP'!I25</f>
        <v>150902784.00999999</v>
      </c>
      <c r="E13" s="7">
        <f>'10-CWIP'!I26</f>
        <v>69555610.855488271</v>
      </c>
      <c r="F13" s="7">
        <f>'10-CWIP'!K241</f>
        <v>-151394381.55000001</v>
      </c>
      <c r="G13" s="46" t="str">
        <f>"10-CWIP, Lines "&amp;'10-CWIP'!A25&amp;", "&amp;'10-CWIP'!A26&amp;", "&amp;'10-CWIP'!A241&amp;""</f>
        <v>10-CWIP, Lines 13, 14, 184</v>
      </c>
    </row>
    <row r="14" spans="1:9" x14ac:dyDescent="0.2">
      <c r="A14" s="2">
        <f t="shared" si="0"/>
        <v>6</v>
      </c>
      <c r="C14" s="99" t="s">
        <v>1422</v>
      </c>
      <c r="D14" s="7">
        <f>'10-CWIP'!D45</f>
        <v>3256743.08</v>
      </c>
      <c r="E14" s="7">
        <f>'10-CWIP'!D46</f>
        <v>4861315.323947289</v>
      </c>
      <c r="F14" s="7">
        <f>'10-CWIP'!K274</f>
        <v>29961006.732307699</v>
      </c>
      <c r="G14" s="46" t="str">
        <f>"10-CWIP, Lines "&amp;'10-CWIP'!A45&amp;", "&amp;'10-CWIP'!A46&amp;", "&amp;'10-CWIP'!A274&amp;""</f>
        <v>10-CWIP, Lines 27, 28, 210</v>
      </c>
    </row>
    <row r="15" spans="1:9" x14ac:dyDescent="0.2">
      <c r="A15" s="2">
        <f t="shared" si="0"/>
        <v>7</v>
      </c>
      <c r="C15" s="99" t="s">
        <v>1423</v>
      </c>
      <c r="D15" s="7">
        <f>'10-CWIP'!E45</f>
        <v>47928159.539999999</v>
      </c>
      <c r="E15" s="7">
        <f>'10-CWIP'!E46</f>
        <v>29242552.185500406</v>
      </c>
      <c r="F15" s="7">
        <f>'10-CWIP'!K305</f>
        <v>-48014271.539999969</v>
      </c>
      <c r="G15" s="46" t="str">
        <f>"10-CWIP, Lines "&amp;'10-CWIP'!A45&amp;", "&amp;'10-CWIP'!A46&amp;", "&amp;'10-CWIP'!A305&amp;""</f>
        <v>10-CWIP, Lines 27, 28, 236</v>
      </c>
    </row>
    <row r="16" spans="1:9" x14ac:dyDescent="0.2">
      <c r="A16" s="2">
        <f t="shared" si="0"/>
        <v>8</v>
      </c>
      <c r="C16" s="99" t="s">
        <v>1424</v>
      </c>
      <c r="D16" s="7">
        <f>'10-CWIP'!F45</f>
        <v>10360459.710000001</v>
      </c>
      <c r="E16" s="7">
        <f>'10-CWIP'!F46</f>
        <v>5587350.1441755388</v>
      </c>
      <c r="F16" s="7">
        <f>'10-CWIP'!K338</f>
        <v>19671942.775335815</v>
      </c>
      <c r="G16" s="46" t="str">
        <f>"10-CWIP, Lines "&amp;'10-CWIP'!A45&amp;", "&amp;'10-CWIP'!A46&amp;", "&amp;'10-CWIP'!A338&amp;""</f>
        <v>10-CWIP, Lines 27, 28, 262</v>
      </c>
    </row>
    <row r="17" spans="1:7" x14ac:dyDescent="0.2">
      <c r="A17" s="2">
        <f t="shared" si="0"/>
        <v>9</v>
      </c>
      <c r="C17" s="99" t="s">
        <v>1425</v>
      </c>
      <c r="D17" s="7">
        <f>'10-CWIP'!G45</f>
        <v>11494421.74613302</v>
      </c>
      <c r="E17" s="7">
        <f>'10-CWIP'!G46</f>
        <v>7391709.0243180729</v>
      </c>
      <c r="F17" s="7">
        <f>'10-CWIP'!K369</f>
        <v>13592125.684615392</v>
      </c>
      <c r="G17" s="46" t="str">
        <f>"10-CWIP, Lines "&amp;'10-CWIP'!A45&amp;", "&amp;'10-CWIP'!A46&amp;", "&amp;'10-CWIP'!A369&amp;""</f>
        <v>10-CWIP, Lines 27, 28, 288</v>
      </c>
    </row>
    <row r="18" spans="1:7" x14ac:dyDescent="0.2">
      <c r="A18" s="2">
        <f t="shared" si="0"/>
        <v>10</v>
      </c>
      <c r="C18" s="467"/>
      <c r="D18" s="468" t="str">
        <f>'10-CWIP'!H44</f>
        <v>---</v>
      </c>
      <c r="E18" s="468" t="str">
        <f>'10-CWIP'!H46</f>
        <v>---</v>
      </c>
      <c r="F18" s="445">
        <f>'10-CWIP'!K402</f>
        <v>0</v>
      </c>
      <c r="G18" s="46" t="str">
        <f>"10-CWIP, Lines "&amp;'10-CWIP'!A45&amp;", "&amp;'10-CWIP'!A46&amp;", "&amp;'10-CWIP'!A402&amp;""</f>
        <v>10-CWIP, Lines 27, 28, 314</v>
      </c>
    </row>
    <row r="19" spans="1:7" x14ac:dyDescent="0.2">
      <c r="A19" s="2">
        <f t="shared" si="0"/>
        <v>11</v>
      </c>
      <c r="C19" s="467"/>
      <c r="D19" s="468" t="str">
        <f>'10-CWIP'!I44</f>
        <v>---</v>
      </c>
      <c r="E19" s="468" t="str">
        <f>'10-CWIP'!I46</f>
        <v>---</v>
      </c>
      <c r="F19" s="59">
        <f>'10-CWIP'!K402</f>
        <v>0</v>
      </c>
      <c r="G19" s="46" t="str">
        <f>"10-CWIP, Lines "&amp;'10-CWIP'!A45&amp;", "&amp;'10-CWIP'!A46&amp;", 304"</f>
        <v>10-CWIP, Lines 27, 28, 304</v>
      </c>
    </row>
    <row r="20" spans="1:7" x14ac:dyDescent="0.2">
      <c r="A20" s="2">
        <f t="shared" si="0"/>
        <v>12</v>
      </c>
      <c r="C20" s="99" t="s">
        <v>218</v>
      </c>
      <c r="D20" s="7">
        <f>SUM(D9:D19)</f>
        <v>1696304100.4639215</v>
      </c>
      <c r="E20" s="7">
        <f>SUM(E9:E19)</f>
        <v>1414509946.9398568</v>
      </c>
      <c r="F20" s="7">
        <f>SUM(F9:F19)</f>
        <v>-945609802.73903346</v>
      </c>
      <c r="G20" s="13" t="str">
        <f>"Sum of Lines "&amp;A9&amp;" to "&amp;A19&amp;""</f>
        <v>Sum of Lines 1 to 11</v>
      </c>
    </row>
    <row r="21" spans="1:7" x14ac:dyDescent="0.2">
      <c r="A21" s="2"/>
      <c r="C21" s="1"/>
    </row>
    <row r="22" spans="1:7" ht="15" x14ac:dyDescent="0.25">
      <c r="A22" s="2"/>
      <c r="C22" s="1" t="s">
        <v>1416</v>
      </c>
      <c r="D22" s="260" t="s">
        <v>332</v>
      </c>
      <c r="E22" s="260" t="s">
        <v>257</v>
      </c>
      <c r="F22" s="13"/>
    </row>
    <row r="23" spans="1:7" x14ac:dyDescent="0.2">
      <c r="D23" s="3" t="s">
        <v>196</v>
      </c>
      <c r="E23" s="3" t="s">
        <v>196</v>
      </c>
      <c r="F23" s="3" t="s">
        <v>200</v>
      </c>
    </row>
    <row r="24" spans="1:7" x14ac:dyDescent="0.2">
      <c r="A24" s="2">
        <f>A20+1</f>
        <v>13</v>
      </c>
      <c r="C24" s="99" t="s">
        <v>1601</v>
      </c>
      <c r="D24" s="7">
        <f>D20</f>
        <v>1696304100.4639215</v>
      </c>
      <c r="E24" s="7">
        <f>E20</f>
        <v>1414509946.9398568</v>
      </c>
      <c r="F24" s="16" t="str">
        <f>"Line "&amp;A20&amp;""</f>
        <v>Line 12</v>
      </c>
    </row>
    <row r="25" spans="1:7" x14ac:dyDescent="0.2">
      <c r="A25" s="2">
        <f>A24+1</f>
        <v>14</v>
      </c>
      <c r="C25" s="99" t="s">
        <v>1405</v>
      </c>
      <c r="D25" s="8">
        <f>'1-BaseTRR'!K91</f>
        <v>7.4939357100168899E-2</v>
      </c>
      <c r="E25" s="8">
        <f>'1-BaseTRR'!K91</f>
        <v>7.4939357100168899E-2</v>
      </c>
      <c r="F25" s="120" t="str">
        <f>"1-BaseTRR, Line "&amp;'1-BaseTRR'!A91&amp;""</f>
        <v>1-BaseTRR, Line 53</v>
      </c>
    </row>
    <row r="26" spans="1:7" x14ac:dyDescent="0.2">
      <c r="A26" s="2">
        <f>A25+1</f>
        <v>15</v>
      </c>
      <c r="C26" s="36" t="s">
        <v>1602</v>
      </c>
      <c r="D26" s="7">
        <f>D24*D25</f>
        <v>127119938.7351466</v>
      </c>
      <c r="E26" s="7">
        <f>E24*E25</f>
        <v>106002466.03546689</v>
      </c>
      <c r="F26" s="120" t="str">
        <f>"Line "&amp;A24&amp;" * Line "&amp;A25&amp;""</f>
        <v>Line 13 * Line 14</v>
      </c>
    </row>
    <row r="27" spans="1:7" x14ac:dyDescent="0.2">
      <c r="F27" s="14"/>
    </row>
    <row r="28" spans="1:7" x14ac:dyDescent="0.2">
      <c r="C28" s="1" t="s">
        <v>98</v>
      </c>
      <c r="F28" s="14"/>
    </row>
    <row r="29" spans="1:7" ht="15" x14ac:dyDescent="0.25">
      <c r="D29" s="260" t="s">
        <v>332</v>
      </c>
      <c r="E29" s="260" t="s">
        <v>257</v>
      </c>
      <c r="F29" s="14"/>
    </row>
    <row r="30" spans="1:7" x14ac:dyDescent="0.2">
      <c r="D30" s="3" t="s">
        <v>196</v>
      </c>
      <c r="E30" s="3" t="s">
        <v>196</v>
      </c>
      <c r="F30" s="131" t="s">
        <v>200</v>
      </c>
    </row>
    <row r="31" spans="1:7" ht="15" x14ac:dyDescent="0.25">
      <c r="A31" s="260">
        <f>A26+1</f>
        <v>16</v>
      </c>
      <c r="C31" s="99" t="s">
        <v>1601</v>
      </c>
      <c r="D31" s="7">
        <f>D20</f>
        <v>1696304100.4639215</v>
      </c>
      <c r="E31" s="7">
        <f>E20</f>
        <v>1414509946.9398568</v>
      </c>
      <c r="F31" s="120" t="str">
        <f>"Line "&amp;A20&amp;""</f>
        <v>Line 12</v>
      </c>
    </row>
    <row r="32" spans="1:7" x14ac:dyDescent="0.2">
      <c r="A32" s="2">
        <f t="shared" ref="A32:A38" si="1">A31+1</f>
        <v>17</v>
      </c>
      <c r="C32" s="389" t="s">
        <v>1603</v>
      </c>
      <c r="D32" s="8">
        <f>'1-BaseTRR'!K93</f>
        <v>5.0894164829164965E-2</v>
      </c>
      <c r="E32" s="8">
        <f>'1-BaseTRR'!K93</f>
        <v>5.0894164829164965E-2</v>
      </c>
      <c r="F32" s="120" t="str">
        <f>"1-BaseTRR, Line "&amp;'1-BaseTRR'!A93&amp;""</f>
        <v>1-BaseTRR, Line 54</v>
      </c>
    </row>
    <row r="33" spans="1:7" x14ac:dyDescent="0.2">
      <c r="A33" s="2">
        <f t="shared" si="1"/>
        <v>18</v>
      </c>
      <c r="C33" s="389" t="s">
        <v>1146</v>
      </c>
      <c r="D33" s="8">
        <f>'1-BaseTRR'!K102</f>
        <v>0.39936028204298801</v>
      </c>
      <c r="E33" s="8">
        <f>'1-BaseTRR'!K102</f>
        <v>0.39936028204298801</v>
      </c>
      <c r="F33" s="120" t="str">
        <f>"1-BaseTRR, Line "&amp;'1-BaseTRR'!A102&amp;""</f>
        <v>1-BaseTRR, Line 58</v>
      </c>
    </row>
    <row r="34" spans="1:7" x14ac:dyDescent="0.2">
      <c r="A34" s="2">
        <f t="shared" si="1"/>
        <v>19</v>
      </c>
      <c r="C34" s="389" t="s">
        <v>290</v>
      </c>
      <c r="D34" s="64">
        <f>((D24*D32)*(D33/(1-D33)))</f>
        <v>57401405.612746686</v>
      </c>
      <c r="E34" s="64">
        <f>((E24*E32)*(E33/(1-E33)))</f>
        <v>47865744.818605088</v>
      </c>
      <c r="F34" s="547" t="str">
        <f>"Formula on Line "&amp;A36&amp;""</f>
        <v>Formula on Line 21</v>
      </c>
      <c r="G34" s="14"/>
    </row>
    <row r="35" spans="1:7" x14ac:dyDescent="0.2">
      <c r="A35" s="2">
        <f t="shared" si="1"/>
        <v>20</v>
      </c>
      <c r="C35" s="14"/>
      <c r="D35" s="14"/>
      <c r="E35" s="14"/>
      <c r="F35" s="14"/>
      <c r="G35" s="14"/>
    </row>
    <row r="36" spans="1:7" x14ac:dyDescent="0.2">
      <c r="A36" s="2">
        <f t="shared" si="1"/>
        <v>21</v>
      </c>
      <c r="C36" s="46" t="str">
        <f>"Income Taxes = [(RB * ER) * (CTR/(1 – CTR)], or [(L"&amp;A24&amp;" * L"&amp;A32&amp;") * (L"&amp;A33&amp;" / (1 - L"&amp;A33&amp;")]"</f>
        <v>Income Taxes = [(RB * ER) * (CTR/(1 – CTR)], or [(L13 * L17) * (L18 / (1 - L18)]</v>
      </c>
      <c r="D36" s="14"/>
      <c r="E36" s="64"/>
      <c r="F36" s="15"/>
      <c r="G36" s="14"/>
    </row>
    <row r="37" spans="1:7" x14ac:dyDescent="0.2">
      <c r="A37" s="2">
        <f t="shared" si="1"/>
        <v>22</v>
      </c>
      <c r="C37" s="547" t="s">
        <v>2108</v>
      </c>
      <c r="D37" s="14"/>
      <c r="E37" s="64"/>
      <c r="F37" s="15"/>
      <c r="G37" s="14"/>
    </row>
    <row r="38" spans="1:7" x14ac:dyDescent="0.2">
      <c r="A38" s="2">
        <f t="shared" si="1"/>
        <v>23</v>
      </c>
      <c r="D38" s="13"/>
      <c r="E38" s="7"/>
      <c r="F38" s="12"/>
      <c r="G38" s="13"/>
    </row>
    <row r="39" spans="1:7" x14ac:dyDescent="0.2">
      <c r="C39" s="1" t="s">
        <v>1413</v>
      </c>
    </row>
    <row r="40" spans="1:7" x14ac:dyDescent="0.2">
      <c r="D40" s="3" t="s">
        <v>192</v>
      </c>
      <c r="E40" s="3" t="s">
        <v>200</v>
      </c>
    </row>
    <row r="41" spans="1:7" x14ac:dyDescent="0.2">
      <c r="A41" s="2">
        <f>A38+1</f>
        <v>24</v>
      </c>
      <c r="C41" s="389" t="s">
        <v>548</v>
      </c>
      <c r="D41" s="64">
        <f>'15-IncentiveAdder'!G17</f>
        <v>7842.8741335702634</v>
      </c>
      <c r="E41" s="120" t="str">
        <f>"15-IncentiveAdder, Line "&amp;'15-IncentiveAdder'!A17&amp;""</f>
        <v>15-IncentiveAdder, Line 3</v>
      </c>
      <c r="F41" s="14"/>
      <c r="G41" s="14"/>
    </row>
    <row r="42" spans="1:7" x14ac:dyDescent="0.2">
      <c r="C42" s="14"/>
      <c r="D42" s="14"/>
      <c r="E42" s="14"/>
      <c r="F42" s="14"/>
      <c r="G42" s="14"/>
    </row>
    <row r="43" spans="1:7" x14ac:dyDescent="0.2">
      <c r="C43" s="1208" t="s">
        <v>371</v>
      </c>
      <c r="D43" s="14"/>
      <c r="E43" s="14"/>
      <c r="F43" s="14"/>
      <c r="G43" s="14"/>
    </row>
    <row r="44" spans="1:7" ht="15" x14ac:dyDescent="0.25">
      <c r="C44" s="14"/>
      <c r="D44" s="1209" t="s">
        <v>332</v>
      </c>
      <c r="E44" s="1209" t="s">
        <v>257</v>
      </c>
      <c r="F44" s="14"/>
      <c r="G44" s="14"/>
    </row>
    <row r="45" spans="1:7" x14ac:dyDescent="0.2">
      <c r="C45" s="14"/>
      <c r="D45" s="131" t="s">
        <v>196</v>
      </c>
      <c r="E45" s="131" t="s">
        <v>196</v>
      </c>
      <c r="F45" s="14"/>
      <c r="G45" s="14"/>
    </row>
    <row r="46" spans="1:7" x14ac:dyDescent="0.2">
      <c r="A46" s="2">
        <f>A41+1</f>
        <v>25</v>
      </c>
      <c r="C46" s="389" t="s">
        <v>1604</v>
      </c>
      <c r="D46" s="64">
        <f>D9</f>
        <v>786298777.73778844</v>
      </c>
      <c r="E46" s="64">
        <f>E9</f>
        <v>924767364.61809039</v>
      </c>
      <c r="F46" s="120" t="str">
        <f>"Line "&amp;A9&amp;""</f>
        <v>Line 1</v>
      </c>
      <c r="G46" s="14"/>
    </row>
    <row r="47" spans="1:7" x14ac:dyDescent="0.2">
      <c r="A47" s="2">
        <f>A46+1</f>
        <v>26</v>
      </c>
      <c r="C47" s="389" t="s">
        <v>1407</v>
      </c>
      <c r="D47" s="83">
        <f>'15-IncentiveAdder'!E26</f>
        <v>1.2500000000000001E-2</v>
      </c>
      <c r="E47" s="83">
        <f>'15-IncentiveAdder'!E26</f>
        <v>1.2500000000000001E-2</v>
      </c>
      <c r="F47" s="120" t="str">
        <f>"15-IncentiveAdder, Line "&amp;'15-IncentiveAdder'!A26&amp;""</f>
        <v>15-IncentiveAdder, Line 5</v>
      </c>
      <c r="G47" s="14"/>
    </row>
    <row r="48" spans="1:7" x14ac:dyDescent="0.2">
      <c r="A48" s="2">
        <f>A47+1</f>
        <v>27</v>
      </c>
      <c r="C48" s="389" t="s">
        <v>1605</v>
      </c>
      <c r="D48" s="64">
        <f>(D46/1000000)*($D$41*(D47/0.01))</f>
        <v>7708552.9314720184</v>
      </c>
      <c r="E48" s="64">
        <f>(E46/1000000)*($D$41*(E47/0.01))</f>
        <v>9066042.5544164516</v>
      </c>
      <c r="F48" s="547" t="str">
        <f>"Formula on Line "&amp;A57&amp;""</f>
        <v>Formula on Line 32</v>
      </c>
      <c r="G48" s="14"/>
    </row>
    <row r="49" spans="1:7" x14ac:dyDescent="0.2">
      <c r="C49" s="406"/>
      <c r="D49" s="14"/>
      <c r="E49" s="14"/>
      <c r="F49" s="14"/>
      <c r="G49" s="14"/>
    </row>
    <row r="50" spans="1:7" x14ac:dyDescent="0.2">
      <c r="C50" s="1208" t="s">
        <v>1414</v>
      </c>
      <c r="D50" s="14"/>
      <c r="E50" s="131"/>
      <c r="F50" s="131"/>
      <c r="G50" s="14"/>
    </row>
    <row r="51" spans="1:7" ht="15" x14ac:dyDescent="0.25">
      <c r="C51" s="14"/>
      <c r="D51" s="1209" t="s">
        <v>332</v>
      </c>
      <c r="E51" s="1209" t="s">
        <v>257</v>
      </c>
      <c r="F51" s="14"/>
      <c r="G51" s="14"/>
    </row>
    <row r="52" spans="1:7" x14ac:dyDescent="0.2">
      <c r="C52" s="14"/>
      <c r="D52" s="131" t="s">
        <v>196</v>
      </c>
      <c r="E52" s="131" t="s">
        <v>196</v>
      </c>
      <c r="F52" s="14"/>
      <c r="G52" s="14"/>
    </row>
    <row r="53" spans="1:7" x14ac:dyDescent="0.2">
      <c r="A53" s="2">
        <f>A48+1</f>
        <v>28</v>
      </c>
      <c r="C53" s="1126" t="s">
        <v>1626</v>
      </c>
      <c r="D53" s="64">
        <f>D10</f>
        <v>536335938.83999997</v>
      </c>
      <c r="E53" s="64">
        <f>E10</f>
        <v>305353304.31020802</v>
      </c>
      <c r="F53" s="120" t="str">
        <f>"Line "&amp;A10&amp;""</f>
        <v>Line 2</v>
      </c>
      <c r="G53" s="14"/>
    </row>
    <row r="54" spans="1:7" x14ac:dyDescent="0.2">
      <c r="A54" s="2">
        <f>A53+1</f>
        <v>29</v>
      </c>
      <c r="C54" s="389" t="s">
        <v>1407</v>
      </c>
      <c r="D54" s="83">
        <f>'15-IncentiveAdder'!E27</f>
        <v>0.01</v>
      </c>
      <c r="E54" s="83">
        <f>'15-IncentiveAdder'!E27</f>
        <v>0.01</v>
      </c>
      <c r="F54" s="120" t="str">
        <f>"15-IncentiveAdder, Line "&amp;'15-IncentiveAdder'!A27&amp;""</f>
        <v>15-IncentiveAdder, Line 6</v>
      </c>
      <c r="G54" s="14"/>
    </row>
    <row r="55" spans="1:7" x14ac:dyDescent="0.2">
      <c r="A55" s="2">
        <f>A54+1</f>
        <v>30</v>
      </c>
      <c r="C55" s="389" t="s">
        <v>1605</v>
      </c>
      <c r="D55" s="64">
        <f>(D53/1000000)*($D$41*(D54/0.01))</f>
        <v>4206415.2616323587</v>
      </c>
      <c r="E55" s="64">
        <f>(E53/1000000)*($D$41*(E54/0.01))</f>
        <v>2394847.5319747399</v>
      </c>
      <c r="F55" s="547" t="str">
        <f>"Formula on Line "&amp;A57&amp;""</f>
        <v>Formula on Line 32</v>
      </c>
      <c r="G55" s="14"/>
    </row>
    <row r="56" spans="1:7" x14ac:dyDescent="0.2">
      <c r="A56" s="2">
        <f>A55+1</f>
        <v>31</v>
      </c>
      <c r="C56" s="14"/>
      <c r="D56" s="116"/>
      <c r="E56" s="64"/>
      <c r="F56" s="46"/>
      <c r="G56" s="14"/>
    </row>
    <row r="57" spans="1:7" x14ac:dyDescent="0.2">
      <c r="A57" s="2">
        <f>A56+1</f>
        <v>32</v>
      </c>
      <c r="C57" s="1125" t="s">
        <v>2277</v>
      </c>
      <c r="D57" s="64"/>
      <c r="E57" s="46"/>
      <c r="F57" s="14"/>
      <c r="G57" s="14"/>
    </row>
    <row r="59" spans="1:7" x14ac:dyDescent="0.2">
      <c r="C59" s="1" t="s">
        <v>1730</v>
      </c>
    </row>
    <row r="60" spans="1:7" x14ac:dyDescent="0.2">
      <c r="C60" s="1"/>
    </row>
    <row r="61" spans="1:7" ht="15" x14ac:dyDescent="0.25">
      <c r="C61" s="1"/>
      <c r="E61" s="260" t="s">
        <v>309</v>
      </c>
    </row>
    <row r="62" spans="1:7" ht="15" x14ac:dyDescent="0.25">
      <c r="C62" s="1"/>
      <c r="D62" s="260" t="s">
        <v>1607</v>
      </c>
      <c r="E62" s="260" t="s">
        <v>1055</v>
      </c>
    </row>
    <row r="63" spans="1:7" x14ac:dyDescent="0.2">
      <c r="D63" s="3" t="s">
        <v>196</v>
      </c>
      <c r="E63" s="3" t="s">
        <v>196</v>
      </c>
      <c r="F63" s="3" t="s">
        <v>200</v>
      </c>
    </row>
    <row r="64" spans="1:7" x14ac:dyDescent="0.2">
      <c r="A64" s="2">
        <f>A57+1</f>
        <v>33</v>
      </c>
      <c r="C64" s="99" t="s">
        <v>1406</v>
      </c>
      <c r="D64" s="7">
        <f>D26</f>
        <v>127119938.7351466</v>
      </c>
      <c r="E64" s="7">
        <f>E26</f>
        <v>106002466.03546689</v>
      </c>
      <c r="F64" s="16" t="str">
        <f>"Line "&amp;A26&amp;""</f>
        <v>Line 15</v>
      </c>
    </row>
    <row r="65" spans="1:9" x14ac:dyDescent="0.2">
      <c r="A65" s="2">
        <f>A64+1</f>
        <v>34</v>
      </c>
      <c r="C65" s="99" t="s">
        <v>290</v>
      </c>
      <c r="D65" s="7">
        <f>D34</f>
        <v>57401405.612746686</v>
      </c>
      <c r="E65" s="7">
        <f>E34</f>
        <v>47865744.818605088</v>
      </c>
      <c r="F65" s="16" t="str">
        <f>"Line "&amp;A34&amp;""</f>
        <v>Line 19</v>
      </c>
    </row>
    <row r="66" spans="1:9" x14ac:dyDescent="0.2">
      <c r="A66" s="2">
        <f>A65+1</f>
        <v>35</v>
      </c>
      <c r="C66" s="99" t="s">
        <v>1408</v>
      </c>
      <c r="D66" s="7">
        <f>D48</f>
        <v>7708552.9314720184</v>
      </c>
      <c r="E66" s="7">
        <f>E48</f>
        <v>9066042.5544164516</v>
      </c>
      <c r="F66" s="16" t="str">
        <f>"Line "&amp;A48&amp;""</f>
        <v>Line 27</v>
      </c>
    </row>
    <row r="67" spans="1:9" ht="15" x14ac:dyDescent="0.25">
      <c r="A67" s="2">
        <f>A66+1</f>
        <v>36</v>
      </c>
      <c r="C67" s="99" t="s">
        <v>1409</v>
      </c>
      <c r="D67" s="108">
        <f>D55</f>
        <v>4206415.2616323587</v>
      </c>
      <c r="E67" s="541">
        <f>E55</f>
        <v>2394847.5319747399</v>
      </c>
      <c r="F67" s="16" t="str">
        <f>"Line "&amp;A55&amp;""</f>
        <v>Line 30</v>
      </c>
    </row>
    <row r="68" spans="1:9" x14ac:dyDescent="0.2">
      <c r="A68" s="539">
        <f t="shared" ref="A68:A69" si="2">A67+1</f>
        <v>37</v>
      </c>
      <c r="C68" s="99" t="s">
        <v>1660</v>
      </c>
      <c r="D68" s="97">
        <f>SUM(D64:D67)*('28-FFU'!D22+'28-FFU'!E22)</f>
        <v>2199497.3915215502</v>
      </c>
      <c r="E68" s="97">
        <f>SUM(E64:E67)*('28-FFU'!D22)</f>
        <v>1511570.9040784664</v>
      </c>
      <c r="F68" s="13" t="s">
        <v>397</v>
      </c>
    </row>
    <row r="69" spans="1:9" x14ac:dyDescent="0.2">
      <c r="A69" s="539">
        <f t="shared" si="2"/>
        <v>38</v>
      </c>
      <c r="C69" s="99" t="s">
        <v>5</v>
      </c>
      <c r="D69" s="7">
        <f>SUM(D64:D68)</f>
        <v>198635809.9325192</v>
      </c>
      <c r="E69" s="7">
        <f>SUM(E64:E68)</f>
        <v>166840671.84454161</v>
      </c>
      <c r="F69" s="13" t="str">
        <f>"Sum Lines "&amp;A64&amp;" to "&amp;A68&amp;""</f>
        <v>Sum Lines 33 to 37</v>
      </c>
    </row>
    <row r="70" spans="1:9" x14ac:dyDescent="0.2">
      <c r="A70" s="2"/>
      <c r="D70" s="99"/>
      <c r="E70" s="7"/>
      <c r="F70" s="13"/>
    </row>
    <row r="71" spans="1:9" ht="12.75" customHeight="1" x14ac:dyDescent="0.25">
      <c r="A71" s="2"/>
      <c r="C71" s="397" t="s">
        <v>1731</v>
      </c>
      <c r="D71" s="99"/>
      <c r="E71" s="7"/>
      <c r="F71" s="13"/>
    </row>
    <row r="72" spans="1:9" x14ac:dyDescent="0.2">
      <c r="A72" s="2"/>
      <c r="D72" s="99"/>
      <c r="E72" s="7"/>
      <c r="F72" s="13"/>
    </row>
    <row r="73" spans="1:9" ht="12.75" customHeight="1" x14ac:dyDescent="0.25">
      <c r="A73" s="2"/>
      <c r="C73" s="397" t="s">
        <v>1608</v>
      </c>
      <c r="D73" s="99"/>
      <c r="E73" s="7"/>
      <c r="F73" s="13"/>
    </row>
    <row r="74" spans="1:9" ht="15" x14ac:dyDescent="0.25">
      <c r="A74" s="2"/>
      <c r="C74" s="397"/>
      <c r="D74" s="90" t="s">
        <v>396</v>
      </c>
      <c r="E74" s="90" t="s">
        <v>380</v>
      </c>
      <c r="F74" s="90" t="s">
        <v>381</v>
      </c>
      <c r="G74" s="90" t="s">
        <v>382</v>
      </c>
      <c r="H74" s="90" t="s">
        <v>383</v>
      </c>
    </row>
    <row r="75" spans="1:9" ht="15" x14ac:dyDescent="0.25">
      <c r="A75" s="2"/>
      <c r="C75" s="397"/>
      <c r="D75" s="2" t="s">
        <v>1609</v>
      </c>
      <c r="E75" s="531" t="s">
        <v>1610</v>
      </c>
      <c r="F75" s="2"/>
      <c r="H75" s="101" t="s">
        <v>1669</v>
      </c>
    </row>
    <row r="76" spans="1:9" ht="15" x14ac:dyDescent="0.25">
      <c r="A76" s="2"/>
      <c r="C76" s="3" t="s">
        <v>252</v>
      </c>
      <c r="D76" s="3" t="s">
        <v>1611</v>
      </c>
      <c r="E76" s="455" t="s">
        <v>1612</v>
      </c>
      <c r="F76" s="3" t="s">
        <v>10</v>
      </c>
      <c r="G76" s="3" t="s">
        <v>1616</v>
      </c>
      <c r="H76" s="3" t="s">
        <v>217</v>
      </c>
      <c r="I76" s="3" t="s">
        <v>200</v>
      </c>
    </row>
    <row r="77" spans="1:9" x14ac:dyDescent="0.2">
      <c r="A77" s="2">
        <f>A69+1</f>
        <v>39</v>
      </c>
      <c r="C77" s="99" t="s">
        <v>1417</v>
      </c>
      <c r="D77" s="532">
        <f t="shared" ref="D77:D85" si="3">$D$26*(D9/$D$20)</f>
        <v>58924724.892318457</v>
      </c>
      <c r="E77" s="532">
        <f t="shared" ref="E77:E85" si="4">$D$34*(D9/$D$20)</f>
        <v>26607643.677445505</v>
      </c>
      <c r="F77" s="532">
        <f>D48</f>
        <v>7708552.9314720184</v>
      </c>
      <c r="G77" s="7">
        <f>(D77+E77+F77)*('28-FFU'!$D$22+'28-FFU'!$E$22)</f>
        <v>1044018.5980493391</v>
      </c>
      <c r="H77" s="150">
        <f>SUM(D77:G77)</f>
        <v>94284940.099285319</v>
      </c>
      <c r="I77" s="13" t="s">
        <v>398</v>
      </c>
    </row>
    <row r="78" spans="1:9" x14ac:dyDescent="0.2">
      <c r="A78" s="2">
        <f t="shared" ref="A78:A88" si="5">A77+1</f>
        <v>40</v>
      </c>
      <c r="C78" s="99" t="s">
        <v>1418</v>
      </c>
      <c r="D78" s="532">
        <f t="shared" si="3"/>
        <v>40192670.446385108</v>
      </c>
      <c r="E78" s="532">
        <f t="shared" si="4"/>
        <v>18149125.95072332</v>
      </c>
      <c r="F78" s="532">
        <f>D55</f>
        <v>4206415.2616323587</v>
      </c>
      <c r="G78" s="7">
        <f>(D78+E78+F78)*('28-FFU'!$D$22+'28-FFU'!$E$22)</f>
        <v>700352.32594292052</v>
      </c>
      <c r="H78" s="150">
        <f t="shared" ref="H78:H85" si="6">SUM(D78:G78)</f>
        <v>63248563.984683707</v>
      </c>
      <c r="I78" s="13" t="s">
        <v>398</v>
      </c>
    </row>
    <row r="79" spans="1:9" x14ac:dyDescent="0.2">
      <c r="A79" s="2">
        <f t="shared" si="5"/>
        <v>41</v>
      </c>
      <c r="C79" s="99" t="s">
        <v>1419</v>
      </c>
      <c r="D79" s="532">
        <f t="shared" si="3"/>
        <v>11225648.395410037</v>
      </c>
      <c r="E79" s="532">
        <f t="shared" si="4"/>
        <v>5068976.6154902438</v>
      </c>
      <c r="F79" s="532">
        <v>0</v>
      </c>
      <c r="G79" s="7">
        <f>(D79+E79+F79)*('28-FFU'!$D$22+'28-FFU'!$E$22)</f>
        <v>182450.91624705042</v>
      </c>
      <c r="H79" s="150">
        <f t="shared" si="6"/>
        <v>16477075.927147333</v>
      </c>
      <c r="I79" s="13" t="s">
        <v>398</v>
      </c>
    </row>
    <row r="80" spans="1:9" x14ac:dyDescent="0.2">
      <c r="A80" s="2">
        <f t="shared" si="5"/>
        <v>42</v>
      </c>
      <c r="C80" s="99" t="s">
        <v>1420</v>
      </c>
      <c r="D80" s="532">
        <f t="shared" si="3"/>
        <v>-5217.0787026238786</v>
      </c>
      <c r="E80" s="532">
        <f t="shared" si="4"/>
        <v>-2355.7881926522482</v>
      </c>
      <c r="F80" s="532">
        <v>0</v>
      </c>
      <c r="G80" s="7">
        <f>(D80+E80+F80)*('28-FFU'!$D$22+'28-FFU'!$E$22)</f>
        <v>-84.79339062640679</v>
      </c>
      <c r="H80" s="150">
        <f t="shared" si="6"/>
        <v>-7657.6602859025343</v>
      </c>
      <c r="I80" s="13" t="s">
        <v>398</v>
      </c>
    </row>
    <row r="81" spans="1:9" x14ac:dyDescent="0.2">
      <c r="A81" s="2">
        <f t="shared" si="5"/>
        <v>43</v>
      </c>
      <c r="C81" s="99" t="s">
        <v>1421</v>
      </c>
      <c r="D81" s="532">
        <f t="shared" si="3"/>
        <v>11308557.618335046</v>
      </c>
      <c r="E81" s="532">
        <f t="shared" si="4"/>
        <v>5106414.5342110172</v>
      </c>
      <c r="F81" s="532">
        <v>0</v>
      </c>
      <c r="G81" s="7">
        <f>(D81+E81+F81)*('28-FFU'!$D$22+'28-FFU'!$E$22)</f>
        <v>183798.44319205824</v>
      </c>
      <c r="H81" s="150">
        <f t="shared" si="6"/>
        <v>16598770.59573812</v>
      </c>
      <c r="I81" s="13" t="s">
        <v>398</v>
      </c>
    </row>
    <row r="82" spans="1:9" x14ac:dyDescent="0.2">
      <c r="A82" s="2">
        <f t="shared" si="5"/>
        <v>44</v>
      </c>
      <c r="C82" s="99" t="s">
        <v>1422</v>
      </c>
      <c r="D82" s="532">
        <f t="shared" si="3"/>
        <v>244058.23265562393</v>
      </c>
      <c r="E82" s="532">
        <f t="shared" si="4"/>
        <v>110205.25768962024</v>
      </c>
      <c r="F82" s="532">
        <v>0</v>
      </c>
      <c r="G82" s="7">
        <f>(D82+E82+F82)*('28-FFU'!$D$22+'28-FFU'!$E$22)</f>
        <v>3966.6883013956985</v>
      </c>
      <c r="H82" s="150">
        <f t="shared" si="6"/>
        <v>358230.17864663986</v>
      </c>
      <c r="I82" s="13" t="s">
        <v>398</v>
      </c>
    </row>
    <row r="83" spans="1:9" x14ac:dyDescent="0.2">
      <c r="A83" s="2">
        <f t="shared" si="5"/>
        <v>45</v>
      </c>
      <c r="C83" s="99" t="s">
        <v>1423</v>
      </c>
      <c r="D83" s="532">
        <f t="shared" si="3"/>
        <v>3591705.4629219268</v>
      </c>
      <c r="E83" s="532">
        <f t="shared" si="4"/>
        <v>1621845.8266271746</v>
      </c>
      <c r="F83" s="532">
        <v>0</v>
      </c>
      <c r="G83" s="7">
        <f>(D83+E83+F83)*('28-FFU'!$D$22+'28-FFU'!$E$22)</f>
        <v>58376.133789081279</v>
      </c>
      <c r="H83" s="150">
        <f t="shared" si="6"/>
        <v>5271927.4233381823</v>
      </c>
      <c r="I83" s="13" t="s">
        <v>398</v>
      </c>
    </row>
    <row r="84" spans="1:9" x14ac:dyDescent="0.2">
      <c r="A84" s="2">
        <f t="shared" si="5"/>
        <v>46</v>
      </c>
      <c r="C84" s="99" t="s">
        <v>1424</v>
      </c>
      <c r="D84" s="532">
        <f t="shared" si="3"/>
        <v>776406.18992960243</v>
      </c>
      <c r="E84" s="532">
        <f t="shared" si="4"/>
        <v>350588.64149746753</v>
      </c>
      <c r="F84" s="532">
        <v>0</v>
      </c>
      <c r="G84" s="7">
        <f>(D84+E84+F84)*('28-FFU'!$D$22+'28-FFU'!$E$22)</f>
        <v>12618.961127488899</v>
      </c>
      <c r="H84" s="150">
        <f t="shared" si="6"/>
        <v>1139613.7925545587</v>
      </c>
      <c r="I84" s="13" t="s">
        <v>398</v>
      </c>
    </row>
    <row r="85" spans="1:9" x14ac:dyDescent="0.2">
      <c r="A85" s="2">
        <f t="shared" si="5"/>
        <v>47</v>
      </c>
      <c r="C85" s="99" t="s">
        <v>1425</v>
      </c>
      <c r="D85" s="532">
        <f t="shared" si="3"/>
        <v>861384.57589340943</v>
      </c>
      <c r="E85" s="532">
        <f t="shared" si="4"/>
        <v>388960.89725498523</v>
      </c>
      <c r="F85" s="532">
        <v>0</v>
      </c>
      <c r="G85" s="7">
        <f>(D85+E85+F85)*('28-FFU'!$D$22+'28-FFU'!$E$22)</f>
        <v>14000.118262842572</v>
      </c>
      <c r="H85" s="150">
        <f t="shared" si="6"/>
        <v>1264345.5914112371</v>
      </c>
      <c r="I85" s="13" t="s">
        <v>398</v>
      </c>
    </row>
    <row r="86" spans="1:9" x14ac:dyDescent="0.2">
      <c r="A86" s="2">
        <f t="shared" si="5"/>
        <v>48</v>
      </c>
      <c r="C86" s="467"/>
      <c r="D86" s="207" t="s">
        <v>88</v>
      </c>
      <c r="E86" s="207" t="s">
        <v>88</v>
      </c>
      <c r="F86" s="207" t="s">
        <v>88</v>
      </c>
      <c r="G86" s="207" t="s">
        <v>88</v>
      </c>
      <c r="H86" s="207" t="s">
        <v>88</v>
      </c>
      <c r="I86" s="13" t="s">
        <v>398</v>
      </c>
    </row>
    <row r="87" spans="1:9" x14ac:dyDescent="0.2">
      <c r="A87" s="2">
        <f t="shared" si="5"/>
        <v>49</v>
      </c>
      <c r="C87" s="467"/>
      <c r="D87" s="207" t="s">
        <v>88</v>
      </c>
      <c r="E87" s="207" t="s">
        <v>88</v>
      </c>
      <c r="F87" s="207" t="s">
        <v>88</v>
      </c>
      <c r="G87" s="207" t="s">
        <v>88</v>
      </c>
      <c r="H87" s="207" t="s">
        <v>88</v>
      </c>
      <c r="I87" s="13" t="s">
        <v>398</v>
      </c>
    </row>
    <row r="88" spans="1:9" x14ac:dyDescent="0.2">
      <c r="A88" s="2">
        <f t="shared" si="5"/>
        <v>50</v>
      </c>
      <c r="C88" s="99" t="s">
        <v>218</v>
      </c>
      <c r="D88" s="60">
        <f>SUM(D77:D87)</f>
        <v>127119938.73514658</v>
      </c>
      <c r="E88" s="60">
        <f>SUM(E77:E87)</f>
        <v>57401405.612746678</v>
      </c>
      <c r="F88" s="60">
        <f>SUM(F77:F87)</f>
        <v>11914968.193104377</v>
      </c>
      <c r="G88" s="60">
        <f>SUM(G77:G87)</f>
        <v>2199497.3915215502</v>
      </c>
      <c r="H88" s="60">
        <f>SUM(H77:H87)</f>
        <v>198635809.9325192</v>
      </c>
      <c r="I88" s="13" t="str">
        <f>"Sum L "&amp;A77&amp;" to L "&amp;A87&amp;""</f>
        <v>Sum L 39 to L 49</v>
      </c>
    </row>
    <row r="89" spans="1:9" x14ac:dyDescent="0.2">
      <c r="A89" s="2"/>
      <c r="C89" s="99"/>
      <c r="D89" s="99"/>
      <c r="E89" s="7"/>
      <c r="F89" s="13"/>
    </row>
    <row r="90" spans="1:9" ht="15" x14ac:dyDescent="0.25">
      <c r="A90" s="2"/>
      <c r="C90" s="397" t="s">
        <v>1732</v>
      </c>
      <c r="D90" s="99"/>
      <c r="E90" s="7"/>
      <c r="F90" s="13"/>
    </row>
    <row r="91" spans="1:9" ht="15" x14ac:dyDescent="0.25">
      <c r="A91" s="2"/>
      <c r="C91" s="397"/>
      <c r="D91" s="90" t="s">
        <v>396</v>
      </c>
      <c r="E91" s="90" t="s">
        <v>380</v>
      </c>
      <c r="F91" s="90" t="s">
        <v>381</v>
      </c>
      <c r="G91" s="90" t="s">
        <v>382</v>
      </c>
      <c r="H91" s="90" t="s">
        <v>383</v>
      </c>
    </row>
    <row r="92" spans="1:9" ht="15" x14ac:dyDescent="0.25">
      <c r="A92" s="2"/>
      <c r="C92" s="397"/>
      <c r="D92" s="2" t="s">
        <v>1609</v>
      </c>
      <c r="E92" s="531" t="s">
        <v>1610</v>
      </c>
      <c r="F92" s="2"/>
      <c r="H92" s="101" t="s">
        <v>1669</v>
      </c>
    </row>
    <row r="93" spans="1:9" ht="15" x14ac:dyDescent="0.25">
      <c r="A93" s="2"/>
      <c r="C93" s="3" t="s">
        <v>252</v>
      </c>
      <c r="D93" s="3" t="s">
        <v>1611</v>
      </c>
      <c r="E93" s="455" t="s">
        <v>1612</v>
      </c>
      <c r="F93" s="3" t="s">
        <v>10</v>
      </c>
      <c r="G93" s="3" t="s">
        <v>1668</v>
      </c>
      <c r="H93" s="3" t="s">
        <v>217</v>
      </c>
      <c r="I93" s="3" t="s">
        <v>200</v>
      </c>
    </row>
    <row r="94" spans="1:9" x14ac:dyDescent="0.2">
      <c r="A94" s="2">
        <f>A88+1</f>
        <v>51</v>
      </c>
      <c r="C94" s="99" t="s">
        <v>1417</v>
      </c>
      <c r="D94" s="60">
        <f t="shared" ref="D94:D102" si="7">$E$26*(E9/$E$20)</f>
        <v>69301471.771697178</v>
      </c>
      <c r="E94" s="60">
        <f t="shared" ref="E94:E102" si="8">$E$34*(E9/$E$20)</f>
        <v>31293296.160373714</v>
      </c>
      <c r="F94" s="533">
        <f>E48</f>
        <v>9066042.5544164516</v>
      </c>
      <c r="G94" s="7">
        <f>(D94+E94+F94)*('28-FFU'!$D$22)</f>
        <v>1002606.8581158564</v>
      </c>
      <c r="H94" s="445">
        <f>SUM(D94:G94)</f>
        <v>110663417.3446032</v>
      </c>
      <c r="I94" s="13" t="s">
        <v>1296</v>
      </c>
    </row>
    <row r="95" spans="1:9" x14ac:dyDescent="0.2">
      <c r="A95" s="2">
        <f t="shared" ref="A95:A105" si="9">A94+1</f>
        <v>52</v>
      </c>
      <c r="C95" s="99" t="s">
        <v>1418</v>
      </c>
      <c r="D95" s="60">
        <f t="shared" si="7"/>
        <v>22882980.313419223</v>
      </c>
      <c r="E95" s="60">
        <f t="shared" si="8"/>
        <v>10332881.27471311</v>
      </c>
      <c r="F95" s="533">
        <f>E55</f>
        <v>2394847.5319747399</v>
      </c>
      <c r="G95" s="7">
        <f>(D95+E95+F95)*('28-FFU'!$D$22)</f>
        <v>325581.59134331491</v>
      </c>
      <c r="H95" s="445">
        <f t="shared" ref="H95:H102" si="10">SUM(D95:G95)</f>
        <v>35936290.711450383</v>
      </c>
      <c r="I95" s="13" t="s">
        <v>1296</v>
      </c>
    </row>
    <row r="96" spans="1:9" x14ac:dyDescent="0.2">
      <c r="A96" s="2">
        <f t="shared" si="9"/>
        <v>53</v>
      </c>
      <c r="C96" s="99" t="s">
        <v>1419</v>
      </c>
      <c r="D96" s="60">
        <f t="shared" si="7"/>
        <v>5082454.6221957551</v>
      </c>
      <c r="E96" s="60">
        <f t="shared" si="8"/>
        <v>2294998.2684059958</v>
      </c>
      <c r="F96" s="533">
        <v>0</v>
      </c>
      <c r="G96" s="7">
        <f>(D96+E96+F96)*('28-FFU'!$D$22)</f>
        <v>67450.576288193683</v>
      </c>
      <c r="H96" s="445">
        <f t="shared" si="10"/>
        <v>7444903.4668899439</v>
      </c>
      <c r="I96" s="13" t="s">
        <v>1296</v>
      </c>
    </row>
    <row r="97" spans="1:9" x14ac:dyDescent="0.2">
      <c r="A97" s="2">
        <f t="shared" si="9"/>
        <v>54</v>
      </c>
      <c r="C97" s="99" t="s">
        <v>1420</v>
      </c>
      <c r="D97" s="60">
        <f t="shared" si="7"/>
        <v>-5257.687704393501</v>
      </c>
      <c r="E97" s="60">
        <f t="shared" si="8"/>
        <v>-2374.1253143131034</v>
      </c>
      <c r="F97" s="533">
        <v>0</v>
      </c>
      <c r="G97" s="7">
        <f>(D97+E97+F97)*('28-FFU'!$D$22)</f>
        <v>-69.776140067430745</v>
      </c>
      <c r="H97" s="445">
        <f t="shared" si="10"/>
        <v>-7701.5891587740352</v>
      </c>
      <c r="I97" s="13" t="s">
        <v>1296</v>
      </c>
    </row>
    <row r="98" spans="1:9" x14ac:dyDescent="0.2">
      <c r="A98" s="2">
        <f t="shared" si="9"/>
        <v>55</v>
      </c>
      <c r="C98" s="99" t="s">
        <v>1421</v>
      </c>
      <c r="D98" s="60">
        <f t="shared" si="7"/>
        <v>5212452.7602198198</v>
      </c>
      <c r="E98" s="60">
        <f t="shared" si="8"/>
        <v>2353699.3339026398</v>
      </c>
      <c r="F98" s="533">
        <v>0</v>
      </c>
      <c r="G98" s="7">
        <f>(D98+E98+F98)*('28-FFU'!$D$22)</f>
        <v>69175.815366142822</v>
      </c>
      <c r="H98" s="445">
        <f t="shared" si="10"/>
        <v>7635327.9094886025</v>
      </c>
      <c r="I98" s="13" t="s">
        <v>1296</v>
      </c>
    </row>
    <row r="99" spans="1:9" x14ac:dyDescent="0.2">
      <c r="A99" s="2">
        <f t="shared" si="9"/>
        <v>56</v>
      </c>
      <c r="C99" s="99" t="s">
        <v>1422</v>
      </c>
      <c r="D99" s="60">
        <f t="shared" si="7"/>
        <v>364303.84503780917</v>
      </c>
      <c r="E99" s="60">
        <f t="shared" si="8"/>
        <v>164502.53975395282</v>
      </c>
      <c r="F99" s="533">
        <v>0</v>
      </c>
      <c r="G99" s="7">
        <f>(D99+E99+F99)*('28-FFU'!$D$22)</f>
        <v>4834.7710148741216</v>
      </c>
      <c r="H99" s="445">
        <f t="shared" si="10"/>
        <v>533641.15580663609</v>
      </c>
      <c r="I99" s="13" t="s">
        <v>1296</v>
      </c>
    </row>
    <row r="100" spans="1:9" x14ac:dyDescent="0.2">
      <c r="A100" s="2">
        <f t="shared" si="9"/>
        <v>57</v>
      </c>
      <c r="C100" s="99" t="s">
        <v>1423</v>
      </c>
      <c r="D100" s="60">
        <f t="shared" si="7"/>
        <v>2191418.0607495396</v>
      </c>
      <c r="E100" s="60">
        <f t="shared" si="8"/>
        <v>989541.67397977237</v>
      </c>
      <c r="F100" s="533">
        <v>0</v>
      </c>
      <c r="G100" s="7">
        <f>(D100+E100+F100)*('28-FFU'!$D$22)</f>
        <v>29082.87866268315</v>
      </c>
      <c r="H100" s="445">
        <f t="shared" si="10"/>
        <v>3210042.613391995</v>
      </c>
      <c r="I100" s="13" t="s">
        <v>1296</v>
      </c>
    </row>
    <row r="101" spans="1:9" x14ac:dyDescent="0.2">
      <c r="A101" s="2">
        <f t="shared" si="9"/>
        <v>58</v>
      </c>
      <c r="C101" s="99" t="s">
        <v>1424</v>
      </c>
      <c r="D101" s="60">
        <f t="shared" si="7"/>
        <v>418712.42769805092</v>
      </c>
      <c r="E101" s="60">
        <f t="shared" si="8"/>
        <v>189070.90529259745</v>
      </c>
      <c r="F101" s="533">
        <v>0</v>
      </c>
      <c r="G101" s="7">
        <f>(D101+E101+F101)*('28-FFU'!$D$22)</f>
        <v>5556.8414568668995</v>
      </c>
      <c r="H101" s="445">
        <f t="shared" si="10"/>
        <v>613340.17444751528</v>
      </c>
      <c r="I101" s="13" t="s">
        <v>1296</v>
      </c>
    </row>
    <row r="102" spans="1:9" x14ac:dyDescent="0.2">
      <c r="A102" s="2">
        <f t="shared" si="9"/>
        <v>59</v>
      </c>
      <c r="C102" s="99" t="s">
        <v>1425</v>
      </c>
      <c r="D102" s="60">
        <f t="shared" si="7"/>
        <v>553929.92215391318</v>
      </c>
      <c r="E102" s="60">
        <f t="shared" si="8"/>
        <v>250128.78749762007</v>
      </c>
      <c r="F102" s="533">
        <v>0</v>
      </c>
      <c r="G102" s="7">
        <f>(D102+E102+F102)*('28-FFU'!$D$22)</f>
        <v>7351.347970602038</v>
      </c>
      <c r="H102" s="445">
        <f t="shared" si="10"/>
        <v>811410.05762213527</v>
      </c>
      <c r="I102" s="13" t="s">
        <v>1296</v>
      </c>
    </row>
    <row r="103" spans="1:9" x14ac:dyDescent="0.2">
      <c r="A103" s="2">
        <f t="shared" si="9"/>
        <v>60</v>
      </c>
      <c r="C103" s="467"/>
      <c r="D103" s="207" t="s">
        <v>88</v>
      </c>
      <c r="E103" s="207" t="s">
        <v>88</v>
      </c>
      <c r="F103" s="207" t="s">
        <v>88</v>
      </c>
      <c r="G103" s="207" t="s">
        <v>88</v>
      </c>
      <c r="H103" s="207" t="s">
        <v>88</v>
      </c>
      <c r="I103" s="13" t="s">
        <v>1296</v>
      </c>
    </row>
    <row r="104" spans="1:9" x14ac:dyDescent="0.2">
      <c r="A104" s="2">
        <f t="shared" si="9"/>
        <v>61</v>
      </c>
      <c r="C104" s="467"/>
      <c r="D104" s="207" t="s">
        <v>88</v>
      </c>
      <c r="E104" s="207" t="s">
        <v>88</v>
      </c>
      <c r="F104" s="207" t="s">
        <v>88</v>
      </c>
      <c r="G104" s="207" t="s">
        <v>88</v>
      </c>
      <c r="H104" s="207" t="s">
        <v>88</v>
      </c>
      <c r="I104" s="13" t="s">
        <v>1296</v>
      </c>
    </row>
    <row r="105" spans="1:9" x14ac:dyDescent="0.2">
      <c r="A105" s="2">
        <f t="shared" si="9"/>
        <v>62</v>
      </c>
      <c r="C105" s="99" t="s">
        <v>218</v>
      </c>
      <c r="D105" s="7">
        <f>SUM(D94:D104)</f>
        <v>106002466.03546688</v>
      </c>
      <c r="E105" s="7">
        <f>SUM(E94:E104)</f>
        <v>47865744.818605095</v>
      </c>
      <c r="F105" s="7">
        <f>SUM(F94:F104)</f>
        <v>11460890.086391192</v>
      </c>
      <c r="G105" s="60">
        <f>SUM(G94:G104)</f>
        <v>1511570.9040784666</v>
      </c>
      <c r="H105" s="7">
        <f>SUM(H94:H104)</f>
        <v>166840671.84454161</v>
      </c>
      <c r="I105" s="13" t="str">
        <f>"Sum of L "&amp;A94&amp;" to "&amp;A104&amp;""</f>
        <v>Sum of L 51 to 61</v>
      </c>
    </row>
    <row r="106" spans="1:9" x14ac:dyDescent="0.2">
      <c r="C106" s="99"/>
    </row>
    <row r="107" spans="1:9" x14ac:dyDescent="0.2">
      <c r="B107" s="1" t="s">
        <v>1415</v>
      </c>
    </row>
    <row r="108" spans="1:9" x14ac:dyDescent="0.2">
      <c r="B108" s="1"/>
    </row>
    <row r="109" spans="1:9" ht="15" x14ac:dyDescent="0.25">
      <c r="B109" s="1"/>
      <c r="C109" s="397" t="s">
        <v>1613</v>
      </c>
    </row>
    <row r="110" spans="1:9" x14ac:dyDescent="0.2">
      <c r="E110" s="3" t="s">
        <v>192</v>
      </c>
      <c r="F110" s="3" t="s">
        <v>200</v>
      </c>
    </row>
    <row r="111" spans="1:9" x14ac:dyDescent="0.2">
      <c r="A111" s="2">
        <f>A105+1</f>
        <v>63</v>
      </c>
      <c r="D111" s="99" t="s">
        <v>391</v>
      </c>
      <c r="E111" s="7">
        <f>F20</f>
        <v>-945609802.73903346</v>
      </c>
      <c r="F111" s="16" t="str">
        <f>"Line "&amp;A20&amp;", Col 3"</f>
        <v>Line 12, Col 3</v>
      </c>
    </row>
    <row r="112" spans="1:9" x14ac:dyDescent="0.2">
      <c r="A112" s="2">
        <f>A111+1</f>
        <v>64</v>
      </c>
      <c r="D112" s="99" t="s">
        <v>389</v>
      </c>
      <c r="E112" s="410">
        <f>'2-IFPTRR'!D25</f>
        <v>0.10877845800020682</v>
      </c>
      <c r="F112" s="46" t="str">
        <f>"2-IFPTRR, Line "&amp;'2-IFPTRR'!A25&amp;""</f>
        <v>2-IFPTRR, Line 16</v>
      </c>
      <c r="G112" s="14"/>
      <c r="H112" s="14"/>
    </row>
    <row r="113" spans="1:8" x14ac:dyDescent="0.2">
      <c r="A113" s="2">
        <f>A112+1</f>
        <v>65</v>
      </c>
      <c r="D113" s="99" t="s">
        <v>1661</v>
      </c>
      <c r="E113" s="7">
        <f>E111*E112</f>
        <v>-102861976.21183181</v>
      </c>
      <c r="F113" s="120" t="str">
        <f>"Line "&amp;A111&amp;" * Line "&amp;A112&amp;""</f>
        <v>Line 63 * Line 64</v>
      </c>
      <c r="G113" s="14"/>
      <c r="H113" s="14"/>
    </row>
    <row r="114" spans="1:8" x14ac:dyDescent="0.2">
      <c r="A114" s="539">
        <f>A113+1</f>
        <v>66</v>
      </c>
      <c r="D114" s="99" t="s">
        <v>1660</v>
      </c>
      <c r="E114" s="97">
        <f>E113*('28-FFU'!D22+'28-FFU'!E22)</f>
        <v>-1151745.5476438806</v>
      </c>
      <c r="F114" s="547" t="str">
        <f>"Line "&amp;A113&amp;" * (28-FFU, L"&amp;'28-FFU'!A22&amp;" FF Factor + U Factor)"</f>
        <v>Line 65 * (28-FFU, L5 FF Factor + U Factor)</v>
      </c>
      <c r="G114" s="14"/>
      <c r="H114" s="14"/>
    </row>
    <row r="115" spans="1:8" x14ac:dyDescent="0.2">
      <c r="A115" s="544">
        <f>A114+1</f>
        <v>67</v>
      </c>
      <c r="D115" s="99" t="s">
        <v>1662</v>
      </c>
      <c r="E115" s="7">
        <f>SUM(E113:E114)</f>
        <v>-104013721.75947569</v>
      </c>
      <c r="F115" s="16" t="str">
        <f>"Line "&amp;A113&amp;" + Line "&amp;A114&amp;""</f>
        <v>Line 65 + Line 66</v>
      </c>
    </row>
    <row r="116" spans="1:8" x14ac:dyDescent="0.2">
      <c r="A116" s="539"/>
      <c r="D116" s="99"/>
      <c r="E116" s="7"/>
    </row>
    <row r="117" spans="1:8" ht="15" x14ac:dyDescent="0.25">
      <c r="A117" s="2"/>
      <c r="C117" s="397" t="s">
        <v>1614</v>
      </c>
      <c r="D117" s="99"/>
      <c r="E117" s="7"/>
      <c r="F117" s="16"/>
    </row>
    <row r="118" spans="1:8" x14ac:dyDescent="0.2">
      <c r="A118" s="2"/>
      <c r="D118" s="572" t="s">
        <v>196</v>
      </c>
      <c r="E118" s="572" t="s">
        <v>196</v>
      </c>
    </row>
    <row r="119" spans="1:8" x14ac:dyDescent="0.2">
      <c r="A119" s="2"/>
      <c r="C119" s="3" t="s">
        <v>252</v>
      </c>
      <c r="D119" s="3" t="s">
        <v>1699</v>
      </c>
      <c r="E119" s="3" t="s">
        <v>1700</v>
      </c>
      <c r="F119" s="3" t="s">
        <v>200</v>
      </c>
    </row>
    <row r="120" spans="1:8" x14ac:dyDescent="0.2">
      <c r="A120" s="2">
        <f>A115+1</f>
        <v>68</v>
      </c>
      <c r="C120" s="99" t="s">
        <v>1417</v>
      </c>
      <c r="D120" s="60">
        <f>$E$113*(F9/$F$20)</f>
        <v>-13382811.436118981</v>
      </c>
      <c r="E120" s="60">
        <f>$E$115*(F9/$F$20)</f>
        <v>-13532658.775769206</v>
      </c>
      <c r="F120" s="13" t="s">
        <v>1311</v>
      </c>
    </row>
    <row r="121" spans="1:8" x14ac:dyDescent="0.2">
      <c r="A121" s="2">
        <f t="shared" ref="A121:A131" si="11">A120+1</f>
        <v>69</v>
      </c>
      <c r="C121" s="99" t="s">
        <v>1418</v>
      </c>
      <c r="D121" s="60">
        <f t="shared" ref="D121:D128" si="12">$E$113*(F10/$F$20)</f>
        <v>-58370617.793447964</v>
      </c>
      <c r="E121" s="60">
        <f t="shared" ref="E121:E128" si="13">$E$115*(F10/$F$20)</f>
        <v>-59024193.600881204</v>
      </c>
      <c r="F121" s="13" t="s">
        <v>1311</v>
      </c>
    </row>
    <row r="122" spans="1:8" x14ac:dyDescent="0.2">
      <c r="A122" s="2">
        <f t="shared" si="11"/>
        <v>70</v>
      </c>
      <c r="C122" s="99" t="s">
        <v>1419</v>
      </c>
      <c r="D122" s="60">
        <f t="shared" si="12"/>
        <v>-16294707.373597536</v>
      </c>
      <c r="E122" s="60">
        <f t="shared" si="13"/>
        <v>-16477159.212059708</v>
      </c>
      <c r="F122" s="13" t="s">
        <v>1311</v>
      </c>
    </row>
    <row r="123" spans="1:8" x14ac:dyDescent="0.2">
      <c r="A123" s="2">
        <f t="shared" si="11"/>
        <v>71</v>
      </c>
      <c r="C123" s="99" t="s">
        <v>1420</v>
      </c>
      <c r="D123" s="60">
        <f t="shared" si="12"/>
        <v>0</v>
      </c>
      <c r="E123" s="60">
        <f t="shared" si="13"/>
        <v>0</v>
      </c>
      <c r="F123" s="13" t="s">
        <v>1311</v>
      </c>
    </row>
    <row r="124" spans="1:8" x14ac:dyDescent="0.2">
      <c r="A124" s="2">
        <f t="shared" si="11"/>
        <v>72</v>
      </c>
      <c r="C124" s="99" t="s">
        <v>1421</v>
      </c>
      <c r="D124" s="60">
        <f t="shared" si="12"/>
        <v>-16468447.374903964</v>
      </c>
      <c r="E124" s="60">
        <f t="shared" si="13"/>
        <v>-16652844.580160765</v>
      </c>
      <c r="F124" s="13" t="s">
        <v>1311</v>
      </c>
    </row>
    <row r="125" spans="1:8" x14ac:dyDescent="0.2">
      <c r="A125" s="2">
        <f t="shared" si="11"/>
        <v>73</v>
      </c>
      <c r="C125" s="99" t="s">
        <v>1422</v>
      </c>
      <c r="D125" s="60">
        <f t="shared" si="12"/>
        <v>3259112.1124742469</v>
      </c>
      <c r="E125" s="60">
        <f t="shared" si="13"/>
        <v>3295604.3907976211</v>
      </c>
      <c r="F125" s="13" t="s">
        <v>1311</v>
      </c>
    </row>
    <row r="126" spans="1:8" x14ac:dyDescent="0.2">
      <c r="A126" s="2">
        <f t="shared" si="11"/>
        <v>74</v>
      </c>
      <c r="C126" s="99" t="s">
        <v>1423</v>
      </c>
      <c r="D126" s="60">
        <f t="shared" si="12"/>
        <v>-5222918.4201244125</v>
      </c>
      <c r="E126" s="60">
        <f t="shared" si="13"/>
        <v>-5281399.4376745457</v>
      </c>
      <c r="F126" s="13" t="s">
        <v>1311</v>
      </c>
    </row>
    <row r="127" spans="1:8" x14ac:dyDescent="0.2">
      <c r="A127" s="2">
        <f t="shared" si="11"/>
        <v>75</v>
      </c>
      <c r="C127" s="99" t="s">
        <v>1424</v>
      </c>
      <c r="D127" s="60">
        <f t="shared" si="12"/>
        <v>2139883.6009693388</v>
      </c>
      <c r="E127" s="60">
        <f t="shared" si="13"/>
        <v>2163843.8776493929</v>
      </c>
      <c r="F127" s="13" t="s">
        <v>1311</v>
      </c>
    </row>
    <row r="128" spans="1:8" x14ac:dyDescent="0.2">
      <c r="A128" s="2">
        <f t="shared" si="11"/>
        <v>76</v>
      </c>
      <c r="C128" s="99" t="s">
        <v>1425</v>
      </c>
      <c r="D128" s="60">
        <f t="shared" si="12"/>
        <v>1478530.4729174678</v>
      </c>
      <c r="E128" s="60">
        <f t="shared" si="13"/>
        <v>1495085.5786227246</v>
      </c>
      <c r="F128" s="13" t="s">
        <v>1311</v>
      </c>
    </row>
    <row r="129" spans="1:8" x14ac:dyDescent="0.2">
      <c r="A129" s="2">
        <f t="shared" si="11"/>
        <v>77</v>
      </c>
      <c r="C129" s="467"/>
      <c r="D129" s="530" t="s">
        <v>88</v>
      </c>
      <c r="E129" s="530" t="s">
        <v>88</v>
      </c>
      <c r="F129" s="13" t="s">
        <v>1311</v>
      </c>
    </row>
    <row r="130" spans="1:8" x14ac:dyDescent="0.2">
      <c r="A130" s="2">
        <f t="shared" si="11"/>
        <v>78</v>
      </c>
      <c r="C130" s="467"/>
      <c r="D130" s="530" t="s">
        <v>88</v>
      </c>
      <c r="E130" s="530" t="s">
        <v>88</v>
      </c>
      <c r="F130" s="13" t="s">
        <v>1311</v>
      </c>
    </row>
    <row r="131" spans="1:8" x14ac:dyDescent="0.2">
      <c r="A131" s="2">
        <f t="shared" si="11"/>
        <v>79</v>
      </c>
      <c r="C131" s="99" t="s">
        <v>218</v>
      </c>
      <c r="D131" s="7">
        <f>SUM(D120:D130)</f>
        <v>-102861976.21183179</v>
      </c>
      <c r="E131" s="7">
        <f>SUM(E120:E130)</f>
        <v>-104013721.75947569</v>
      </c>
      <c r="F131" s="13" t="str">
        <f>"Sum of Lines "&amp;A120&amp;" to "&amp;A130&amp;""</f>
        <v>Sum of Lines 68 to 78</v>
      </c>
    </row>
    <row r="133" spans="1:8" x14ac:dyDescent="0.2">
      <c r="B133" s="1" t="s">
        <v>1705</v>
      </c>
    </row>
    <row r="134" spans="1:8" x14ac:dyDescent="0.2">
      <c r="B134" s="1"/>
    </row>
    <row r="135" spans="1:8" ht="15" x14ac:dyDescent="0.25">
      <c r="C135" s="397" t="s">
        <v>1613</v>
      </c>
    </row>
    <row r="136" spans="1:8" x14ac:dyDescent="0.2">
      <c r="E136" s="3" t="s">
        <v>192</v>
      </c>
      <c r="F136" s="3" t="s">
        <v>200</v>
      </c>
      <c r="H136" s="1"/>
    </row>
    <row r="137" spans="1:8" x14ac:dyDescent="0.2">
      <c r="A137" s="2">
        <f>A131+1</f>
        <v>80</v>
      </c>
      <c r="D137" s="99" t="s">
        <v>1426</v>
      </c>
      <c r="E137" s="7">
        <f>SUM(D64:D67)</f>
        <v>196436312.54099765</v>
      </c>
      <c r="F137" s="16" t="str">
        <f>"Sum Line "&amp;A64&amp;" to "&amp;A67&amp;""</f>
        <v>Sum Line 33 to 36</v>
      </c>
    </row>
    <row r="138" spans="1:8" x14ac:dyDescent="0.2">
      <c r="A138" s="2">
        <f t="shared" ref="A138:A145" si="14">A137+1</f>
        <v>81</v>
      </c>
      <c r="D138" s="546" t="s">
        <v>1697</v>
      </c>
      <c r="E138" s="7">
        <f>E113</f>
        <v>-102861976.21183181</v>
      </c>
      <c r="F138" s="16" t="str">
        <f>"Line "&amp;A113&amp;""</f>
        <v>Line 65</v>
      </c>
    </row>
    <row r="139" spans="1:8" x14ac:dyDescent="0.2">
      <c r="A139" s="2">
        <f t="shared" si="14"/>
        <v>82</v>
      </c>
      <c r="D139" s="99" t="s">
        <v>1427</v>
      </c>
      <c r="E139" s="7">
        <f>SUM(E137:E138)</f>
        <v>93574336.329165846</v>
      </c>
      <c r="F139" s="16" t="str">
        <f>"Line "&amp;A137&amp;" + Line "&amp;A138&amp;""</f>
        <v>Line 80 + Line 81</v>
      </c>
    </row>
    <row r="140" spans="1:8" x14ac:dyDescent="0.2">
      <c r="A140" s="2">
        <f t="shared" si="14"/>
        <v>83</v>
      </c>
      <c r="D140" s="99" t="s">
        <v>1410</v>
      </c>
      <c r="E140" s="8">
        <f>'28-FFU'!D22</f>
        <v>9.1427999999999995E-3</v>
      </c>
      <c r="F140" s="46" t="str">
        <f>"28-FFU, Line "&amp;'28-FFU'!A22&amp;""</f>
        <v>28-FFU, Line 5</v>
      </c>
    </row>
    <row r="141" spans="1:8" x14ac:dyDescent="0.2">
      <c r="A141" s="2">
        <f t="shared" si="14"/>
        <v>84</v>
      </c>
      <c r="D141" s="99" t="s">
        <v>1411</v>
      </c>
      <c r="E141" s="8">
        <f>'28-FFU'!E22</f>
        <v>2.0541999999999999E-3</v>
      </c>
      <c r="F141" s="46" t="str">
        <f>"28-FFU, Line "&amp;'28-FFU'!A22&amp;""</f>
        <v>28-FFU, Line 5</v>
      </c>
    </row>
    <row r="142" spans="1:8" x14ac:dyDescent="0.2">
      <c r="A142" s="2">
        <f t="shared" si="14"/>
        <v>85</v>
      </c>
      <c r="D142" s="546" t="s">
        <v>1703</v>
      </c>
      <c r="E142" s="7">
        <f>E139*E140</f>
        <v>855531.44219029741</v>
      </c>
      <c r="F142" s="16" t="str">
        <f>"Line "&amp;A139&amp;" * Line "&amp;A140&amp;""</f>
        <v>Line 82 * Line 83</v>
      </c>
    </row>
    <row r="143" spans="1:8" x14ac:dyDescent="0.2">
      <c r="A143" s="573">
        <f t="shared" si="14"/>
        <v>86</v>
      </c>
      <c r="D143" s="546" t="s">
        <v>1704</v>
      </c>
      <c r="E143" s="7">
        <f>E139*E141</f>
        <v>192220.40168737248</v>
      </c>
      <c r="F143" s="16" t="str">
        <f>"Line "&amp;A139&amp;" * Line "&amp;A141&amp;""</f>
        <v>Line 82 * Line 84</v>
      </c>
    </row>
    <row r="144" spans="1:8" x14ac:dyDescent="0.2">
      <c r="A144" s="573">
        <f t="shared" si="14"/>
        <v>87</v>
      </c>
      <c r="D144" s="99" t="s">
        <v>1428</v>
      </c>
      <c r="E144" s="7">
        <f>E139+E142+E143</f>
        <v>94622088.173043519</v>
      </c>
      <c r="F144" s="13" t="str">
        <f>"Line "&amp;A139&amp;" + Line "&amp;A142&amp;" + Line "&amp;A143&amp;""</f>
        <v>Line 82 + Line 85 + Line 86</v>
      </c>
    </row>
    <row r="145" spans="1:8" x14ac:dyDescent="0.2">
      <c r="A145" s="573">
        <f t="shared" si="14"/>
        <v>88</v>
      </c>
      <c r="D145" s="546" t="s">
        <v>1702</v>
      </c>
      <c r="E145" s="7">
        <f>E139+E142</f>
        <v>94429867.771356151</v>
      </c>
      <c r="F145" s="13" t="str">
        <f>"Line "&amp;A139&amp;" + Line "&amp;A142&amp;""</f>
        <v>Line 82 + Line 85</v>
      </c>
    </row>
    <row r="147" spans="1:8" ht="15" x14ac:dyDescent="0.25">
      <c r="C147" s="397" t="s">
        <v>1615</v>
      </c>
    </row>
    <row r="148" spans="1:8" ht="15" x14ac:dyDescent="0.25">
      <c r="C148" s="397"/>
      <c r="D148" s="90" t="s">
        <v>396</v>
      </c>
      <c r="E148" s="90" t="s">
        <v>380</v>
      </c>
      <c r="F148" s="90" t="s">
        <v>381</v>
      </c>
      <c r="G148" s="90" t="s">
        <v>382</v>
      </c>
    </row>
    <row r="149" spans="1:8" ht="12.75" customHeight="1" x14ac:dyDescent="0.25">
      <c r="D149" s="260" t="s">
        <v>1607</v>
      </c>
      <c r="E149" s="260" t="s">
        <v>1217</v>
      </c>
    </row>
    <row r="150" spans="1:8" ht="12.75" customHeight="1" x14ac:dyDescent="0.25">
      <c r="D150" s="3" t="s">
        <v>1699</v>
      </c>
      <c r="E150" s="3" t="s">
        <v>1699</v>
      </c>
      <c r="F150" s="3" t="s">
        <v>1616</v>
      </c>
      <c r="G150" s="262" t="s">
        <v>217</v>
      </c>
      <c r="H150" s="3" t="s">
        <v>200</v>
      </c>
    </row>
    <row r="151" spans="1:8" x14ac:dyDescent="0.2">
      <c r="A151" s="573">
        <f>A145+1</f>
        <v>89</v>
      </c>
      <c r="C151" s="99" t="s">
        <v>1417</v>
      </c>
      <c r="D151" s="7">
        <f t="shared" ref="D151:D159" si="15">D77+E77+F77</f>
        <v>93240921.501235977</v>
      </c>
      <c r="E151" s="7">
        <f t="shared" ref="E151:E159" si="16">D120</f>
        <v>-13382811.436118981</v>
      </c>
      <c r="F151" s="7">
        <f>(D151+E151)*('28-FFU'!$D$22+'28-FFU'!$E$22)</f>
        <v>894171.25839911494</v>
      </c>
      <c r="G151" s="7">
        <f>SUM(D151:F151)</f>
        <v>80752281.323516116</v>
      </c>
      <c r="H151" s="13" t="s">
        <v>1313</v>
      </c>
    </row>
    <row r="152" spans="1:8" x14ac:dyDescent="0.2">
      <c r="A152" s="573">
        <f t="shared" ref="A152:A162" si="17">A151+1</f>
        <v>90</v>
      </c>
      <c r="C152" s="99" t="s">
        <v>1418</v>
      </c>
      <c r="D152" s="7">
        <f t="shared" si="15"/>
        <v>62548211.658740789</v>
      </c>
      <c r="E152" s="7">
        <f t="shared" si="16"/>
        <v>-58370617.793447964</v>
      </c>
      <c r="F152" s="7">
        <f>(D152+E152)*('28-FFU'!$D$22+'28-FFU'!$E$22)</f>
        <v>46776.518509683752</v>
      </c>
      <c r="G152" s="7">
        <f t="shared" ref="G152:G159" si="18">SUM(D152:F152)</f>
        <v>4224370.3838025089</v>
      </c>
      <c r="H152" s="13" t="s">
        <v>1313</v>
      </c>
    </row>
    <row r="153" spans="1:8" x14ac:dyDescent="0.2">
      <c r="A153" s="573">
        <f t="shared" si="17"/>
        <v>91</v>
      </c>
      <c r="C153" s="99" t="s">
        <v>1419</v>
      </c>
      <c r="D153" s="7">
        <f t="shared" si="15"/>
        <v>16294625.010900281</v>
      </c>
      <c r="E153" s="7">
        <f t="shared" si="16"/>
        <v>-16294707.373597536</v>
      </c>
      <c r="F153" s="7">
        <f>(D153+E153)*('28-FFU'!$D$22+'28-FFU'!$E$22)</f>
        <v>-0.92221512116273852</v>
      </c>
      <c r="G153" s="7">
        <f t="shared" si="18"/>
        <v>-83.284912376029098</v>
      </c>
      <c r="H153" s="13" t="s">
        <v>1313</v>
      </c>
    </row>
    <row r="154" spans="1:8" x14ac:dyDescent="0.2">
      <c r="A154" s="573">
        <f t="shared" si="17"/>
        <v>92</v>
      </c>
      <c r="C154" s="99" t="s">
        <v>1420</v>
      </c>
      <c r="D154" s="7">
        <f t="shared" si="15"/>
        <v>-7572.8668952761273</v>
      </c>
      <c r="E154" s="7">
        <f t="shared" si="16"/>
        <v>0</v>
      </c>
      <c r="F154" s="7">
        <f>(D154+E154)*('28-FFU'!$D$22+'28-FFU'!$E$22)</f>
        <v>-84.79339062640679</v>
      </c>
      <c r="G154" s="7">
        <f t="shared" si="18"/>
        <v>-7657.6602859025343</v>
      </c>
      <c r="H154" s="13" t="s">
        <v>1313</v>
      </c>
    </row>
    <row r="155" spans="1:8" x14ac:dyDescent="0.2">
      <c r="A155" s="573">
        <f t="shared" si="17"/>
        <v>93</v>
      </c>
      <c r="C155" s="99" t="s">
        <v>1421</v>
      </c>
      <c r="D155" s="7">
        <f t="shared" si="15"/>
        <v>16414972.152546063</v>
      </c>
      <c r="E155" s="7">
        <f t="shared" si="16"/>
        <v>-16468447.374903964</v>
      </c>
      <c r="F155" s="7">
        <f>(D155+E155)*('28-FFU'!$D$22+'28-FFU'!$E$22)</f>
        <v>-598.76206474141532</v>
      </c>
      <c r="G155" s="7">
        <f t="shared" si="18"/>
        <v>-54073.984422642228</v>
      </c>
      <c r="H155" s="13" t="s">
        <v>1313</v>
      </c>
    </row>
    <row r="156" spans="1:8" x14ac:dyDescent="0.2">
      <c r="A156" s="573">
        <f t="shared" si="17"/>
        <v>94</v>
      </c>
      <c r="C156" s="99" t="s">
        <v>1422</v>
      </c>
      <c r="D156" s="7">
        <f t="shared" si="15"/>
        <v>354263.49034524418</v>
      </c>
      <c r="E156" s="7">
        <f t="shared" si="16"/>
        <v>3259112.1124742469</v>
      </c>
      <c r="F156" s="7">
        <f>(D156+E156)*('28-FFU'!$D$22+'28-FFU'!$E$22)</f>
        <v>40458.966624769841</v>
      </c>
      <c r="G156" s="7">
        <f t="shared" si="18"/>
        <v>3653834.569444261</v>
      </c>
      <c r="H156" s="13" t="s">
        <v>1313</v>
      </c>
    </row>
    <row r="157" spans="1:8" x14ac:dyDescent="0.2">
      <c r="A157" s="573">
        <f t="shared" si="17"/>
        <v>95</v>
      </c>
      <c r="C157" s="99" t="s">
        <v>1423</v>
      </c>
      <c r="D157" s="7">
        <f t="shared" si="15"/>
        <v>5213551.2895491011</v>
      </c>
      <c r="E157" s="7">
        <f t="shared" si="16"/>
        <v>-5222918.4201244125</v>
      </c>
      <c r="F157" s="7">
        <f>(D157+E157)*('28-FFU'!$D$22+'28-FFU'!$E$22)</f>
        <v>-104.8837610517614</v>
      </c>
      <c r="G157" s="7">
        <f t="shared" si="18"/>
        <v>-9472.0143363631323</v>
      </c>
      <c r="H157" s="13" t="s">
        <v>1313</v>
      </c>
    </row>
    <row r="158" spans="1:8" x14ac:dyDescent="0.2">
      <c r="A158" s="573">
        <f t="shared" si="17"/>
        <v>96</v>
      </c>
      <c r="C158" s="99" t="s">
        <v>1424</v>
      </c>
      <c r="D158" s="7">
        <f t="shared" si="15"/>
        <v>1126994.8314270698</v>
      </c>
      <c r="E158" s="7">
        <f t="shared" si="16"/>
        <v>2139883.6009693388</v>
      </c>
      <c r="F158" s="7">
        <f>(D158+E158)*('28-FFU'!$D$22+'28-FFU'!$E$22)</f>
        <v>36579.23780754258</v>
      </c>
      <c r="G158" s="7">
        <f t="shared" si="18"/>
        <v>3303457.6702039512</v>
      </c>
      <c r="H158" s="13" t="s">
        <v>1313</v>
      </c>
    </row>
    <row r="159" spans="1:8" x14ac:dyDescent="0.2">
      <c r="A159" s="573">
        <f t="shared" si="17"/>
        <v>97</v>
      </c>
      <c r="C159" s="99" t="s">
        <v>1425</v>
      </c>
      <c r="D159" s="7">
        <f t="shared" si="15"/>
        <v>1250345.4731483946</v>
      </c>
      <c r="E159" s="7">
        <f t="shared" si="16"/>
        <v>1478530.4729174678</v>
      </c>
      <c r="F159" s="7">
        <f>(D159+E159)*('28-FFU'!$D$22+'28-FFU'!$E$22)</f>
        <v>30555.223968099461</v>
      </c>
      <c r="G159" s="7">
        <f t="shared" si="18"/>
        <v>2759431.170033962</v>
      </c>
      <c r="H159" s="13" t="s">
        <v>1313</v>
      </c>
    </row>
    <row r="160" spans="1:8" x14ac:dyDescent="0.2">
      <c r="A160" s="573">
        <f t="shared" si="17"/>
        <v>98</v>
      </c>
      <c r="C160" s="467"/>
      <c r="D160" s="530" t="s">
        <v>88</v>
      </c>
      <c r="E160" s="530" t="s">
        <v>88</v>
      </c>
      <c r="F160" s="530" t="s">
        <v>88</v>
      </c>
      <c r="G160" s="530" t="s">
        <v>88</v>
      </c>
      <c r="H160" s="13" t="s">
        <v>1313</v>
      </c>
    </row>
    <row r="161" spans="1:8" x14ac:dyDescent="0.2">
      <c r="A161" s="573">
        <f t="shared" si="17"/>
        <v>99</v>
      </c>
      <c r="C161" s="467"/>
      <c r="D161" s="530" t="s">
        <v>88</v>
      </c>
      <c r="E161" s="530" t="s">
        <v>88</v>
      </c>
      <c r="F161" s="530" t="s">
        <v>88</v>
      </c>
      <c r="G161" s="530" t="s">
        <v>88</v>
      </c>
      <c r="H161" s="13" t="s">
        <v>1313</v>
      </c>
    </row>
    <row r="162" spans="1:8" x14ac:dyDescent="0.2">
      <c r="A162" s="573">
        <f t="shared" si="17"/>
        <v>100</v>
      </c>
      <c r="C162" s="99" t="s">
        <v>218</v>
      </c>
      <c r="D162" s="7">
        <f>SUM(D151:D161)</f>
        <v>196436312.54099765</v>
      </c>
      <c r="E162" s="7">
        <f>SUM(E151:E161)</f>
        <v>-102861976.21183179</v>
      </c>
      <c r="F162" s="7">
        <f>SUM(F151:F161)</f>
        <v>1047751.8438776697</v>
      </c>
      <c r="G162" s="7">
        <f>SUM(G151:G161)</f>
        <v>94622088.173043504</v>
      </c>
    </row>
    <row r="164" spans="1:8" ht="15" x14ac:dyDescent="0.25">
      <c r="C164" s="397" t="s">
        <v>1698</v>
      </c>
    </row>
    <row r="165" spans="1:8" ht="15" x14ac:dyDescent="0.25">
      <c r="C165" s="397"/>
    </row>
    <row r="166" spans="1:8" x14ac:dyDescent="0.2">
      <c r="D166" s="90" t="s">
        <v>396</v>
      </c>
      <c r="E166" s="90" t="s">
        <v>380</v>
      </c>
      <c r="F166" s="90" t="s">
        <v>381</v>
      </c>
      <c r="G166" s="90" t="s">
        <v>382</v>
      </c>
    </row>
    <row r="167" spans="1:8" ht="12.75" customHeight="1" x14ac:dyDescent="0.25">
      <c r="D167" s="260" t="s">
        <v>1607</v>
      </c>
      <c r="E167" s="260" t="s">
        <v>1217</v>
      </c>
      <c r="F167" s="90"/>
      <c r="G167" s="90"/>
    </row>
    <row r="168" spans="1:8" ht="12.75" customHeight="1" x14ac:dyDescent="0.25">
      <c r="D168" s="3" t="s">
        <v>1699</v>
      </c>
      <c r="E168" s="3" t="s">
        <v>1699</v>
      </c>
      <c r="F168" s="3" t="s">
        <v>1668</v>
      </c>
      <c r="G168" s="262" t="s">
        <v>217</v>
      </c>
      <c r="H168" s="3" t="s">
        <v>200</v>
      </c>
    </row>
    <row r="169" spans="1:8" x14ac:dyDescent="0.2">
      <c r="A169" s="573">
        <f>A162+1</f>
        <v>101</v>
      </c>
      <c r="C169" s="99" t="s">
        <v>1417</v>
      </c>
      <c r="D169" s="7">
        <f t="shared" ref="D169:D177" si="19">D77+E77+F77</f>
        <v>93240921.501235977</v>
      </c>
      <c r="E169" s="7">
        <f t="shared" ref="E169:E177" si="20">D120</f>
        <v>-13382811.436118981</v>
      </c>
      <c r="F169" s="7">
        <f>(D169+E169)*('28-FFU'!$D$22)</f>
        <v>730126.72870335169</v>
      </c>
      <c r="G169" s="7">
        <f>SUM(D169:F169)</f>
        <v>80588236.793820351</v>
      </c>
      <c r="H169" s="552" t="s">
        <v>1314</v>
      </c>
    </row>
    <row r="170" spans="1:8" x14ac:dyDescent="0.2">
      <c r="A170" s="573">
        <f t="shared" ref="A170:A180" si="21">A169+1</f>
        <v>102</v>
      </c>
      <c r="C170" s="99" t="s">
        <v>1418</v>
      </c>
      <c r="D170" s="7">
        <f t="shared" si="19"/>
        <v>62548211.658740789</v>
      </c>
      <c r="E170" s="7">
        <f t="shared" si="20"/>
        <v>-58370617.793447964</v>
      </c>
      <c r="F170" s="7">
        <f>(D170+E170)*('28-FFU'!$D$22)</f>
        <v>38194.905191599239</v>
      </c>
      <c r="G170" s="7">
        <f t="shared" ref="G170:G177" si="22">SUM(D170:F170)</f>
        <v>4215788.7704844242</v>
      </c>
      <c r="H170" s="552" t="s">
        <v>1314</v>
      </c>
    </row>
    <row r="171" spans="1:8" x14ac:dyDescent="0.2">
      <c r="A171" s="573">
        <f t="shared" si="21"/>
        <v>103</v>
      </c>
      <c r="C171" s="99" t="s">
        <v>1419</v>
      </c>
      <c r="D171" s="7">
        <f t="shared" si="19"/>
        <v>16294625.010900281</v>
      </c>
      <c r="E171" s="7">
        <f t="shared" si="20"/>
        <v>-16294707.373597536</v>
      </c>
      <c r="F171" s="7">
        <f>(D171+E171)*('28-FFU'!$D$22)</f>
        <v>-0.75302566846179209</v>
      </c>
      <c r="G171" s="7">
        <f t="shared" si="22"/>
        <v>-83.11572292332815</v>
      </c>
      <c r="H171" s="552" t="s">
        <v>1314</v>
      </c>
    </row>
    <row r="172" spans="1:8" x14ac:dyDescent="0.2">
      <c r="A172" s="573">
        <f t="shared" si="21"/>
        <v>104</v>
      </c>
      <c r="C172" s="99" t="s">
        <v>1420</v>
      </c>
      <c r="D172" s="7">
        <f t="shared" si="19"/>
        <v>-7572.8668952761273</v>
      </c>
      <c r="E172" s="7">
        <f t="shared" si="20"/>
        <v>0</v>
      </c>
      <c r="F172" s="7">
        <f>(D172+E172)*('28-FFU'!$D$22)</f>
        <v>-69.237207450130569</v>
      </c>
      <c r="G172" s="7">
        <f t="shared" si="22"/>
        <v>-7642.1041027262581</v>
      </c>
      <c r="H172" s="552" t="s">
        <v>1314</v>
      </c>
    </row>
    <row r="173" spans="1:8" x14ac:dyDescent="0.2">
      <c r="A173" s="573">
        <f t="shared" si="21"/>
        <v>105</v>
      </c>
      <c r="C173" s="99" t="s">
        <v>1421</v>
      </c>
      <c r="D173" s="7">
        <f t="shared" si="19"/>
        <v>16414972.152546063</v>
      </c>
      <c r="E173" s="7">
        <f t="shared" si="20"/>
        <v>-16468447.374903964</v>
      </c>
      <c r="F173" s="7">
        <f>(D173+E173)*('28-FFU'!$D$22)</f>
        <v>-488.91326297381551</v>
      </c>
      <c r="G173" s="7">
        <f t="shared" si="22"/>
        <v>-53964.135620874629</v>
      </c>
      <c r="H173" s="552" t="s">
        <v>1314</v>
      </c>
    </row>
    <row r="174" spans="1:8" x14ac:dyDescent="0.2">
      <c r="A174" s="573">
        <f t="shared" si="21"/>
        <v>106</v>
      </c>
      <c r="C174" s="99" t="s">
        <v>1422</v>
      </c>
      <c r="D174" s="7">
        <f t="shared" si="19"/>
        <v>354263.49034524418</v>
      </c>
      <c r="E174" s="7">
        <f t="shared" si="20"/>
        <v>3259112.1124742469</v>
      </c>
      <c r="F174" s="7">
        <f>(D174+E174)*('28-FFU'!$D$22)</f>
        <v>33036.370461458042</v>
      </c>
      <c r="G174" s="7">
        <f t="shared" si="22"/>
        <v>3646411.9732809491</v>
      </c>
      <c r="H174" s="552" t="s">
        <v>1314</v>
      </c>
    </row>
    <row r="175" spans="1:8" x14ac:dyDescent="0.2">
      <c r="A175" s="573">
        <f t="shared" si="21"/>
        <v>107</v>
      </c>
      <c r="C175" s="99" t="s">
        <v>1423</v>
      </c>
      <c r="D175" s="7">
        <f t="shared" si="19"/>
        <v>5213551.2895491011</v>
      </c>
      <c r="E175" s="7">
        <f t="shared" si="20"/>
        <v>-5222918.4201244125</v>
      </c>
      <c r="F175" s="7">
        <f>(D175+E175)*('28-FFU'!$D$22)</f>
        <v>-85.641801423956792</v>
      </c>
      <c r="G175" s="7">
        <f t="shared" si="22"/>
        <v>-9452.7723767353273</v>
      </c>
      <c r="H175" s="552" t="s">
        <v>1314</v>
      </c>
    </row>
    <row r="176" spans="1:8" x14ac:dyDescent="0.2">
      <c r="A176" s="573">
        <f t="shared" si="21"/>
        <v>108</v>
      </c>
      <c r="C176" s="99" t="s">
        <v>1424</v>
      </c>
      <c r="D176" s="7">
        <f t="shared" si="19"/>
        <v>1126994.8314270698</v>
      </c>
      <c r="E176" s="7">
        <f t="shared" si="20"/>
        <v>2139883.6009693388</v>
      </c>
      <c r="F176" s="7">
        <f>(D176+E176)*('28-FFU'!$D$22)</f>
        <v>29868.416131713882</v>
      </c>
      <c r="G176" s="7">
        <f t="shared" si="22"/>
        <v>3296746.8485281225</v>
      </c>
      <c r="H176" s="552" t="s">
        <v>1314</v>
      </c>
    </row>
    <row r="177" spans="1:11" x14ac:dyDescent="0.2">
      <c r="A177" s="573">
        <f t="shared" si="21"/>
        <v>109</v>
      </c>
      <c r="C177" s="99" t="s">
        <v>1425</v>
      </c>
      <c r="D177" s="7">
        <f t="shared" si="19"/>
        <v>1250345.4731483946</v>
      </c>
      <c r="E177" s="7">
        <f t="shared" si="20"/>
        <v>1478530.4729174678</v>
      </c>
      <c r="F177" s="7">
        <f>(D177+E177)*('28-FFU'!$D$22)</f>
        <v>24949.566999690967</v>
      </c>
      <c r="G177" s="7">
        <f t="shared" si="22"/>
        <v>2753825.5130655537</v>
      </c>
      <c r="H177" s="552" t="s">
        <v>1314</v>
      </c>
    </row>
    <row r="178" spans="1:11" x14ac:dyDescent="0.2">
      <c r="A178" s="573">
        <f t="shared" si="21"/>
        <v>110</v>
      </c>
      <c r="C178" s="467"/>
      <c r="D178" s="530" t="s">
        <v>88</v>
      </c>
      <c r="E178" s="530" t="s">
        <v>88</v>
      </c>
      <c r="F178" s="530" t="s">
        <v>88</v>
      </c>
      <c r="G178" s="530" t="s">
        <v>88</v>
      </c>
      <c r="H178" s="552" t="s">
        <v>1314</v>
      </c>
    </row>
    <row r="179" spans="1:11" x14ac:dyDescent="0.2">
      <c r="A179" s="573">
        <f t="shared" si="21"/>
        <v>111</v>
      </c>
      <c r="C179" s="467"/>
      <c r="D179" s="530" t="s">
        <v>88</v>
      </c>
      <c r="E179" s="530" t="s">
        <v>88</v>
      </c>
      <c r="F179" s="530" t="s">
        <v>88</v>
      </c>
      <c r="G179" s="530" t="s">
        <v>88</v>
      </c>
      <c r="H179" s="552" t="s">
        <v>1314</v>
      </c>
    </row>
    <row r="180" spans="1:11" x14ac:dyDescent="0.2">
      <c r="A180" s="573">
        <f t="shared" si="21"/>
        <v>112</v>
      </c>
      <c r="C180" s="99" t="s">
        <v>218</v>
      </c>
      <c r="D180" s="7">
        <f>SUM(D169:D179)</f>
        <v>196436312.54099765</v>
      </c>
      <c r="E180" s="7">
        <f>SUM(E169:E179)</f>
        <v>-102861976.21183179</v>
      </c>
      <c r="F180" s="7">
        <f>SUM(F169:F179)</f>
        <v>855531.44219029753</v>
      </c>
      <c r="G180" s="7">
        <f>SUM(G169:G179)</f>
        <v>94429867.771356121</v>
      </c>
    </row>
    <row r="182" spans="1:11" x14ac:dyDescent="0.2">
      <c r="B182" s="1" t="s">
        <v>258</v>
      </c>
    </row>
    <row r="183" spans="1:11" x14ac:dyDescent="0.2">
      <c r="B183" s="116" t="str">
        <f>"1) (Sum Lines "&amp;A64&amp;" to "&amp;A67&amp;") * (FF + U Factors from 28-FFU) for Prior Year TRR"</f>
        <v>1) (Sum Lines 33 to 36) * (FF + U Factors from 28-FFU) for Prior Year TRR</v>
      </c>
      <c r="C183" s="14"/>
      <c r="D183" s="14"/>
      <c r="E183" s="14"/>
      <c r="F183" s="14"/>
      <c r="G183" s="14"/>
      <c r="H183" s="14"/>
      <c r="I183" s="14"/>
      <c r="J183" s="14"/>
      <c r="K183" s="14"/>
    </row>
    <row r="184" spans="1:11" x14ac:dyDescent="0.2">
      <c r="B184" s="46" t="str">
        <f>"(Sum Lines "&amp;A65&amp;" to "&amp;A68&amp;") * (FF Factor from 28-FFU) for True Up TRR"</f>
        <v>(Sum Lines 34 to 37) * (FF Factor from 28-FFU) for True Up TRR</v>
      </c>
      <c r="C184" s="14"/>
      <c r="D184" s="14"/>
      <c r="E184" s="14"/>
      <c r="F184" s="14"/>
      <c r="G184" s="14"/>
      <c r="H184" s="14"/>
      <c r="I184" s="14"/>
      <c r="J184" s="14"/>
      <c r="K184" s="14"/>
    </row>
    <row r="185" spans="1:11" x14ac:dyDescent="0.2">
      <c r="B185" s="15" t="str">
        <f>"2) Project Cost of capital is a fraction of total Cost of Capital on Line "&amp;A26&amp;" based on fraction of project CWIP Balances on Lines "&amp;A9&amp;" to "&amp;A20&amp;", Col 1."</f>
        <v>2) Project Cost of capital is a fraction of total Cost of Capital on Line 15 based on fraction of project CWIP Balances on Lines 1 to 12, Col 1.</v>
      </c>
      <c r="C185" s="14"/>
      <c r="D185" s="14"/>
      <c r="E185" s="14"/>
      <c r="F185" s="14"/>
      <c r="G185" s="14"/>
      <c r="H185" s="14"/>
      <c r="I185" s="14"/>
      <c r="J185" s="14"/>
      <c r="K185" s="14"/>
    </row>
    <row r="186" spans="1:11" x14ac:dyDescent="0.2">
      <c r="B186" s="46" t="str">
        <f>"Project Income Taxes is a fraction of total Income on Line "&amp;A34&amp;" based on fraction of project CWIP Balances on Lines "&amp;A9&amp;" to "&amp;A20&amp;", Col 1."</f>
        <v>Project Income Taxes is a fraction of total Income on Line 19 based on fraction of project CWIP Balances on Lines 1 to 12, Col 1.</v>
      </c>
      <c r="C186" s="14"/>
      <c r="D186" s="14"/>
      <c r="E186" s="14"/>
      <c r="F186" s="14"/>
      <c r="G186" s="14"/>
      <c r="H186" s="14"/>
      <c r="I186" s="14"/>
      <c r="J186" s="14"/>
      <c r="K186" s="14"/>
    </row>
    <row r="187" spans="1:11" x14ac:dyDescent="0.2">
      <c r="B187" s="120" t="str">
        <f>"ROE Adder is from Lines "&amp;A66&amp;" and "&amp;A67&amp;".  FF&amp;U Expenses are based on FF&amp;U Factors on 28-FFU."</f>
        <v>ROE Adder is from Lines 35 and 36.  FF&amp;U Expenses are based on FF&amp;U Factors on 28-FFU.</v>
      </c>
      <c r="C187" s="14"/>
      <c r="D187" s="14"/>
      <c r="E187" s="14"/>
      <c r="F187" s="14"/>
      <c r="G187" s="14"/>
      <c r="H187" s="14"/>
      <c r="I187" s="14"/>
      <c r="J187" s="14"/>
      <c r="K187" s="14"/>
    </row>
    <row r="188" spans="1:11" x14ac:dyDescent="0.2">
      <c r="B188" s="15" t="str">
        <f>"3) Project Cost of capital is a fraction of total Cost of Capital on Line "&amp;A26&amp;" based on fraction of project CWIP Balances on Lines "&amp;A9&amp;" to "&amp;A20&amp;", Col 2."</f>
        <v>3) Project Cost of capital is a fraction of total Cost of Capital on Line 15 based on fraction of project CWIP Balances on Lines 1 to 12, Col 2.</v>
      </c>
      <c r="C188" s="14"/>
      <c r="D188" s="14"/>
      <c r="E188" s="14"/>
      <c r="F188" s="14"/>
      <c r="G188" s="14"/>
      <c r="H188" s="14"/>
      <c r="I188" s="14"/>
      <c r="J188" s="14"/>
      <c r="K188" s="14"/>
    </row>
    <row r="189" spans="1:11" x14ac:dyDescent="0.2">
      <c r="B189" s="46" t="str">
        <f>"Project Income Taxes is a fraction of total Income on Line "&amp;A34&amp;" based on fraction of project CWIP Balances on Lines "&amp;A9&amp;" to "&amp;A20&amp;", Col 2."</f>
        <v>Project Income Taxes is a fraction of total Income on Line 19 based on fraction of project CWIP Balances on Lines 1 to 12, Col 2.</v>
      </c>
      <c r="C189" s="14"/>
      <c r="D189" s="14"/>
      <c r="E189" s="14"/>
      <c r="F189" s="14"/>
      <c r="G189" s="14"/>
      <c r="H189" s="14"/>
      <c r="I189" s="14"/>
      <c r="J189" s="14"/>
      <c r="K189" s="14"/>
    </row>
    <row r="190" spans="1:11" x14ac:dyDescent="0.2">
      <c r="B190" s="120" t="str">
        <f>"ROE Adder is from Lines "&amp;A66&amp;" and "&amp;A67&amp;".  FF Expenses is based on FF Factor on 28-FFU."</f>
        <v>ROE Adder is from Lines 35 and 36.  FF Expenses is based on FF Factor on 28-FFU.</v>
      </c>
      <c r="C190" s="14"/>
      <c r="D190" s="14"/>
      <c r="E190" s="14"/>
      <c r="F190" s="14"/>
      <c r="G190" s="14"/>
      <c r="H190" s="14"/>
      <c r="I190" s="14"/>
      <c r="J190" s="14"/>
      <c r="K190" s="14"/>
    </row>
    <row r="191" spans="1:11" x14ac:dyDescent="0.2">
      <c r="B191" s="15" t="str">
        <f>"4) Project contribution to total IFPTRR is based on fraction of Forecast Period CWIP Balances on Lines "&amp;A9&amp;" to "&amp;A20&amp;", Col 3."</f>
        <v>4) Project contribution to total IFPTRR is based on fraction of Forecast Period CWIP Balances on Lines 1 to 12, Col 3.</v>
      </c>
      <c r="C191" s="14"/>
      <c r="D191" s="14"/>
      <c r="E191" s="14"/>
      <c r="F191" s="14"/>
      <c r="G191" s="14"/>
      <c r="H191" s="14"/>
      <c r="I191" s="14"/>
      <c r="J191" s="14"/>
      <c r="K191" s="14"/>
    </row>
    <row r="192" spans="1:11" x14ac:dyDescent="0.2">
      <c r="B192" s="15" t="str">
        <f>"5) Column 1 is from Lines "&amp;A77&amp;" to "&amp;A87&amp;", Sum of Column 1-3 (no FF&amp;U)."</f>
        <v>5) Column 1 is from Lines 39 to 49, Sum of Column 1-3 (no FF&amp;U).</v>
      </c>
      <c r="C192" s="14"/>
      <c r="D192" s="14"/>
      <c r="E192" s="14"/>
      <c r="F192" s="14"/>
      <c r="G192" s="14"/>
      <c r="H192" s="14"/>
      <c r="I192" s="14"/>
      <c r="J192" s="14"/>
      <c r="K192" s="14"/>
    </row>
    <row r="193" spans="2:11" x14ac:dyDescent="0.2">
      <c r="B193" s="46" t="str">
        <f>"Column 2 is from Lines "&amp;A120&amp;" to "&amp;A130&amp;" (no FF&amp;U)."</f>
        <v>Column 2 is from Lines 68 to 78 (no FF&amp;U).</v>
      </c>
      <c r="C193" s="14"/>
      <c r="D193" s="14"/>
      <c r="E193" s="14"/>
      <c r="F193" s="14"/>
      <c r="G193" s="14"/>
      <c r="H193" s="14"/>
      <c r="I193" s="14"/>
      <c r="J193" s="14"/>
      <c r="K193" s="14"/>
    </row>
    <row r="194" spans="2:11" x14ac:dyDescent="0.2">
      <c r="B194" s="547" t="str">
        <f>"Column 3 is the product of (C1 + C2) and the sum of FF and U factors (28-FFU, L"&amp;'28-FFU'!A22&amp;")"</f>
        <v>Column 3 is the product of (C1 + C2) and the sum of FF and U factors (28-FFU, L5)</v>
      </c>
      <c r="C194" s="14"/>
      <c r="D194" s="14"/>
      <c r="E194" s="14"/>
      <c r="F194" s="14"/>
      <c r="G194" s="14"/>
      <c r="H194" s="14"/>
      <c r="I194" s="14"/>
      <c r="J194" s="14"/>
      <c r="K194" s="14"/>
    </row>
    <row r="195" spans="2:11" x14ac:dyDescent="0.2">
      <c r="B195" s="548" t="s">
        <v>1701</v>
      </c>
    </row>
  </sheetData>
  <pageMargins left="0.7" right="0.7" top="0.75" bottom="0.75" header="0.3" footer="0.3"/>
  <pageSetup scale="70" orientation="portrait" cellComments="asDisplayed" r:id="rId1"/>
  <headerFooter>
    <oddHeader>&amp;CSchedule 24
CWIP TRR
&amp;RTO8 Annual Update (Revised)
Attachment  1</oddHeader>
    <oddFooter>&amp;R24-CWIPTRR</oddFooter>
  </headerFooter>
  <rowBreaks count="2" manualBreakCount="2">
    <brk id="70" max="16383" man="1"/>
    <brk id="1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view="pageLayout" zoomScaleNormal="85" workbookViewId="0">
      <selection activeCell="K71" sqref="K71"/>
    </sheetView>
  </sheetViews>
  <sheetFormatPr defaultRowHeight="12.75" x14ac:dyDescent="0.2"/>
  <cols>
    <col min="1" max="1" width="4.7109375" customWidth="1"/>
    <col min="6" max="6" width="11.7109375" customWidth="1"/>
    <col min="7" max="7" width="21.7109375" customWidth="1"/>
    <col min="8" max="9" width="14.7109375" customWidth="1"/>
  </cols>
  <sheetData>
    <row r="1" spans="1:12" x14ac:dyDescent="0.2">
      <c r="A1" s="1" t="s">
        <v>1532</v>
      </c>
      <c r="B1" s="247"/>
      <c r="C1" s="247"/>
      <c r="D1" s="247"/>
      <c r="E1" s="247"/>
      <c r="F1" s="247"/>
      <c r="G1" s="247"/>
      <c r="H1" s="247"/>
      <c r="I1" s="247"/>
      <c r="J1" s="247"/>
      <c r="K1" s="247"/>
      <c r="L1" s="247"/>
    </row>
    <row r="2" spans="1:12" x14ac:dyDescent="0.2">
      <c r="A2" s="1"/>
      <c r="B2" s="247"/>
      <c r="C2" s="247"/>
      <c r="D2" s="247"/>
      <c r="E2" s="247"/>
      <c r="F2" s="247"/>
      <c r="G2" s="247"/>
      <c r="H2" s="514" t="s">
        <v>18</v>
      </c>
      <c r="I2" s="447"/>
      <c r="J2" s="247"/>
      <c r="K2" s="247"/>
      <c r="L2" s="247"/>
    </row>
    <row r="3" spans="1:12" x14ac:dyDescent="0.2">
      <c r="A3" s="1"/>
      <c r="B3" s="247" t="s">
        <v>1533</v>
      </c>
      <c r="C3" s="247"/>
      <c r="D3" s="247"/>
      <c r="E3" s="247"/>
      <c r="F3" s="247"/>
      <c r="G3" s="247"/>
      <c r="H3" s="257"/>
      <c r="I3" s="257"/>
      <c r="J3" s="247"/>
      <c r="K3" s="247"/>
      <c r="L3" s="247"/>
    </row>
    <row r="4" spans="1:12" x14ac:dyDescent="0.2">
      <c r="A4" s="1"/>
      <c r="B4" s="257" t="s">
        <v>2239</v>
      </c>
      <c r="C4" s="257"/>
      <c r="D4" s="257"/>
      <c r="E4" s="257"/>
      <c r="F4" s="257"/>
      <c r="G4" s="257"/>
      <c r="H4" s="257"/>
      <c r="I4" s="257"/>
      <c r="J4" s="247"/>
      <c r="K4" s="247"/>
      <c r="L4" s="247"/>
    </row>
    <row r="5" spans="1:12" x14ac:dyDescent="0.2">
      <c r="A5" s="1"/>
      <c r="B5" s="257" t="s">
        <v>2044</v>
      </c>
      <c r="C5" s="257"/>
      <c r="D5" s="257"/>
      <c r="E5" s="257"/>
      <c r="F5" s="257"/>
      <c r="G5" s="257"/>
      <c r="H5" s="257"/>
      <c r="I5" s="257"/>
      <c r="J5" s="247"/>
      <c r="K5" s="247"/>
      <c r="L5" s="247"/>
    </row>
    <row r="6" spans="1:12" x14ac:dyDescent="0.2">
      <c r="A6" s="1"/>
      <c r="B6" s="257"/>
      <c r="C6" s="257"/>
      <c r="D6" s="257"/>
      <c r="E6" s="257"/>
      <c r="F6" s="257"/>
      <c r="G6" s="257"/>
      <c r="H6" s="257"/>
      <c r="I6" s="257"/>
      <c r="J6" s="247"/>
      <c r="K6" s="247"/>
      <c r="L6" s="247"/>
    </row>
    <row r="7" spans="1:12" x14ac:dyDescent="0.2">
      <c r="A7" s="1"/>
      <c r="B7" s="257" t="s">
        <v>2240</v>
      </c>
      <c r="C7" s="257"/>
      <c r="D7" s="257"/>
      <c r="E7" s="257"/>
      <c r="F7" s="257"/>
      <c r="G7" s="257"/>
      <c r="H7" s="257"/>
      <c r="I7" s="257"/>
      <c r="J7" s="247"/>
      <c r="K7" s="247"/>
      <c r="L7" s="247"/>
    </row>
    <row r="8" spans="1:12" x14ac:dyDescent="0.2">
      <c r="A8" s="1"/>
      <c r="B8" s="257" t="s">
        <v>1534</v>
      </c>
      <c r="C8" s="257"/>
      <c r="D8" s="257"/>
      <c r="E8" s="257"/>
      <c r="F8" s="257"/>
      <c r="G8" s="257"/>
      <c r="H8" s="257"/>
      <c r="I8" s="257"/>
      <c r="J8" s="247"/>
      <c r="K8" s="247"/>
      <c r="L8" s="247"/>
    </row>
    <row r="9" spans="1:12" x14ac:dyDescent="0.2">
      <c r="A9" s="1"/>
      <c r="B9" s="257" t="s">
        <v>1535</v>
      </c>
      <c r="C9" s="257"/>
      <c r="D9" s="257"/>
      <c r="E9" s="257"/>
      <c r="F9" s="257"/>
      <c r="G9" s="257"/>
      <c r="H9" s="257"/>
      <c r="I9" s="257"/>
      <c r="J9" s="247"/>
      <c r="K9" s="247"/>
      <c r="L9" s="247"/>
    </row>
    <row r="10" spans="1:12" x14ac:dyDescent="0.2">
      <c r="A10" s="1"/>
      <c r="B10" s="257"/>
      <c r="C10" s="257"/>
      <c r="D10" s="257"/>
      <c r="E10" s="257"/>
      <c r="F10" s="257"/>
      <c r="G10" s="257"/>
      <c r="H10" s="515" t="s">
        <v>1536</v>
      </c>
      <c r="I10" s="257"/>
      <c r="J10" s="247"/>
      <c r="K10" s="247"/>
      <c r="L10" s="247"/>
    </row>
    <row r="11" spans="1:12" ht="15" x14ac:dyDescent="0.25">
      <c r="A11" s="1"/>
      <c r="B11" s="257"/>
      <c r="C11" s="257"/>
      <c r="D11" s="257"/>
      <c r="E11" s="257"/>
      <c r="F11" s="257"/>
      <c r="G11" s="515" t="s">
        <v>194</v>
      </c>
      <c r="H11" s="1209" t="s">
        <v>1537</v>
      </c>
      <c r="I11" s="515" t="s">
        <v>356</v>
      </c>
      <c r="J11" s="247"/>
      <c r="K11" s="247"/>
      <c r="L11" s="247"/>
    </row>
    <row r="12" spans="1:12" x14ac:dyDescent="0.2">
      <c r="A12" s="52" t="s">
        <v>362</v>
      </c>
      <c r="B12" s="257"/>
      <c r="C12" s="257"/>
      <c r="D12" s="257"/>
      <c r="E12" s="257"/>
      <c r="F12" s="257"/>
      <c r="G12" s="516" t="s">
        <v>319</v>
      </c>
      <c r="H12" s="516" t="s">
        <v>319</v>
      </c>
      <c r="I12" s="516" t="s">
        <v>1538</v>
      </c>
      <c r="J12" s="247"/>
      <c r="K12" s="247"/>
      <c r="L12" s="247"/>
    </row>
    <row r="13" spans="1:12" x14ac:dyDescent="0.2">
      <c r="A13" s="2">
        <v>1</v>
      </c>
      <c r="B13" s="257" t="s">
        <v>1539</v>
      </c>
      <c r="C13" s="257"/>
      <c r="D13" s="257"/>
      <c r="E13" s="257"/>
      <c r="F13" s="257"/>
      <c r="G13" s="517" t="s">
        <v>248</v>
      </c>
      <c r="H13" s="517" t="s">
        <v>248</v>
      </c>
      <c r="I13" s="1122" t="s">
        <v>250</v>
      </c>
      <c r="J13" s="247"/>
      <c r="K13" s="247"/>
      <c r="L13" s="247"/>
    </row>
    <row r="14" spans="1:12" x14ac:dyDescent="0.2">
      <c r="A14" s="2">
        <f>A13+1</f>
        <v>2</v>
      </c>
      <c r="B14" s="257" t="s">
        <v>1540</v>
      </c>
      <c r="C14" s="257"/>
      <c r="D14" s="257"/>
      <c r="E14" s="257"/>
      <c r="F14" s="257"/>
      <c r="G14" s="517" t="s">
        <v>248</v>
      </c>
      <c r="H14" s="517" t="s">
        <v>248</v>
      </c>
      <c r="I14" s="517" t="s">
        <v>248</v>
      </c>
      <c r="J14" s="247"/>
      <c r="K14" s="247"/>
      <c r="L14" s="247"/>
    </row>
    <row r="15" spans="1:12" x14ac:dyDescent="0.2">
      <c r="A15" s="117">
        <f>A14+1</f>
        <v>3</v>
      </c>
      <c r="B15" s="257" t="s">
        <v>1736</v>
      </c>
      <c r="C15" s="257"/>
      <c r="D15" s="257"/>
      <c r="E15" s="257"/>
      <c r="F15" s="257"/>
      <c r="G15" s="517" t="s">
        <v>248</v>
      </c>
      <c r="H15" s="517" t="s">
        <v>248</v>
      </c>
      <c r="I15" s="517" t="s">
        <v>248</v>
      </c>
      <c r="J15" s="247"/>
      <c r="K15" s="247"/>
      <c r="L15" s="247"/>
    </row>
    <row r="16" spans="1:12" x14ac:dyDescent="0.2">
      <c r="A16" s="2">
        <f>A15+1</f>
        <v>4</v>
      </c>
      <c r="B16" s="257" t="s">
        <v>1541</v>
      </c>
      <c r="C16" s="257"/>
      <c r="D16" s="257"/>
      <c r="E16" s="257"/>
      <c r="F16" s="257"/>
      <c r="G16" s="517" t="s">
        <v>248</v>
      </c>
      <c r="H16" s="517" t="s">
        <v>248</v>
      </c>
      <c r="I16" s="517" t="s">
        <v>250</v>
      </c>
      <c r="J16" s="247"/>
      <c r="K16" s="247"/>
      <c r="L16" s="247"/>
    </row>
    <row r="17" spans="1:12" x14ac:dyDescent="0.2">
      <c r="A17" s="2">
        <f>A16+1</f>
        <v>5</v>
      </c>
      <c r="B17" s="257" t="s">
        <v>1542</v>
      </c>
      <c r="C17" s="257"/>
      <c r="D17" s="257"/>
      <c r="E17" s="257"/>
      <c r="F17" s="257"/>
      <c r="G17" s="517" t="s">
        <v>250</v>
      </c>
      <c r="H17" s="517" t="s">
        <v>248</v>
      </c>
      <c r="I17" s="517" t="s">
        <v>250</v>
      </c>
      <c r="J17" s="247"/>
      <c r="K17" s="247"/>
      <c r="L17" s="247"/>
    </row>
    <row r="18" spans="1:12" x14ac:dyDescent="0.2">
      <c r="A18" s="117">
        <f>A17+1</f>
        <v>6</v>
      </c>
      <c r="B18" s="257" t="s">
        <v>2527</v>
      </c>
      <c r="C18" s="257"/>
      <c r="D18" s="257"/>
      <c r="E18" s="257"/>
      <c r="F18" s="257"/>
      <c r="G18" s="517" t="s">
        <v>250</v>
      </c>
      <c r="H18" s="517" t="s">
        <v>248</v>
      </c>
      <c r="I18" s="517" t="s">
        <v>250</v>
      </c>
      <c r="J18" s="247"/>
      <c r="K18" s="247"/>
      <c r="L18" s="247"/>
    </row>
    <row r="19" spans="1:12" x14ac:dyDescent="0.2">
      <c r="A19" s="247"/>
      <c r="B19" s="247"/>
      <c r="C19" s="518"/>
      <c r="D19" s="257"/>
      <c r="E19" s="257"/>
      <c r="F19" s="257"/>
      <c r="G19" s="247"/>
      <c r="H19" s="247"/>
      <c r="I19" s="247"/>
      <c r="J19" s="247"/>
      <c r="K19" s="247"/>
      <c r="L19" s="247"/>
    </row>
    <row r="20" spans="1:12" x14ac:dyDescent="0.2">
      <c r="A20" s="247"/>
      <c r="B20" s="446" t="s">
        <v>1543</v>
      </c>
      <c r="C20" s="405"/>
      <c r="D20" s="257"/>
      <c r="E20" s="257"/>
      <c r="F20" s="257"/>
      <c r="G20" s="247"/>
      <c r="H20" s="247"/>
      <c r="I20" s="247"/>
      <c r="J20" s="247"/>
      <c r="K20" s="247"/>
      <c r="L20" s="247"/>
    </row>
    <row r="21" spans="1:12" x14ac:dyDescent="0.2">
      <c r="A21" s="247"/>
      <c r="B21" s="446"/>
      <c r="C21" s="405"/>
      <c r="D21" s="257"/>
      <c r="E21" s="257"/>
      <c r="F21" s="257"/>
      <c r="G21" s="247"/>
      <c r="H21" s="247"/>
      <c r="I21" s="247"/>
      <c r="J21" s="247"/>
      <c r="K21" s="247"/>
      <c r="L21" s="247"/>
    </row>
    <row r="22" spans="1:12" x14ac:dyDescent="0.2">
      <c r="A22" s="247"/>
      <c r="B22" s="519" t="s">
        <v>1544</v>
      </c>
      <c r="C22" s="407"/>
      <c r="D22" s="257"/>
      <c r="E22" s="257"/>
      <c r="F22" s="257"/>
      <c r="G22" s="247"/>
      <c r="H22" s="247"/>
      <c r="I22" s="247"/>
      <c r="J22" s="247"/>
      <c r="K22" s="247"/>
      <c r="L22" s="247"/>
    </row>
    <row r="23" spans="1:12" x14ac:dyDescent="0.2">
      <c r="A23" s="247"/>
      <c r="B23" s="266" t="s">
        <v>1545</v>
      </c>
      <c r="C23" s="407"/>
      <c r="D23" s="257"/>
      <c r="E23" s="257"/>
      <c r="F23" s="257"/>
      <c r="G23" s="247"/>
      <c r="H23" s="247"/>
      <c r="I23" s="247"/>
      <c r="J23" s="247"/>
      <c r="K23" s="247"/>
      <c r="L23" s="247"/>
    </row>
    <row r="24" spans="1:12" x14ac:dyDescent="0.2">
      <c r="A24" s="247"/>
      <c r="B24" s="266" t="s">
        <v>1546</v>
      </c>
      <c r="C24" s="247"/>
      <c r="D24" s="247"/>
      <c r="E24" s="247"/>
      <c r="F24" s="247"/>
      <c r="G24" s="247"/>
      <c r="H24" s="247"/>
      <c r="I24" s="247"/>
      <c r="J24" s="247"/>
      <c r="K24" s="247"/>
      <c r="L24" s="247"/>
    </row>
    <row r="25" spans="1:12" x14ac:dyDescent="0.2">
      <c r="A25" s="247"/>
      <c r="B25" s="247"/>
      <c r="C25" s="247"/>
      <c r="D25" s="247"/>
      <c r="E25" s="247"/>
      <c r="F25" s="247"/>
      <c r="G25" s="247"/>
      <c r="H25" s="90" t="s">
        <v>396</v>
      </c>
      <c r="I25" s="90" t="s">
        <v>380</v>
      </c>
      <c r="J25" s="247"/>
      <c r="K25" s="247"/>
      <c r="L25" s="247"/>
    </row>
    <row r="26" spans="1:12" x14ac:dyDescent="0.2">
      <c r="A26" s="247"/>
      <c r="B26" s="247"/>
      <c r="C26" s="247"/>
      <c r="D26" s="247"/>
      <c r="E26" s="247"/>
      <c r="F26" s="247"/>
      <c r="G26" s="247"/>
      <c r="H26" s="520" t="s">
        <v>1547</v>
      </c>
      <c r="I26" s="247"/>
      <c r="J26" s="247"/>
      <c r="K26" s="247"/>
      <c r="L26" s="247"/>
    </row>
    <row r="27" spans="1:12" x14ac:dyDescent="0.2">
      <c r="A27" s="247"/>
      <c r="B27" s="247"/>
      <c r="C27" s="247"/>
      <c r="D27" s="247"/>
      <c r="E27" s="247"/>
      <c r="F27" s="247"/>
      <c r="G27" s="247"/>
      <c r="H27" s="520" t="s">
        <v>319</v>
      </c>
      <c r="I27" s="250" t="s">
        <v>1548</v>
      </c>
      <c r="J27" s="247"/>
      <c r="K27" s="247"/>
      <c r="L27" s="247"/>
    </row>
    <row r="28" spans="1:12" x14ac:dyDescent="0.2">
      <c r="A28" s="247"/>
      <c r="B28" s="247"/>
      <c r="C28" s="247"/>
      <c r="D28" s="247"/>
      <c r="E28" s="247"/>
      <c r="F28" s="247"/>
      <c r="G28" s="26" t="s">
        <v>215</v>
      </c>
      <c r="H28" s="250" t="s">
        <v>1549</v>
      </c>
      <c r="I28" s="250" t="s">
        <v>1550</v>
      </c>
      <c r="J28" s="247"/>
      <c r="K28" s="247"/>
      <c r="L28" s="247"/>
    </row>
    <row r="29" spans="1:12" ht="15" x14ac:dyDescent="0.25">
      <c r="A29" s="52"/>
      <c r="B29" s="247"/>
      <c r="C29" s="247"/>
      <c r="D29" s="247"/>
      <c r="E29" s="247"/>
      <c r="F29" s="247"/>
      <c r="G29" s="25" t="s">
        <v>200</v>
      </c>
      <c r="H29" s="521" t="s">
        <v>1551</v>
      </c>
      <c r="I29" s="262" t="s">
        <v>1537</v>
      </c>
      <c r="J29" s="394"/>
      <c r="K29" s="247"/>
      <c r="L29" s="247"/>
    </row>
    <row r="30" spans="1:12" x14ac:dyDescent="0.2">
      <c r="A30" s="117">
        <f>A18+1</f>
        <v>7</v>
      </c>
      <c r="B30" s="257"/>
      <c r="C30" s="257" t="s">
        <v>1552</v>
      </c>
      <c r="D30" s="257"/>
      <c r="E30" s="257"/>
      <c r="F30" s="257"/>
      <c r="G30" s="46" t="s">
        <v>1553</v>
      </c>
      <c r="H30" s="251">
        <v>31556000</v>
      </c>
      <c r="I30" s="249">
        <v>-2176300</v>
      </c>
      <c r="J30" s="247"/>
      <c r="K30" s="247"/>
      <c r="L30" s="247"/>
    </row>
    <row r="31" spans="1:12" x14ac:dyDescent="0.2">
      <c r="A31" s="117">
        <f>A30+1</f>
        <v>8</v>
      </c>
      <c r="B31" s="257"/>
      <c r="C31" s="257" t="s">
        <v>1554</v>
      </c>
      <c r="D31" s="257"/>
      <c r="E31" s="257"/>
      <c r="F31" s="257"/>
      <c r="G31" s="46" t="s">
        <v>1553</v>
      </c>
      <c r="H31" s="249">
        <v>-35044000</v>
      </c>
      <c r="I31" s="249">
        <v>2503000</v>
      </c>
      <c r="J31" s="247"/>
      <c r="K31" s="247"/>
      <c r="L31" s="247"/>
    </row>
    <row r="32" spans="1:12" x14ac:dyDescent="0.2">
      <c r="A32" s="117">
        <f>A31+1</f>
        <v>9</v>
      </c>
      <c r="B32" s="257"/>
      <c r="C32" s="257" t="s">
        <v>1737</v>
      </c>
      <c r="D32" s="257"/>
      <c r="E32" s="257"/>
      <c r="F32" s="257"/>
      <c r="G32" s="46" t="s">
        <v>1553</v>
      </c>
      <c r="H32" s="251">
        <v>-624650</v>
      </c>
      <c r="I32" s="251">
        <v>43100</v>
      </c>
      <c r="J32" s="247"/>
      <c r="K32" s="247"/>
      <c r="L32" s="247"/>
    </row>
    <row r="33" spans="1:12" x14ac:dyDescent="0.2">
      <c r="A33" s="117">
        <f>A32+1</f>
        <v>10</v>
      </c>
      <c r="B33" s="257"/>
      <c r="C33" s="257" t="s">
        <v>1555</v>
      </c>
      <c r="D33" s="257"/>
      <c r="E33" s="257"/>
      <c r="F33" s="257"/>
      <c r="G33" s="46" t="s">
        <v>1553</v>
      </c>
      <c r="H33" s="393">
        <v>-7410000</v>
      </c>
      <c r="I33" s="522">
        <v>511200</v>
      </c>
      <c r="J33" s="247"/>
      <c r="K33" s="247"/>
      <c r="L33" s="247"/>
    </row>
    <row r="34" spans="1:12" x14ac:dyDescent="0.2">
      <c r="A34" s="117">
        <f>A33+1</f>
        <v>11</v>
      </c>
      <c r="B34" s="257"/>
      <c r="C34" s="257"/>
      <c r="D34" s="257"/>
      <c r="E34" s="257"/>
      <c r="F34" s="14"/>
      <c r="G34" s="1146" t="s">
        <v>218</v>
      </c>
      <c r="H34" s="249">
        <f>SUM(H30:H33)</f>
        <v>-11522650</v>
      </c>
      <c r="I34" s="249">
        <f>SUM(I30:I33)</f>
        <v>881000</v>
      </c>
      <c r="J34" s="247"/>
      <c r="K34" s="247"/>
      <c r="L34" s="247"/>
    </row>
    <row r="35" spans="1:12" x14ac:dyDescent="0.2">
      <c r="A35" s="117"/>
      <c r="B35" s="257"/>
      <c r="C35" s="257"/>
      <c r="D35" s="257"/>
      <c r="E35" s="257"/>
      <c r="F35" s="14"/>
      <c r="G35" s="1146"/>
      <c r="H35" s="249"/>
      <c r="I35" s="249"/>
      <c r="J35" s="247"/>
      <c r="K35" s="247"/>
      <c r="L35" s="247"/>
    </row>
    <row r="36" spans="1:12" x14ac:dyDescent="0.2">
      <c r="A36" s="117"/>
      <c r="B36" s="1210" t="s">
        <v>1556</v>
      </c>
      <c r="C36" s="257"/>
      <c r="D36" s="257"/>
      <c r="E36" s="257"/>
      <c r="F36" s="14"/>
      <c r="G36" s="1146"/>
      <c r="H36" s="249"/>
      <c r="I36" s="249"/>
      <c r="J36" s="247"/>
      <c r="K36" s="247"/>
      <c r="L36" s="247"/>
    </row>
    <row r="37" spans="1:12" x14ac:dyDescent="0.2">
      <c r="A37" s="117"/>
      <c r="B37" s="527" t="s">
        <v>1886</v>
      </c>
      <c r="C37" s="257"/>
      <c r="D37" s="257"/>
      <c r="E37" s="257"/>
      <c r="F37" s="14"/>
      <c r="G37" s="1146"/>
      <c r="H37" s="249"/>
      <c r="I37" s="249"/>
      <c r="J37" s="247"/>
      <c r="K37" s="247"/>
      <c r="L37" s="247"/>
    </row>
    <row r="38" spans="1:12" x14ac:dyDescent="0.2">
      <c r="A38" s="117"/>
      <c r="B38" s="527" t="s">
        <v>1557</v>
      </c>
      <c r="C38" s="257"/>
      <c r="D38" s="257"/>
      <c r="E38" s="257"/>
      <c r="F38" s="14"/>
      <c r="G38" s="1146"/>
      <c r="H38" s="249"/>
      <c r="I38" s="249"/>
      <c r="J38" s="247"/>
      <c r="K38" s="247"/>
      <c r="L38" s="247"/>
    </row>
    <row r="39" spans="1:12" x14ac:dyDescent="0.2">
      <c r="A39" s="515"/>
      <c r="B39" s="257"/>
      <c r="C39" s="257"/>
      <c r="D39" s="257"/>
      <c r="E39" s="257"/>
      <c r="F39" s="257"/>
      <c r="G39" s="483" t="s">
        <v>215</v>
      </c>
      <c r="H39" s="247"/>
      <c r="I39" s="247"/>
      <c r="J39" s="247"/>
      <c r="K39" s="247"/>
      <c r="L39" s="247"/>
    </row>
    <row r="40" spans="1:12" x14ac:dyDescent="0.2">
      <c r="A40" s="515"/>
      <c r="B40" s="1211"/>
      <c r="C40" s="405"/>
      <c r="D40" s="257"/>
      <c r="E40" s="257"/>
      <c r="F40" s="257"/>
      <c r="G40" s="29" t="s">
        <v>200</v>
      </c>
      <c r="H40" s="3" t="s">
        <v>192</v>
      </c>
      <c r="I40" s="524" t="s">
        <v>1558</v>
      </c>
      <c r="J40" s="247"/>
      <c r="K40" s="247"/>
      <c r="L40" s="247"/>
    </row>
    <row r="41" spans="1:12" x14ac:dyDescent="0.2">
      <c r="A41" s="117">
        <f>A34+1</f>
        <v>12</v>
      </c>
      <c r="B41" s="527" t="s">
        <v>1559</v>
      </c>
      <c r="C41" s="257"/>
      <c r="D41" s="257"/>
      <c r="E41" s="257"/>
      <c r="F41" s="257"/>
      <c r="G41" s="527" t="str">
        <f>"2-IFPTRR Line "&amp;'2-IFPTRR'!A25&amp;""</f>
        <v>2-IFPTRR Line 16</v>
      </c>
      <c r="H41" s="392">
        <f>'2-IFPTRR'!D25</f>
        <v>0.10877845800020682</v>
      </c>
      <c r="I41" s="268">
        <v>1</v>
      </c>
      <c r="J41" s="247"/>
      <c r="K41" s="247"/>
      <c r="L41" s="247"/>
    </row>
    <row r="42" spans="1:12" x14ac:dyDescent="0.2">
      <c r="A42" s="117">
        <f>A41+1</f>
        <v>13</v>
      </c>
      <c r="B42" s="527" t="s">
        <v>75</v>
      </c>
      <c r="C42" s="257"/>
      <c r="D42" s="257"/>
      <c r="E42" s="257"/>
      <c r="F42" s="257"/>
      <c r="G42" s="527"/>
      <c r="H42" s="525">
        <v>2012</v>
      </c>
      <c r="I42" s="268">
        <v>2</v>
      </c>
      <c r="J42" s="247"/>
      <c r="K42" s="247"/>
      <c r="L42" s="247"/>
    </row>
    <row r="43" spans="1:12" x14ac:dyDescent="0.2">
      <c r="A43" s="117">
        <f>A42+1</f>
        <v>14</v>
      </c>
      <c r="B43" s="527" t="s">
        <v>1560</v>
      </c>
      <c r="C43" s="257"/>
      <c r="D43" s="257"/>
      <c r="E43" s="257"/>
      <c r="F43" s="257"/>
      <c r="G43" s="251"/>
      <c r="H43" s="249">
        <f>H34+ (I34*(H42-2010))</f>
        <v>-9760650</v>
      </c>
      <c r="I43" s="268">
        <v>3</v>
      </c>
      <c r="J43" s="247"/>
      <c r="K43" s="247"/>
      <c r="L43" s="247"/>
    </row>
    <row r="44" spans="1:12" x14ac:dyDescent="0.2">
      <c r="A44" s="117">
        <f>A43+1</f>
        <v>15</v>
      </c>
      <c r="B44" s="527" t="s">
        <v>1561</v>
      </c>
      <c r="C44" s="405"/>
      <c r="D44" s="257"/>
      <c r="E44" s="257"/>
      <c r="F44" s="257"/>
      <c r="G44" s="46" t="str">
        <f>"Line "&amp;A43&amp;" * Line "&amp;A41&amp;""</f>
        <v>Line 14 * Line 12</v>
      </c>
      <c r="H44" s="249">
        <f xml:space="preserve"> H43*H41</f>
        <v>-1061748.4560797187</v>
      </c>
      <c r="I44" s="247"/>
      <c r="J44" s="247"/>
      <c r="K44" s="247"/>
      <c r="L44" s="247"/>
    </row>
    <row r="45" spans="1:12" x14ac:dyDescent="0.2">
      <c r="A45" s="14"/>
      <c r="B45" s="14"/>
      <c r="C45" s="14"/>
      <c r="D45" s="14"/>
      <c r="E45" s="14"/>
      <c r="F45" s="14"/>
      <c r="G45" s="14"/>
      <c r="L45" s="247"/>
    </row>
    <row r="46" spans="1:12" x14ac:dyDescent="0.2">
      <c r="B46" s="446" t="s">
        <v>1742</v>
      </c>
      <c r="L46" s="247"/>
    </row>
    <row r="47" spans="1:12" x14ac:dyDescent="0.2">
      <c r="L47" s="247"/>
    </row>
    <row r="48" spans="1:12" x14ac:dyDescent="0.2">
      <c r="B48" s="247" t="str">
        <f>"The annual Wholesale Expense Difference impact is the negative of amounts stated in Lines "&amp;A30&amp;" to "&amp;A33&amp;" above, Column 2."</f>
        <v>The annual Wholesale Expense Difference impact is the negative of amounts stated in Lines 7 to 10 above, Column 2.</v>
      </c>
      <c r="L48" s="247"/>
    </row>
    <row r="49" spans="1:12" x14ac:dyDescent="0.2">
      <c r="B49" s="247" t="s">
        <v>1588</v>
      </c>
      <c r="L49" s="247"/>
    </row>
    <row r="50" spans="1:12" x14ac:dyDescent="0.2">
      <c r="A50" s="247"/>
      <c r="B50" s="247" t="s">
        <v>1887</v>
      </c>
      <c r="C50" s="247"/>
      <c r="D50" s="247"/>
      <c r="E50" s="247"/>
      <c r="F50" s="247"/>
      <c r="G50" s="247"/>
      <c r="H50" s="247"/>
      <c r="I50" s="247"/>
      <c r="J50" s="247"/>
      <c r="K50" s="247"/>
      <c r="L50" s="247"/>
    </row>
    <row r="52" spans="1:12" x14ac:dyDescent="0.2">
      <c r="A52" s="247"/>
      <c r="B52" s="75" t="s">
        <v>1562</v>
      </c>
      <c r="C52" s="247"/>
      <c r="D52" s="247"/>
      <c r="E52" s="247"/>
      <c r="F52" s="247"/>
      <c r="G52" s="247"/>
      <c r="H52" s="247"/>
      <c r="I52" s="247"/>
      <c r="J52" s="247"/>
      <c r="K52" s="247"/>
      <c r="L52" s="247"/>
    </row>
    <row r="53" spans="1:12" x14ac:dyDescent="0.2">
      <c r="A53" s="247"/>
      <c r="B53" s="247"/>
      <c r="C53" s="247"/>
      <c r="D53" s="247"/>
      <c r="E53" s="247"/>
      <c r="F53" s="247"/>
      <c r="G53" s="26"/>
      <c r="H53" s="247"/>
      <c r="I53" s="247"/>
      <c r="J53" s="247"/>
      <c r="K53" s="247"/>
      <c r="L53" s="247"/>
    </row>
    <row r="54" spans="1:12" x14ac:dyDescent="0.2">
      <c r="B54" s="247"/>
      <c r="C54" s="247"/>
      <c r="D54" s="247"/>
      <c r="E54" s="247"/>
      <c r="F54" s="247"/>
      <c r="G54" s="25" t="s">
        <v>200</v>
      </c>
      <c r="H54" s="3" t="s">
        <v>192</v>
      </c>
      <c r="I54" s="247"/>
      <c r="J54" s="394"/>
      <c r="K54" s="247"/>
      <c r="L54" s="247"/>
    </row>
    <row r="55" spans="1:12" x14ac:dyDescent="0.2">
      <c r="A55" s="117">
        <f>A44+1</f>
        <v>16</v>
      </c>
      <c r="B55" s="527" t="s">
        <v>1563</v>
      </c>
      <c r="C55" s="257"/>
      <c r="D55" s="257"/>
      <c r="E55" s="257"/>
      <c r="F55" s="257"/>
      <c r="G55" s="46" t="str">
        <f>"Line "&amp;A31&amp;""</f>
        <v>Line 8</v>
      </c>
      <c r="H55" s="249">
        <f>I31</f>
        <v>2503000</v>
      </c>
      <c r="I55" s="247"/>
      <c r="J55" s="247"/>
      <c r="K55" s="247"/>
      <c r="L55" s="247"/>
    </row>
    <row r="56" spans="1:12" x14ac:dyDescent="0.2">
      <c r="A56" s="117">
        <f>A55+1</f>
        <v>17</v>
      </c>
      <c r="B56" s="46" t="s">
        <v>321</v>
      </c>
      <c r="C56" s="257"/>
      <c r="D56" s="257"/>
      <c r="E56" s="257"/>
      <c r="F56" s="257"/>
      <c r="G56" s="527" t="str">
        <f>"1-BaseTRR L "&amp;'1-BaseTRR'!A102&amp;""</f>
        <v>1-BaseTRR L 58</v>
      </c>
      <c r="H56" s="443">
        <f>'1-BaseTRR'!K102</f>
        <v>0.39936028204298801</v>
      </c>
      <c r="I56" s="247"/>
      <c r="J56" s="247"/>
      <c r="K56" s="247"/>
      <c r="L56" s="247"/>
    </row>
    <row r="57" spans="1:12" x14ac:dyDescent="0.2">
      <c r="A57" s="117">
        <f>A56+1</f>
        <v>18</v>
      </c>
      <c r="B57" s="46" t="s">
        <v>1587</v>
      </c>
      <c r="C57" s="257"/>
      <c r="D57" s="257"/>
      <c r="E57" s="257"/>
      <c r="F57" s="257"/>
      <c r="G57" s="74" t="s">
        <v>320</v>
      </c>
      <c r="H57" s="526">
        <f>1/(1-H56)</f>
        <v>1.6648915649490406</v>
      </c>
      <c r="I57" s="247"/>
      <c r="J57" s="247"/>
      <c r="K57" s="247"/>
      <c r="L57" s="247"/>
    </row>
    <row r="58" spans="1:12" x14ac:dyDescent="0.2">
      <c r="A58" s="117">
        <f>A57+1</f>
        <v>19</v>
      </c>
      <c r="B58" s="46" t="s">
        <v>364</v>
      </c>
      <c r="C58" s="257"/>
      <c r="D58" s="257"/>
      <c r="E58" s="257"/>
      <c r="F58" s="257"/>
      <c r="G58" s="257"/>
      <c r="H58" s="247"/>
      <c r="I58" s="247"/>
      <c r="J58" s="247"/>
      <c r="K58" s="247"/>
      <c r="L58" s="247"/>
    </row>
    <row r="59" spans="1:12" x14ac:dyDescent="0.2">
      <c r="A59" s="117">
        <f>A58+1</f>
        <v>20</v>
      </c>
      <c r="B59" s="46" t="s">
        <v>363</v>
      </c>
      <c r="C59" s="257"/>
      <c r="D59" s="257"/>
      <c r="E59" s="257"/>
      <c r="F59" s="257"/>
      <c r="G59" s="46" t="str">
        <f>"- Line "&amp;A55&amp;" * Line "&amp;A57&amp;""</f>
        <v>- Line 16 * Line 18</v>
      </c>
      <c r="H59" s="264">
        <f>-H57*H55</f>
        <v>-4167223.5870674485</v>
      </c>
      <c r="I59" s="247"/>
      <c r="J59" s="247"/>
      <c r="K59" s="247"/>
      <c r="L59" s="247"/>
    </row>
    <row r="60" spans="1:12" x14ac:dyDescent="0.2">
      <c r="A60" s="14"/>
      <c r="B60" s="14"/>
      <c r="C60" s="14"/>
      <c r="D60" s="14"/>
      <c r="E60" s="14"/>
      <c r="F60" s="14"/>
      <c r="G60" s="14"/>
    </row>
    <row r="61" spans="1:12" x14ac:dyDescent="0.2">
      <c r="A61" s="14"/>
      <c r="B61" s="1212" t="s">
        <v>1739</v>
      </c>
      <c r="C61" s="14"/>
      <c r="D61" s="14"/>
      <c r="E61" s="14"/>
      <c r="F61" s="14"/>
      <c r="G61" s="14"/>
    </row>
    <row r="62" spans="1:12" x14ac:dyDescent="0.2">
      <c r="A62" s="14"/>
      <c r="B62" s="14"/>
      <c r="C62" s="14"/>
      <c r="D62" s="14"/>
      <c r="E62" s="14"/>
      <c r="F62" s="14"/>
      <c r="G62" s="14"/>
    </row>
    <row r="63" spans="1:12" x14ac:dyDescent="0.2">
      <c r="A63" s="14"/>
      <c r="B63" s="14"/>
      <c r="C63" s="14"/>
      <c r="D63" s="14"/>
      <c r="E63" s="14"/>
      <c r="F63" s="14"/>
      <c r="G63" s="29" t="s">
        <v>200</v>
      </c>
      <c r="H63" s="3" t="s">
        <v>192</v>
      </c>
    </row>
    <row r="64" spans="1:12" x14ac:dyDescent="0.2">
      <c r="A64" s="117">
        <f>A59+1</f>
        <v>21</v>
      </c>
      <c r="B64" s="527" t="s">
        <v>1738</v>
      </c>
      <c r="C64" s="14"/>
      <c r="D64" s="14"/>
      <c r="E64" s="14"/>
      <c r="F64" s="14"/>
      <c r="G64" s="46" t="str">
        <f>"Line "&amp;A32&amp;""</f>
        <v>Line 9</v>
      </c>
      <c r="H64" s="7">
        <f>I32</f>
        <v>43100</v>
      </c>
    </row>
    <row r="65" spans="1:12" x14ac:dyDescent="0.2">
      <c r="A65" s="117">
        <f>A64+1</f>
        <v>22</v>
      </c>
      <c r="B65" s="46" t="s">
        <v>1587</v>
      </c>
      <c r="C65" s="257"/>
      <c r="D65" s="257"/>
      <c r="E65" s="257"/>
      <c r="F65" s="257"/>
      <c r="G65" s="46" t="str">
        <f>"Line "&amp;A57&amp;""</f>
        <v>Line 18</v>
      </c>
      <c r="H65" s="526">
        <f>H57</f>
        <v>1.6648915649490406</v>
      </c>
    </row>
    <row r="66" spans="1:12" x14ac:dyDescent="0.2">
      <c r="A66" s="117">
        <f>A65+1</f>
        <v>23</v>
      </c>
      <c r="B66" s="527" t="s">
        <v>1740</v>
      </c>
      <c r="C66" s="14"/>
      <c r="D66" s="14"/>
      <c r="E66" s="14"/>
      <c r="F66" s="14"/>
      <c r="G66" s="46" t="str">
        <f>"- Line "&amp;A64&amp;" * Line "&amp;A65&amp;""</f>
        <v>- Line 21 * Line 22</v>
      </c>
      <c r="H66" s="7">
        <f>-H64*H65</f>
        <v>-71756.826449303655</v>
      </c>
    </row>
    <row r="67" spans="1:12" x14ac:dyDescent="0.2">
      <c r="A67" s="117">
        <f t="shared" ref="A67:A74" si="0">A66+1</f>
        <v>24</v>
      </c>
      <c r="B67" s="527"/>
      <c r="C67" s="14"/>
      <c r="D67" s="14"/>
      <c r="E67" s="14"/>
      <c r="F67" s="14"/>
      <c r="G67" s="46"/>
      <c r="H67" s="7"/>
    </row>
    <row r="68" spans="1:12" x14ac:dyDescent="0.2">
      <c r="A68" s="117">
        <f t="shared" si="0"/>
        <v>25</v>
      </c>
      <c r="B68" s="1212" t="s">
        <v>2528</v>
      </c>
      <c r="C68" s="14"/>
      <c r="D68" s="14"/>
      <c r="E68" s="14"/>
      <c r="F68" s="14"/>
      <c r="G68" s="46"/>
      <c r="H68" s="7"/>
    </row>
    <row r="69" spans="1:12" x14ac:dyDescent="0.2">
      <c r="A69" s="117">
        <f t="shared" si="0"/>
        <v>26</v>
      </c>
      <c r="B69" s="527"/>
      <c r="C69" s="14"/>
      <c r="D69" s="14"/>
      <c r="E69" s="14"/>
      <c r="F69" s="14"/>
      <c r="G69" s="29" t="s">
        <v>200</v>
      </c>
      <c r="H69" s="7"/>
    </row>
    <row r="70" spans="1:12" x14ac:dyDescent="0.2">
      <c r="A70" s="117">
        <f t="shared" si="0"/>
        <v>27</v>
      </c>
      <c r="B70" s="527" t="s">
        <v>2241</v>
      </c>
      <c r="C70" s="14"/>
      <c r="D70" s="14"/>
      <c r="E70" s="14"/>
      <c r="F70" s="14"/>
      <c r="G70" s="547" t="s">
        <v>35</v>
      </c>
      <c r="H70" s="114">
        <v>554208.03</v>
      </c>
    </row>
    <row r="71" spans="1:12" x14ac:dyDescent="0.2">
      <c r="A71" s="117">
        <f t="shared" si="0"/>
        <v>28</v>
      </c>
      <c r="B71" s="527" t="s">
        <v>2529</v>
      </c>
      <c r="C71" s="14"/>
      <c r="D71" s="14"/>
      <c r="E71" s="14"/>
      <c r="F71" s="14"/>
      <c r="G71" s="547" t="s">
        <v>35</v>
      </c>
      <c r="H71" s="114">
        <v>1395813.04</v>
      </c>
    </row>
    <row r="72" spans="1:12" x14ac:dyDescent="0.2">
      <c r="A72" s="117">
        <f t="shared" si="0"/>
        <v>29</v>
      </c>
      <c r="B72" s="527" t="s">
        <v>2531</v>
      </c>
      <c r="C72" s="14"/>
      <c r="D72" s="14"/>
      <c r="E72" s="14"/>
      <c r="F72" s="14"/>
      <c r="G72" s="1135" t="str">
        <f>"Line "&amp;A70&amp;" + "&amp;A71&amp;""</f>
        <v>Line 27 + 28</v>
      </c>
      <c r="H72" s="1213">
        <f>SUM(H70:H71)</f>
        <v>1950021.07</v>
      </c>
    </row>
    <row r="73" spans="1:12" x14ac:dyDescent="0.2">
      <c r="A73" s="117">
        <f t="shared" si="0"/>
        <v>30</v>
      </c>
      <c r="B73" s="527" t="s">
        <v>106</v>
      </c>
      <c r="C73" s="14"/>
      <c r="D73" s="14"/>
      <c r="E73" s="14"/>
      <c r="F73" s="14"/>
      <c r="G73" s="527" t="str">
        <f>"27-Allocators, Line "&amp;'27-Allocators'!A15&amp;""</f>
        <v>27-Allocators, Line 9</v>
      </c>
      <c r="H73" s="1410">
        <f>'27-Allocators'!G15</f>
        <v>3.7193704666678068E-2</v>
      </c>
    </row>
    <row r="74" spans="1:12" x14ac:dyDescent="0.2">
      <c r="A74" s="117">
        <f t="shared" si="0"/>
        <v>31</v>
      </c>
      <c r="B74" s="527" t="s">
        <v>2530</v>
      </c>
      <c r="C74" s="14"/>
      <c r="D74" s="14"/>
      <c r="E74" s="14"/>
      <c r="F74" s="14"/>
      <c r="G74" s="1135" t="str">
        <f>"Line "&amp;A72&amp;" * "&amp;A73&amp;""</f>
        <v>Line 29 * 30</v>
      </c>
      <c r="H74" s="862">
        <f>H72*H73</f>
        <v>72528.507771379562</v>
      </c>
    </row>
    <row r="76" spans="1:12" x14ac:dyDescent="0.2">
      <c r="A76" s="257"/>
      <c r="B76" s="1210" t="s">
        <v>2242</v>
      </c>
      <c r="C76" s="257"/>
      <c r="D76" s="257"/>
      <c r="E76" s="257"/>
      <c r="F76" s="257"/>
      <c r="G76" s="257"/>
      <c r="H76" s="257"/>
      <c r="I76" s="524" t="s">
        <v>1558</v>
      </c>
      <c r="J76" s="247"/>
      <c r="K76" s="247"/>
      <c r="L76" s="247"/>
    </row>
    <row r="77" spans="1:12" x14ac:dyDescent="0.2">
      <c r="A77" s="117">
        <f>A74+1</f>
        <v>32</v>
      </c>
      <c r="B77" s="518" t="s">
        <v>1759</v>
      </c>
      <c r="C77" s="257"/>
      <c r="D77" s="257"/>
      <c r="E77" s="257"/>
      <c r="F77" s="257"/>
      <c r="G77" s="527" t="str">
        <f>" - Line "&amp;A30&amp;", Col. 2"</f>
        <v xml:space="preserve"> - Line 7, Col. 2</v>
      </c>
      <c r="H77" s="251">
        <f>-I30</f>
        <v>2176300</v>
      </c>
      <c r="I77" s="247"/>
      <c r="J77" s="247"/>
      <c r="K77" s="247"/>
      <c r="L77" s="247"/>
    </row>
    <row r="78" spans="1:12" x14ac:dyDescent="0.2">
      <c r="A78" s="117">
        <f>A77+1</f>
        <v>33</v>
      </c>
      <c r="B78" s="518" t="s">
        <v>1554</v>
      </c>
      <c r="C78" s="257"/>
      <c r="D78" s="257"/>
      <c r="E78" s="257"/>
      <c r="F78" s="257"/>
      <c r="G78" s="527" t="str">
        <f>"Line "&amp;A59&amp;""</f>
        <v>Line 20</v>
      </c>
      <c r="H78" s="251">
        <f>H59</f>
        <v>-4167223.5870674485</v>
      </c>
      <c r="I78" s="247"/>
      <c r="J78" s="247"/>
      <c r="K78" s="247"/>
      <c r="L78" s="247"/>
    </row>
    <row r="79" spans="1:12" x14ac:dyDescent="0.2">
      <c r="A79" s="117">
        <f>A78+1</f>
        <v>34</v>
      </c>
      <c r="B79" s="518" t="s">
        <v>1737</v>
      </c>
      <c r="C79" s="257"/>
      <c r="D79" s="257"/>
      <c r="E79" s="257"/>
      <c r="F79" s="257"/>
      <c r="G79" s="527" t="str">
        <f>"Line "&amp;A66&amp;""</f>
        <v>Line 23</v>
      </c>
      <c r="H79" s="251">
        <f>H66</f>
        <v>-71756.826449303655</v>
      </c>
      <c r="I79" s="247"/>
      <c r="J79" s="247"/>
      <c r="K79" s="247"/>
      <c r="L79" s="247"/>
    </row>
    <row r="80" spans="1:12" x14ac:dyDescent="0.2">
      <c r="A80" s="117">
        <f>A79+1</f>
        <v>35</v>
      </c>
      <c r="B80" s="518" t="s">
        <v>1555</v>
      </c>
      <c r="C80" s="257"/>
      <c r="D80" s="257"/>
      <c r="E80" s="257"/>
      <c r="F80" s="257"/>
      <c r="G80" s="527" t="str">
        <f>"- Line "&amp;A33&amp;", Col. 2"</f>
        <v>- Line 10, Col. 2</v>
      </c>
      <c r="H80" s="251">
        <f>-I33</f>
        <v>-511200</v>
      </c>
      <c r="I80" s="247"/>
      <c r="J80" s="247"/>
      <c r="K80" s="247"/>
      <c r="L80" s="247"/>
    </row>
    <row r="81" spans="1:12" x14ac:dyDescent="0.2">
      <c r="A81" s="117">
        <f t="shared" ref="A81:A82" si="1">A80+1</f>
        <v>36</v>
      </c>
      <c r="B81" s="518" t="s">
        <v>2532</v>
      </c>
      <c r="C81" s="257"/>
      <c r="D81" s="257"/>
      <c r="E81" s="257"/>
      <c r="F81" s="257"/>
      <c r="G81" s="1135" t="str">
        <f>" - Line "&amp;A74&amp;""</f>
        <v xml:space="preserve"> - Line 31</v>
      </c>
      <c r="H81" s="1275">
        <f>-H74</f>
        <v>-72528.507771379562</v>
      </c>
      <c r="I81" s="247"/>
      <c r="J81" s="247"/>
      <c r="K81" s="247"/>
      <c r="L81" s="247"/>
    </row>
    <row r="82" spans="1:12" x14ac:dyDescent="0.2">
      <c r="A82" s="117">
        <f t="shared" si="1"/>
        <v>37</v>
      </c>
      <c r="B82" s="257"/>
      <c r="C82" s="257"/>
      <c r="D82" s="257"/>
      <c r="E82" s="257"/>
      <c r="F82" s="257"/>
      <c r="G82" s="1146" t="s">
        <v>1564</v>
      </c>
      <c r="H82" s="1273">
        <f>SUM(H77:H81)</f>
        <v>-2646408.9212881322</v>
      </c>
      <c r="I82" s="247"/>
      <c r="J82" s="247"/>
      <c r="K82" s="247"/>
      <c r="L82" s="247"/>
    </row>
    <row r="83" spans="1:12" x14ac:dyDescent="0.2">
      <c r="A83" s="257"/>
      <c r="B83" s="257"/>
      <c r="C83" s="257"/>
      <c r="D83" s="257"/>
      <c r="E83" s="257"/>
      <c r="F83" s="257"/>
      <c r="G83" s="257"/>
      <c r="H83" s="1411"/>
      <c r="I83" s="247"/>
      <c r="J83" s="247"/>
      <c r="K83" s="247"/>
      <c r="L83" s="247"/>
    </row>
    <row r="84" spans="1:12" x14ac:dyDescent="0.2">
      <c r="A84" s="257"/>
      <c r="B84" s="1214" t="s">
        <v>1565</v>
      </c>
      <c r="C84" s="257"/>
      <c r="D84" s="257"/>
      <c r="E84" s="257"/>
      <c r="F84" s="257"/>
      <c r="G84" s="257"/>
      <c r="H84" s="1411"/>
      <c r="I84" s="247"/>
      <c r="J84" s="247"/>
      <c r="K84" s="247"/>
      <c r="L84" s="247"/>
    </row>
    <row r="85" spans="1:12" x14ac:dyDescent="0.2">
      <c r="A85" s="257"/>
      <c r="B85" s="14"/>
      <c r="C85" s="257"/>
      <c r="D85" s="257"/>
      <c r="E85" s="257"/>
      <c r="F85" s="257"/>
      <c r="G85" s="29" t="s">
        <v>200</v>
      </c>
      <c r="H85" s="128" t="s">
        <v>192</v>
      </c>
      <c r="I85" s="247"/>
      <c r="J85" s="247"/>
      <c r="K85" s="247"/>
      <c r="L85" s="247"/>
    </row>
    <row r="86" spans="1:12" x14ac:dyDescent="0.2">
      <c r="A86" s="117">
        <f>A82+1</f>
        <v>38</v>
      </c>
      <c r="B86" s="1133" t="s">
        <v>1561</v>
      </c>
      <c r="C86" s="257"/>
      <c r="D86" s="257"/>
      <c r="E86" s="257"/>
      <c r="F86" s="257"/>
      <c r="G86" s="527" t="str">
        <f>"Line "&amp;A44&amp;""</f>
        <v>Line 15</v>
      </c>
      <c r="H86" s="1273">
        <f>H44</f>
        <v>-1061748.4560797187</v>
      </c>
      <c r="I86" s="247"/>
      <c r="J86" s="247"/>
      <c r="K86" s="247"/>
      <c r="L86" s="247"/>
    </row>
    <row r="87" spans="1:12" x14ac:dyDescent="0.2">
      <c r="A87" s="117">
        <f>A86+1</f>
        <v>39</v>
      </c>
      <c r="B87" s="257" t="s">
        <v>1566</v>
      </c>
      <c r="C87" s="257"/>
      <c r="D87" s="257"/>
      <c r="E87" s="257"/>
      <c r="F87" s="257"/>
      <c r="G87" s="527" t="str">
        <f>"Line "&amp;A82&amp;""</f>
        <v>Line 37</v>
      </c>
      <c r="H87" s="1273">
        <f>H82</f>
        <v>-2646408.9212881322</v>
      </c>
      <c r="I87" s="247"/>
      <c r="J87" s="247"/>
      <c r="K87" s="247"/>
      <c r="L87" s="247"/>
    </row>
    <row r="88" spans="1:12" x14ac:dyDescent="0.2">
      <c r="A88" s="117">
        <f>A87+1</f>
        <v>40</v>
      </c>
      <c r="B88" s="15" t="s">
        <v>1658</v>
      </c>
      <c r="C88" s="257"/>
      <c r="D88" s="257"/>
      <c r="E88" s="257"/>
      <c r="F88" s="257"/>
      <c r="G88" s="527" t="str">
        <f>"- 1-Base TRR, L "&amp;'1-BaseTRR'!A139&amp;""</f>
        <v>- 1-Base TRR, L 79</v>
      </c>
      <c r="H88" s="1273">
        <f>-'1-BaseTRR'!K139</f>
        <v>-1407846.4529580041</v>
      </c>
      <c r="I88" s="247"/>
      <c r="J88" s="247"/>
      <c r="K88" s="247"/>
      <c r="L88" s="247"/>
    </row>
    <row r="89" spans="1:12" x14ac:dyDescent="0.2">
      <c r="A89" s="117">
        <f t="shared" ref="A89:A92" si="2">A88+1</f>
        <v>41</v>
      </c>
      <c r="B89" s="15" t="s">
        <v>1659</v>
      </c>
      <c r="C89" s="257"/>
      <c r="D89" s="257"/>
      <c r="E89" s="257"/>
      <c r="F89" s="257"/>
      <c r="G89" s="527" t="str">
        <f>"- 2-IFPTRR, L "&amp;'2-IFPTRR'!A89&amp;""</f>
        <v>- 2-IFPTRR, L 80</v>
      </c>
      <c r="H89" s="1275">
        <f>-'2-IFPTRR'!D89</f>
        <v>-423712.95275452157</v>
      </c>
      <c r="I89" s="247"/>
      <c r="J89" s="247"/>
      <c r="K89" s="247"/>
      <c r="L89" s="247"/>
    </row>
    <row r="90" spans="1:12" x14ac:dyDescent="0.2">
      <c r="A90" s="117">
        <f t="shared" si="2"/>
        <v>42</v>
      </c>
      <c r="B90" s="15" t="s">
        <v>110</v>
      </c>
      <c r="C90" s="257"/>
      <c r="D90" s="257"/>
      <c r="E90" s="257"/>
      <c r="F90" s="257"/>
      <c r="G90" s="46" t="str">
        <f>"Sum Line "&amp;A86&amp;" to Line "&amp;A89&amp;""</f>
        <v>Sum Line 38 to Line 41</v>
      </c>
      <c r="H90" s="1273">
        <f>SUM(H86:H89)</f>
        <v>-5539716.7830803767</v>
      </c>
      <c r="I90" s="247"/>
      <c r="J90" s="247"/>
      <c r="K90" s="247"/>
      <c r="L90" s="247"/>
    </row>
    <row r="91" spans="1:12" x14ac:dyDescent="0.2">
      <c r="A91" s="117">
        <f t="shared" si="2"/>
        <v>43</v>
      </c>
      <c r="B91" s="15" t="s">
        <v>1573</v>
      </c>
      <c r="C91" s="257"/>
      <c r="D91" s="257"/>
      <c r="E91" s="257"/>
      <c r="F91" s="257"/>
      <c r="G91" s="14"/>
      <c r="H91" s="1275">
        <f>'28-FFU'!D22*SUM(H86+H87)</f>
        <v>-33902.941269798786</v>
      </c>
      <c r="I91" s="266" t="s">
        <v>1311</v>
      </c>
      <c r="J91" s="247"/>
      <c r="K91" s="247"/>
      <c r="L91" s="247"/>
    </row>
    <row r="92" spans="1:12" x14ac:dyDescent="0.2">
      <c r="A92" s="117">
        <f t="shared" si="2"/>
        <v>44</v>
      </c>
      <c r="B92" s="14" t="s">
        <v>1567</v>
      </c>
      <c r="C92" s="257"/>
      <c r="D92" s="257"/>
      <c r="E92" s="257"/>
      <c r="F92" s="257"/>
      <c r="G92" s="46" t="str">
        <f>"Line "&amp;A90&amp;" + Line "&amp;A91&amp;""</f>
        <v>Line 42 + Line 43</v>
      </c>
      <c r="H92" s="1273">
        <f>H90+H91</f>
        <v>-5573619.7243501758</v>
      </c>
      <c r="I92" s="247"/>
      <c r="J92" s="247"/>
      <c r="K92" s="247"/>
      <c r="L92" s="247"/>
    </row>
    <row r="93" spans="1:12" x14ac:dyDescent="0.2">
      <c r="A93" s="257"/>
      <c r="B93" s="14"/>
      <c r="C93" s="257"/>
      <c r="D93" s="257"/>
      <c r="E93" s="257"/>
      <c r="F93" s="257"/>
      <c r="G93" s="257"/>
      <c r="H93" s="1411"/>
      <c r="I93" s="247"/>
      <c r="J93" s="247"/>
      <c r="K93" s="247"/>
      <c r="L93" s="247"/>
    </row>
    <row r="94" spans="1:12" x14ac:dyDescent="0.2">
      <c r="A94" s="257"/>
      <c r="B94" s="1153" t="s">
        <v>1568</v>
      </c>
      <c r="C94" s="257"/>
      <c r="D94" s="257"/>
      <c r="E94" s="257"/>
      <c r="F94" s="257"/>
      <c r="G94" s="257"/>
      <c r="H94" s="257"/>
      <c r="I94" s="247"/>
      <c r="J94" s="247"/>
      <c r="K94" s="247"/>
      <c r="L94" s="247"/>
    </row>
    <row r="95" spans="1:12" x14ac:dyDescent="0.2">
      <c r="A95" s="257"/>
      <c r="B95" s="257" t="s">
        <v>1569</v>
      </c>
      <c r="C95" s="257"/>
      <c r="D95" s="257"/>
      <c r="E95" s="257"/>
      <c r="F95" s="257"/>
      <c r="G95" s="257"/>
      <c r="H95" s="257"/>
      <c r="I95" s="247"/>
      <c r="J95" s="247"/>
      <c r="K95" s="247"/>
      <c r="L95" s="247"/>
    </row>
    <row r="96" spans="1:12" x14ac:dyDescent="0.2">
      <c r="A96" s="257"/>
      <c r="B96" s="257" t="s">
        <v>1570</v>
      </c>
      <c r="C96" s="257"/>
      <c r="D96" s="257"/>
      <c r="E96" s="257"/>
      <c r="F96" s="257"/>
      <c r="G96" s="257"/>
      <c r="H96" s="257"/>
      <c r="I96" s="247"/>
      <c r="J96" s="247"/>
      <c r="K96" s="247"/>
      <c r="L96" s="247"/>
    </row>
    <row r="97" spans="1:12" x14ac:dyDescent="0.2">
      <c r="A97" s="257"/>
      <c r="B97" s="257" t="str">
        <f>"2) Input Prior Year for this Informational Filing in Line "&amp;A42&amp;"."</f>
        <v>2) Input Prior Year for this Informational Filing in Line 13.</v>
      </c>
      <c r="C97" s="14"/>
      <c r="D97" s="14"/>
      <c r="E97" s="14"/>
      <c r="F97" s="14"/>
      <c r="G97" s="14"/>
      <c r="H97" s="14"/>
      <c r="I97" s="247"/>
      <c r="J97" s="247"/>
      <c r="K97" s="247"/>
      <c r="L97" s="247"/>
    </row>
    <row r="98" spans="1:12" x14ac:dyDescent="0.2">
      <c r="A98" s="257"/>
      <c r="B98" s="257" t="str">
        <f>"3) Calculation: (Line "&amp;A34&amp;", "&amp;H25&amp;") + ((Line "&amp;A34&amp;", "&amp;I25&amp;") * (Line "&amp;A42&amp;" - 2010))."</f>
        <v>3) Calculation: (Line 11, Col 1) + ((Line 11, Col 2) * (Line 13 - 2010)).</v>
      </c>
      <c r="C98" s="14"/>
      <c r="D98" s="14"/>
      <c r="E98" s="14"/>
      <c r="F98" s="14"/>
      <c r="G98" s="14"/>
      <c r="H98" s="14"/>
      <c r="I98" s="247"/>
      <c r="J98" s="247"/>
      <c r="K98" s="247"/>
      <c r="L98" s="247"/>
    </row>
    <row r="99" spans="1:12" x14ac:dyDescent="0.2">
      <c r="A99" s="257"/>
      <c r="B99" s="257" t="str">
        <f>"4) Franchise Fee Exclusion is equal to the Franchise Fee Factor on the 28-FFU Line "&amp;'28-FFU'!A22&amp;""</f>
        <v>4) Franchise Fee Exclusion is equal to the Franchise Fee Factor on the 28-FFU Line 5</v>
      </c>
      <c r="C99" s="257"/>
      <c r="D99" s="257"/>
      <c r="E99" s="257"/>
      <c r="F99" s="257"/>
      <c r="G99" s="257"/>
      <c r="H99" s="257"/>
      <c r="I99" s="247"/>
      <c r="J99" s="247"/>
      <c r="K99" s="247"/>
      <c r="L99" s="247"/>
    </row>
    <row r="100" spans="1:12" x14ac:dyDescent="0.2">
      <c r="A100" s="247"/>
      <c r="B100" s="247" t="str">
        <f>"times Line "&amp;A86&amp;" + "&amp;A87&amp;"."</f>
        <v>times Line 38 + 39.</v>
      </c>
      <c r="C100" s="247"/>
      <c r="D100" s="247"/>
      <c r="E100" s="247"/>
      <c r="F100" s="247"/>
      <c r="G100" s="247"/>
      <c r="H100" s="247"/>
      <c r="I100" s="247"/>
      <c r="J100" s="247"/>
      <c r="K100" s="247"/>
      <c r="L100" s="247"/>
    </row>
    <row r="101" spans="1:12" x14ac:dyDescent="0.2">
      <c r="A101" s="247"/>
      <c r="B101" s="247"/>
      <c r="C101" s="247"/>
      <c r="D101" s="247"/>
      <c r="E101" s="247"/>
      <c r="F101" s="247"/>
      <c r="G101" s="247"/>
      <c r="H101" s="247"/>
      <c r="I101" s="247"/>
      <c r="J101" s="247"/>
      <c r="K101" s="247"/>
      <c r="L101" s="247"/>
    </row>
    <row r="102" spans="1:12" x14ac:dyDescent="0.2">
      <c r="A102" s="247"/>
      <c r="B102" s="247"/>
      <c r="C102" s="247"/>
      <c r="D102" s="247"/>
      <c r="E102" s="247"/>
      <c r="F102" s="247"/>
      <c r="G102" s="247"/>
      <c r="H102" s="247"/>
      <c r="I102" s="247"/>
      <c r="J102" s="247"/>
      <c r="K102" s="247"/>
      <c r="L102" s="247"/>
    </row>
    <row r="103" spans="1:12" x14ac:dyDescent="0.2">
      <c r="A103" s="247"/>
      <c r="B103" s="247"/>
      <c r="C103" s="247"/>
      <c r="D103" s="247"/>
      <c r="E103" s="247"/>
      <c r="F103" s="247"/>
      <c r="G103" s="247"/>
      <c r="H103" s="247"/>
      <c r="I103" s="247"/>
      <c r="J103" s="247"/>
      <c r="K103" s="247"/>
      <c r="L103" s="247"/>
    </row>
    <row r="104" spans="1:12" x14ac:dyDescent="0.2">
      <c r="A104" s="247"/>
      <c r="B104" s="247"/>
      <c r="C104" s="247"/>
      <c r="D104" s="247"/>
      <c r="E104" s="247"/>
      <c r="F104" s="247"/>
      <c r="G104" s="247"/>
      <c r="H104" s="247"/>
      <c r="I104" s="247"/>
      <c r="J104" s="247"/>
      <c r="K104" s="247"/>
      <c r="L104" s="247"/>
    </row>
    <row r="105" spans="1:12" x14ac:dyDescent="0.2">
      <c r="A105" s="247"/>
      <c r="B105" s="247"/>
      <c r="C105" s="247"/>
      <c r="D105" s="247"/>
      <c r="E105" s="247"/>
      <c r="F105" s="247"/>
      <c r="G105" s="247"/>
      <c r="H105" s="247"/>
      <c r="I105" s="247"/>
      <c r="J105" s="247"/>
      <c r="K105" s="247"/>
      <c r="L105" s="247"/>
    </row>
    <row r="106" spans="1:12" x14ac:dyDescent="0.2">
      <c r="A106" s="247"/>
      <c r="B106" s="247"/>
      <c r="C106" s="247"/>
      <c r="D106" s="247"/>
      <c r="E106" s="247"/>
      <c r="F106" s="247"/>
      <c r="G106" s="247"/>
      <c r="H106" s="247"/>
      <c r="I106" s="247"/>
      <c r="J106" s="247"/>
      <c r="K106" s="247"/>
      <c r="L106" s="247"/>
    </row>
    <row r="107" spans="1:12" x14ac:dyDescent="0.2">
      <c r="A107" s="247"/>
      <c r="B107" s="247"/>
      <c r="C107" s="247"/>
      <c r="D107" s="247"/>
      <c r="E107" s="247"/>
      <c r="F107" s="247"/>
      <c r="G107" s="247"/>
      <c r="H107" s="247"/>
      <c r="I107" s="247"/>
      <c r="J107" s="247"/>
      <c r="K107" s="247"/>
      <c r="L107" s="247"/>
    </row>
    <row r="108" spans="1:12" x14ac:dyDescent="0.2">
      <c r="A108" s="247"/>
      <c r="B108" s="247"/>
      <c r="C108" s="247"/>
      <c r="D108" s="247"/>
      <c r="E108" s="247"/>
      <c r="F108" s="247"/>
      <c r="G108" s="247"/>
      <c r="H108" s="247"/>
      <c r="I108" s="247"/>
      <c r="J108" s="247"/>
      <c r="K108" s="247"/>
      <c r="L108" s="247"/>
    </row>
    <row r="109" spans="1:12" x14ac:dyDescent="0.2">
      <c r="A109" s="247"/>
      <c r="B109" s="247"/>
      <c r="C109" s="247"/>
      <c r="D109" s="247"/>
      <c r="E109" s="247"/>
      <c r="F109" s="247"/>
      <c r="G109" s="247"/>
      <c r="H109" s="247"/>
      <c r="I109" s="247"/>
      <c r="J109" s="247"/>
      <c r="K109" s="247"/>
      <c r="L109" s="247"/>
    </row>
    <row r="110" spans="1:12" x14ac:dyDescent="0.2">
      <c r="A110" s="247"/>
      <c r="B110" s="247"/>
      <c r="C110" s="247"/>
      <c r="D110" s="247"/>
      <c r="E110" s="247"/>
      <c r="F110" s="247"/>
      <c r="G110" s="247"/>
      <c r="H110" s="247"/>
      <c r="I110" s="247"/>
      <c r="J110" s="247"/>
      <c r="K110" s="247"/>
      <c r="L110" s="247"/>
    </row>
    <row r="111" spans="1:12" x14ac:dyDescent="0.2">
      <c r="A111" s="247"/>
      <c r="B111" s="247"/>
      <c r="C111" s="247"/>
      <c r="D111" s="247"/>
      <c r="E111" s="247"/>
      <c r="F111" s="247"/>
      <c r="G111" s="247"/>
      <c r="H111" s="247"/>
      <c r="I111" s="247"/>
      <c r="J111" s="247"/>
      <c r="K111" s="247"/>
      <c r="L111" s="247"/>
    </row>
    <row r="112" spans="1:12" x14ac:dyDescent="0.2">
      <c r="A112" s="247"/>
      <c r="B112" s="247"/>
      <c r="C112" s="247"/>
      <c r="D112" s="247"/>
      <c r="E112" s="247"/>
      <c r="F112" s="247"/>
      <c r="G112" s="247"/>
      <c r="H112" s="247"/>
      <c r="I112" s="247"/>
      <c r="J112" s="247"/>
      <c r="K112" s="247"/>
      <c r="L112" s="247"/>
    </row>
    <row r="113" spans="1:12" x14ac:dyDescent="0.2">
      <c r="A113" s="247"/>
      <c r="B113" s="247"/>
      <c r="C113" s="247"/>
      <c r="D113" s="247"/>
      <c r="E113" s="247"/>
      <c r="F113" s="247"/>
      <c r="G113" s="247"/>
      <c r="H113" s="247"/>
      <c r="I113" s="247"/>
      <c r="J113" s="247"/>
      <c r="K113" s="247"/>
      <c r="L113" s="247"/>
    </row>
    <row r="114" spans="1:12" x14ac:dyDescent="0.2">
      <c r="A114" s="247"/>
      <c r="B114" s="247"/>
      <c r="C114" s="247"/>
      <c r="D114" s="247"/>
      <c r="E114" s="247"/>
      <c r="F114" s="247"/>
      <c r="G114" s="247"/>
      <c r="H114" s="247"/>
      <c r="I114" s="247"/>
      <c r="J114" s="247"/>
      <c r="K114" s="247"/>
      <c r="L114" s="247"/>
    </row>
    <row r="115" spans="1:12" x14ac:dyDescent="0.2">
      <c r="A115" s="247"/>
      <c r="B115" s="247"/>
      <c r="C115" s="247"/>
      <c r="D115" s="247"/>
      <c r="E115" s="247"/>
      <c r="F115" s="247"/>
      <c r="G115" s="247"/>
      <c r="H115" s="247"/>
      <c r="I115" s="247"/>
      <c r="J115" s="247"/>
      <c r="K115" s="247"/>
      <c r="L115" s="247"/>
    </row>
    <row r="116" spans="1:12" x14ac:dyDescent="0.2">
      <c r="A116" s="247"/>
      <c r="B116" s="247"/>
      <c r="C116" s="247"/>
      <c r="D116" s="247"/>
      <c r="E116" s="247"/>
      <c r="F116" s="247"/>
      <c r="G116" s="247"/>
      <c r="H116" s="247"/>
      <c r="I116" s="247"/>
      <c r="J116" s="247"/>
      <c r="K116" s="247"/>
      <c r="L116" s="247"/>
    </row>
    <row r="117" spans="1:12" x14ac:dyDescent="0.2">
      <c r="A117" s="247"/>
      <c r="B117" s="247"/>
      <c r="C117" s="247"/>
      <c r="D117" s="247"/>
      <c r="E117" s="247"/>
      <c r="F117" s="247"/>
      <c r="G117" s="247"/>
      <c r="H117" s="247"/>
      <c r="I117" s="247"/>
      <c r="J117" s="247"/>
      <c r="K117" s="247"/>
      <c r="L117" s="247"/>
    </row>
    <row r="118" spans="1:12" x14ac:dyDescent="0.2">
      <c r="A118" s="247"/>
      <c r="B118" s="247"/>
      <c r="C118" s="247"/>
      <c r="D118" s="247"/>
      <c r="E118" s="247"/>
      <c r="F118" s="247"/>
      <c r="G118" s="247"/>
      <c r="H118" s="247"/>
      <c r="I118" s="247"/>
      <c r="J118" s="247"/>
      <c r="K118" s="247"/>
      <c r="L118" s="247"/>
    </row>
    <row r="119" spans="1:12" x14ac:dyDescent="0.2">
      <c r="A119" s="247"/>
      <c r="B119" s="247"/>
      <c r="C119" s="247"/>
      <c r="D119" s="247"/>
      <c r="E119" s="247"/>
      <c r="F119" s="247"/>
      <c r="G119" s="247"/>
      <c r="H119" s="247"/>
      <c r="I119" s="247"/>
      <c r="J119" s="247"/>
      <c r="K119" s="247"/>
      <c r="L119" s="247"/>
    </row>
    <row r="120" spans="1:12" x14ac:dyDescent="0.2">
      <c r="A120" s="247"/>
      <c r="B120" s="247"/>
      <c r="C120" s="247"/>
      <c r="D120" s="247"/>
      <c r="E120" s="247"/>
      <c r="F120" s="247"/>
      <c r="G120" s="247"/>
      <c r="H120" s="247"/>
      <c r="I120" s="247"/>
      <c r="J120" s="247"/>
      <c r="K120" s="247"/>
      <c r="L120" s="247"/>
    </row>
    <row r="121" spans="1:12" x14ac:dyDescent="0.2">
      <c r="A121" s="247"/>
      <c r="B121" s="247"/>
      <c r="C121" s="247"/>
      <c r="D121" s="247"/>
      <c r="E121" s="247"/>
      <c r="F121" s="247"/>
      <c r="G121" s="247"/>
      <c r="H121" s="247"/>
      <c r="I121" s="247"/>
      <c r="J121" s="247"/>
      <c r="K121" s="247"/>
      <c r="L121" s="247"/>
    </row>
    <row r="122" spans="1:12" x14ac:dyDescent="0.2">
      <c r="A122" s="247"/>
      <c r="B122" s="247"/>
      <c r="C122" s="247"/>
      <c r="D122" s="247"/>
      <c r="E122" s="247"/>
      <c r="F122" s="247"/>
      <c r="G122" s="247"/>
      <c r="H122" s="247"/>
      <c r="I122" s="247"/>
      <c r="J122" s="247"/>
      <c r="K122" s="247"/>
      <c r="L122" s="247"/>
    </row>
    <row r="123" spans="1:12" x14ac:dyDescent="0.2">
      <c r="A123" s="247"/>
      <c r="B123" s="247"/>
      <c r="C123" s="247"/>
      <c r="D123" s="247"/>
      <c r="E123" s="247"/>
      <c r="F123" s="247"/>
      <c r="G123" s="247"/>
      <c r="H123" s="247"/>
      <c r="I123" s="247"/>
      <c r="J123" s="247"/>
      <c r="K123" s="247"/>
      <c r="L123" s="247"/>
    </row>
    <row r="124" spans="1:12" x14ac:dyDescent="0.2">
      <c r="A124" s="247"/>
      <c r="B124" s="247"/>
      <c r="C124" s="247"/>
      <c r="D124" s="247"/>
      <c r="E124" s="247"/>
      <c r="F124" s="247"/>
      <c r="G124" s="247"/>
      <c r="H124" s="247"/>
      <c r="I124" s="247"/>
      <c r="J124" s="247"/>
      <c r="K124" s="247"/>
      <c r="L124" s="247"/>
    </row>
    <row r="125" spans="1:12" x14ac:dyDescent="0.2">
      <c r="A125" s="247"/>
      <c r="B125" s="247"/>
      <c r="C125" s="247"/>
      <c r="D125" s="247"/>
      <c r="E125" s="247"/>
      <c r="F125" s="247"/>
      <c r="G125" s="247"/>
      <c r="H125" s="247"/>
      <c r="I125" s="247"/>
      <c r="J125" s="247"/>
      <c r="K125" s="247"/>
      <c r="L125" s="247"/>
    </row>
    <row r="126" spans="1:12" x14ac:dyDescent="0.2">
      <c r="A126" s="247"/>
      <c r="B126" s="247"/>
      <c r="C126" s="247"/>
      <c r="D126" s="247"/>
      <c r="E126" s="247"/>
      <c r="F126" s="247"/>
      <c r="G126" s="247"/>
      <c r="H126" s="247"/>
      <c r="I126" s="247"/>
      <c r="J126" s="247"/>
      <c r="K126" s="247"/>
      <c r="L126" s="247"/>
    </row>
    <row r="127" spans="1:12" x14ac:dyDescent="0.2">
      <c r="A127" s="247"/>
      <c r="B127" s="247"/>
      <c r="C127" s="247"/>
      <c r="D127" s="247"/>
      <c r="E127" s="247"/>
      <c r="F127" s="247"/>
      <c r="G127" s="247"/>
      <c r="H127" s="247"/>
      <c r="I127" s="247"/>
      <c r="J127" s="247"/>
      <c r="K127" s="247"/>
      <c r="L127" s="247"/>
    </row>
    <row r="128" spans="1:12" x14ac:dyDescent="0.2">
      <c r="A128" s="247"/>
      <c r="B128" s="247"/>
      <c r="C128" s="247"/>
      <c r="D128" s="247"/>
      <c r="E128" s="247"/>
      <c r="F128" s="247"/>
      <c r="G128" s="247"/>
      <c r="H128" s="247"/>
      <c r="I128" s="247"/>
      <c r="J128" s="247"/>
      <c r="K128" s="247"/>
      <c r="L128" s="247"/>
    </row>
    <row r="129" spans="1:12" x14ac:dyDescent="0.2">
      <c r="A129" s="247"/>
      <c r="B129" s="247"/>
      <c r="C129" s="247"/>
      <c r="D129" s="247"/>
      <c r="E129" s="247"/>
      <c r="F129" s="247"/>
      <c r="G129" s="247"/>
      <c r="H129" s="247"/>
      <c r="I129" s="247"/>
      <c r="J129" s="247"/>
      <c r="K129" s="247"/>
      <c r="L129" s="247"/>
    </row>
    <row r="130" spans="1:12" x14ac:dyDescent="0.2">
      <c r="A130" s="247"/>
      <c r="B130" s="247"/>
      <c r="C130" s="247"/>
      <c r="D130" s="247"/>
      <c r="E130" s="247"/>
      <c r="F130" s="247"/>
      <c r="G130" s="247"/>
      <c r="H130" s="247"/>
      <c r="I130" s="247"/>
      <c r="J130" s="247"/>
      <c r="K130" s="247"/>
      <c r="L130" s="247"/>
    </row>
    <row r="131" spans="1:12" x14ac:dyDescent="0.2">
      <c r="A131" s="247"/>
      <c r="B131" s="247"/>
      <c r="C131" s="247"/>
      <c r="D131" s="247"/>
      <c r="E131" s="247"/>
      <c r="F131" s="247"/>
      <c r="G131" s="247"/>
      <c r="H131" s="247"/>
      <c r="I131" s="247"/>
      <c r="J131" s="247"/>
      <c r="K131" s="247"/>
      <c r="L131" s="247"/>
    </row>
    <row r="132" spans="1:12" x14ac:dyDescent="0.2">
      <c r="A132" s="247"/>
      <c r="B132" s="247"/>
      <c r="C132" s="247"/>
      <c r="D132" s="247"/>
      <c r="E132" s="247"/>
      <c r="F132" s="247"/>
      <c r="G132" s="247"/>
      <c r="H132" s="247"/>
      <c r="I132" s="247"/>
      <c r="J132" s="247"/>
      <c r="K132" s="247"/>
      <c r="L132" s="247"/>
    </row>
    <row r="133" spans="1:12" x14ac:dyDescent="0.2">
      <c r="A133" s="247"/>
      <c r="B133" s="247"/>
      <c r="C133" s="247"/>
      <c r="D133" s="247"/>
      <c r="E133" s="247"/>
      <c r="F133" s="247"/>
      <c r="G133" s="247"/>
      <c r="H133" s="247"/>
      <c r="I133" s="247"/>
      <c r="J133" s="247"/>
      <c r="K133" s="247"/>
      <c r="L133" s="247"/>
    </row>
    <row r="134" spans="1:12" x14ac:dyDescent="0.2">
      <c r="A134" s="247"/>
      <c r="B134" s="247"/>
      <c r="C134" s="247"/>
      <c r="D134" s="247"/>
      <c r="E134" s="247"/>
      <c r="F134" s="247"/>
      <c r="G134" s="247"/>
      <c r="H134" s="247"/>
      <c r="I134" s="247"/>
      <c r="J134" s="247"/>
      <c r="K134" s="247"/>
      <c r="L134" s="247"/>
    </row>
    <row r="135" spans="1:12" x14ac:dyDescent="0.2">
      <c r="A135" s="247"/>
      <c r="B135" s="247"/>
      <c r="C135" s="247"/>
      <c r="D135" s="247"/>
      <c r="E135" s="247"/>
      <c r="F135" s="247"/>
      <c r="G135" s="247"/>
      <c r="H135" s="247"/>
      <c r="I135" s="247"/>
      <c r="J135" s="247"/>
      <c r="K135" s="247"/>
      <c r="L135" s="247"/>
    </row>
    <row r="136" spans="1:12" x14ac:dyDescent="0.2">
      <c r="A136" s="247"/>
      <c r="B136" s="247"/>
      <c r="C136" s="247"/>
      <c r="D136" s="247"/>
      <c r="E136" s="247"/>
      <c r="F136" s="247"/>
      <c r="G136" s="247"/>
      <c r="H136" s="247"/>
      <c r="I136" s="247"/>
      <c r="J136" s="247"/>
      <c r="K136" s="247"/>
      <c r="L136" s="247"/>
    </row>
    <row r="137" spans="1:12" x14ac:dyDescent="0.2">
      <c r="A137" s="247"/>
      <c r="B137" s="247"/>
      <c r="C137" s="247"/>
      <c r="D137" s="247"/>
      <c r="E137" s="247"/>
      <c r="F137" s="247"/>
      <c r="G137" s="247"/>
      <c r="H137" s="247"/>
      <c r="I137" s="247"/>
      <c r="J137" s="247"/>
      <c r="K137" s="247"/>
      <c r="L137" s="247"/>
    </row>
    <row r="138" spans="1:12" x14ac:dyDescent="0.2">
      <c r="A138" s="247"/>
      <c r="B138" s="247"/>
      <c r="C138" s="247"/>
      <c r="D138" s="247"/>
      <c r="E138" s="247"/>
      <c r="F138" s="247"/>
      <c r="G138" s="247"/>
      <c r="H138" s="247"/>
      <c r="I138" s="247"/>
      <c r="J138" s="247"/>
      <c r="K138" s="247"/>
      <c r="L138" s="247"/>
    </row>
    <row r="139" spans="1:12" x14ac:dyDescent="0.2">
      <c r="A139" s="247"/>
      <c r="B139" s="247"/>
      <c r="C139" s="247"/>
      <c r="D139" s="247"/>
      <c r="E139" s="247"/>
      <c r="F139" s="247"/>
      <c r="G139" s="247"/>
      <c r="H139" s="247"/>
      <c r="I139" s="247"/>
      <c r="J139" s="247"/>
      <c r="K139" s="247"/>
      <c r="L139" s="247"/>
    </row>
    <row r="140" spans="1:12" x14ac:dyDescent="0.2">
      <c r="A140" s="247"/>
      <c r="B140" s="247"/>
      <c r="C140" s="247"/>
      <c r="D140" s="247"/>
      <c r="E140" s="247"/>
      <c r="F140" s="247"/>
      <c r="G140" s="247"/>
      <c r="H140" s="247"/>
      <c r="I140" s="247"/>
      <c r="J140" s="247"/>
      <c r="K140" s="247"/>
      <c r="L140" s="247"/>
    </row>
    <row r="141" spans="1:12" x14ac:dyDescent="0.2">
      <c r="A141" s="247"/>
      <c r="B141" s="247"/>
      <c r="C141" s="247"/>
      <c r="D141" s="247"/>
      <c r="E141" s="247"/>
      <c r="F141" s="247"/>
      <c r="G141" s="247"/>
      <c r="H141" s="247"/>
      <c r="I141" s="247"/>
      <c r="J141" s="247"/>
      <c r="K141" s="247"/>
      <c r="L141" s="247"/>
    </row>
    <row r="142" spans="1:12" x14ac:dyDescent="0.2">
      <c r="A142" s="247"/>
      <c r="B142" s="247"/>
      <c r="C142" s="247"/>
      <c r="D142" s="247"/>
      <c r="E142" s="247"/>
      <c r="F142" s="247"/>
      <c r="G142" s="247"/>
      <c r="H142" s="247"/>
      <c r="I142" s="247"/>
      <c r="J142" s="247"/>
      <c r="K142" s="247"/>
      <c r="L142" s="247"/>
    </row>
    <row r="143" spans="1:12" x14ac:dyDescent="0.2">
      <c r="A143" s="247"/>
      <c r="B143" s="247"/>
      <c r="C143" s="247"/>
      <c r="D143" s="247"/>
      <c r="E143" s="247"/>
      <c r="F143" s="247"/>
      <c r="G143" s="247"/>
      <c r="H143" s="247"/>
      <c r="I143" s="247"/>
      <c r="J143" s="247"/>
      <c r="K143" s="247"/>
      <c r="L143" s="247"/>
    </row>
    <row r="144" spans="1:12" x14ac:dyDescent="0.2">
      <c r="A144" s="247"/>
      <c r="B144" s="247"/>
      <c r="C144" s="247"/>
      <c r="D144" s="247"/>
      <c r="E144" s="247"/>
      <c r="F144" s="247"/>
      <c r="G144" s="247"/>
      <c r="H144" s="247"/>
      <c r="I144" s="247"/>
      <c r="J144" s="247"/>
      <c r="K144" s="247"/>
      <c r="L144" s="247"/>
    </row>
    <row r="145" spans="1:12" x14ac:dyDescent="0.2">
      <c r="A145" s="247"/>
      <c r="B145" s="247"/>
      <c r="C145" s="247"/>
      <c r="D145" s="247"/>
      <c r="E145" s="247"/>
      <c r="F145" s="247"/>
      <c r="G145" s="247"/>
      <c r="H145" s="247"/>
      <c r="I145" s="247"/>
      <c r="J145" s="247"/>
      <c r="K145" s="247"/>
      <c r="L145" s="247"/>
    </row>
    <row r="146" spans="1:12" x14ac:dyDescent="0.2">
      <c r="A146" s="247"/>
      <c r="B146" s="247"/>
      <c r="C146" s="247"/>
      <c r="D146" s="247"/>
      <c r="E146" s="247"/>
      <c r="F146" s="247"/>
      <c r="G146" s="247"/>
      <c r="H146" s="247"/>
      <c r="I146" s="247"/>
      <c r="J146" s="247"/>
      <c r="K146" s="247"/>
      <c r="L146" s="247"/>
    </row>
    <row r="147" spans="1:12" x14ac:dyDescent="0.2">
      <c r="A147" s="247"/>
      <c r="B147" s="247"/>
      <c r="C147" s="247"/>
      <c r="D147" s="247"/>
      <c r="E147" s="247"/>
      <c r="F147" s="247"/>
      <c r="G147" s="247"/>
      <c r="H147" s="247"/>
      <c r="I147" s="247"/>
      <c r="J147" s="247"/>
      <c r="K147" s="247"/>
      <c r="L147" s="247"/>
    </row>
    <row r="148" spans="1:12" x14ac:dyDescent="0.2">
      <c r="A148" s="247"/>
      <c r="B148" s="247"/>
      <c r="C148" s="247"/>
      <c r="D148" s="247"/>
      <c r="E148" s="247"/>
      <c r="F148" s="247"/>
      <c r="G148" s="247"/>
      <c r="H148" s="247"/>
      <c r="I148" s="247"/>
      <c r="J148" s="247"/>
      <c r="K148" s="247"/>
      <c r="L148" s="247"/>
    </row>
    <row r="149" spans="1:12" x14ac:dyDescent="0.2">
      <c r="A149" s="247"/>
      <c r="B149" s="247"/>
      <c r="C149" s="247"/>
      <c r="D149" s="247"/>
      <c r="E149" s="247"/>
      <c r="F149" s="247"/>
      <c r="G149" s="247"/>
      <c r="H149" s="247"/>
      <c r="I149" s="247"/>
      <c r="J149" s="247"/>
      <c r="K149" s="247"/>
      <c r="L149" s="247"/>
    </row>
    <row r="150" spans="1:12" x14ac:dyDescent="0.2">
      <c r="A150" s="247"/>
      <c r="B150" s="247"/>
      <c r="C150" s="247"/>
      <c r="D150" s="247"/>
      <c r="E150" s="247"/>
      <c r="F150" s="247"/>
      <c r="G150" s="247"/>
      <c r="H150" s="247"/>
      <c r="I150" s="247"/>
      <c r="J150" s="247"/>
      <c r="K150" s="247"/>
      <c r="L150" s="247"/>
    </row>
    <row r="151" spans="1:12" x14ac:dyDescent="0.2">
      <c r="A151" s="247"/>
      <c r="B151" s="247"/>
      <c r="C151" s="247"/>
      <c r="D151" s="247"/>
      <c r="E151" s="247"/>
      <c r="F151" s="247"/>
      <c r="G151" s="247"/>
      <c r="H151" s="247"/>
      <c r="I151" s="247"/>
      <c r="J151" s="247"/>
      <c r="K151" s="247"/>
      <c r="L151" s="247"/>
    </row>
    <row r="152" spans="1:12" x14ac:dyDescent="0.2">
      <c r="A152" s="247"/>
      <c r="B152" s="247"/>
      <c r="C152" s="247"/>
      <c r="D152" s="247"/>
      <c r="E152" s="247"/>
      <c r="F152" s="247"/>
      <c r="G152" s="247"/>
      <c r="H152" s="247"/>
      <c r="I152" s="247"/>
      <c r="J152" s="247"/>
      <c r="K152" s="247"/>
      <c r="L152" s="247"/>
    </row>
  </sheetData>
  <pageMargins left="0.7" right="0.7" top="0.75" bottom="0.75" header="0.3" footer="0.3"/>
  <pageSetup scale="80" orientation="portrait" cellComments="asDisplayed" r:id="rId1"/>
  <headerFooter>
    <oddHeader>&amp;CSchedule 25
Wholesale Differences to Base TRR
&amp;RTO8 Annual Update (Revised)
Attachment  1</oddHeader>
    <oddFooter>&amp;R&amp;A</oddFooter>
  </headerFooter>
  <rowBreaks count="1" manualBreakCount="1">
    <brk id="6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Layout" zoomScaleNormal="100" workbookViewId="0">
      <selection activeCell="H11" sqref="H11"/>
    </sheetView>
  </sheetViews>
  <sheetFormatPr defaultRowHeight="12.75" x14ac:dyDescent="0.2"/>
  <cols>
    <col min="1" max="1" width="3.7109375" customWidth="1"/>
    <col min="2" max="2" width="45.7109375" customWidth="1"/>
    <col min="3" max="3" width="12.7109375" customWidth="1"/>
  </cols>
  <sheetData>
    <row r="1" spans="1:6" x14ac:dyDescent="0.2">
      <c r="A1" s="1" t="s">
        <v>1635</v>
      </c>
    </row>
    <row r="3" spans="1:6" x14ac:dyDescent="0.2">
      <c r="A3" s="548" t="s">
        <v>1915</v>
      </c>
    </row>
    <row r="5" spans="1:6" x14ac:dyDescent="0.2">
      <c r="B5" s="3" t="s">
        <v>195</v>
      </c>
      <c r="C5" s="3" t="s">
        <v>196</v>
      </c>
    </row>
    <row r="6" spans="1:6" x14ac:dyDescent="0.2">
      <c r="B6" t="s">
        <v>108</v>
      </c>
      <c r="C6" s="7">
        <f>'1-BaseTRR'!K141</f>
        <v>693024101.69008613</v>
      </c>
    </row>
    <row r="7" spans="1:6" x14ac:dyDescent="0.2">
      <c r="B7" t="s">
        <v>351</v>
      </c>
      <c r="C7" s="7">
        <f>'1-BaseTRR'!K147</f>
        <v>208576217.83979845</v>
      </c>
    </row>
    <row r="8" spans="1:6" x14ac:dyDescent="0.2">
      <c r="B8" t="s">
        <v>109</v>
      </c>
      <c r="C8" s="108">
        <f>'1-BaseTRR'!K148</f>
        <v>-61561101.91540914</v>
      </c>
      <c r="E8" s="1"/>
    </row>
    <row r="9" spans="1:6" x14ac:dyDescent="0.2">
      <c r="B9" s="550" t="s">
        <v>2338</v>
      </c>
      <c r="C9" s="97">
        <f>'1-BaseTRR'!K150</f>
        <v>0</v>
      </c>
      <c r="E9" s="1"/>
    </row>
    <row r="10" spans="1:6" x14ac:dyDescent="0.2">
      <c r="B10" t="s">
        <v>1916</v>
      </c>
      <c r="C10" s="7">
        <f>SUM(C6:C9)</f>
        <v>840039217.61447549</v>
      </c>
    </row>
    <row r="12" spans="1:6" x14ac:dyDescent="0.2">
      <c r="A12" t="s">
        <v>610</v>
      </c>
    </row>
    <row r="14" spans="1:6" x14ac:dyDescent="0.2">
      <c r="B14" t="s">
        <v>224</v>
      </c>
    </row>
    <row r="15" spans="1:6" x14ac:dyDescent="0.2">
      <c r="B15" s="552" t="s">
        <v>2118</v>
      </c>
      <c r="E15" s="14"/>
      <c r="F15" s="14"/>
    </row>
    <row r="16" spans="1:6" x14ac:dyDescent="0.2">
      <c r="B16" s="16"/>
    </row>
    <row r="17" spans="2:2" x14ac:dyDescent="0.2">
      <c r="B17" t="s">
        <v>609</v>
      </c>
    </row>
    <row r="18" spans="2:2" x14ac:dyDescent="0.2">
      <c r="B18" s="550" t="s">
        <v>2119</v>
      </c>
    </row>
    <row r="19" spans="2:2" x14ac:dyDescent="0.2">
      <c r="B19" s="16"/>
    </row>
    <row r="20" spans="2:2" x14ac:dyDescent="0.2">
      <c r="B20" s="66" t="s">
        <v>1350</v>
      </c>
    </row>
    <row r="21" spans="2:2" x14ac:dyDescent="0.2">
      <c r="B21" s="547" t="s">
        <v>2120</v>
      </c>
    </row>
    <row r="23" spans="2:2" x14ac:dyDescent="0.2">
      <c r="B23" s="550" t="s">
        <v>2339</v>
      </c>
    </row>
  </sheetData>
  <phoneticPr fontId="12" type="noConversion"/>
  <pageMargins left="0.75" right="0.75" top="1" bottom="1" header="0.5" footer="0.5"/>
  <pageSetup orientation="landscape" r:id="rId1"/>
  <headerFooter alignWithMargins="0">
    <oddHeader>&amp;COverview
&amp;RTO8 Annual Update (Revised)
Attachment  1</oddHeader>
    <oddFooter>&amp;ROverview</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Layout" zoomScaleNormal="100" workbookViewId="0"/>
  </sheetViews>
  <sheetFormatPr defaultRowHeight="12.75" x14ac:dyDescent="0.2"/>
  <cols>
    <col min="1" max="1" width="4.7109375" customWidth="1"/>
    <col min="2" max="2" width="3.7109375" customWidth="1"/>
    <col min="3" max="3" width="18.7109375" customWidth="1"/>
    <col min="4" max="4" width="14.7109375" customWidth="1"/>
    <col min="5" max="5" width="45.7109375" customWidth="1"/>
    <col min="6" max="6" width="12.140625" bestFit="1" customWidth="1"/>
  </cols>
  <sheetData>
    <row r="1" spans="1:5" x14ac:dyDescent="0.2">
      <c r="A1" s="1" t="s">
        <v>453</v>
      </c>
    </row>
    <row r="3" spans="1:5" x14ac:dyDescent="0.2">
      <c r="B3" s="1" t="s">
        <v>45</v>
      </c>
      <c r="E3" s="102" t="s">
        <v>18</v>
      </c>
    </row>
    <row r="4" spans="1:5" x14ac:dyDescent="0.2">
      <c r="D4" s="2" t="s">
        <v>46</v>
      </c>
    </row>
    <row r="5" spans="1:5" x14ac:dyDescent="0.2">
      <c r="C5" s="2" t="s">
        <v>448</v>
      </c>
      <c r="D5" s="2" t="s">
        <v>450</v>
      </c>
    </row>
    <row r="6" spans="1:5" x14ac:dyDescent="0.2">
      <c r="A6" s="3" t="s">
        <v>362</v>
      </c>
      <c r="C6" s="3" t="s">
        <v>214</v>
      </c>
      <c r="D6" s="3" t="s">
        <v>454</v>
      </c>
      <c r="E6" s="3" t="s">
        <v>200</v>
      </c>
    </row>
    <row r="7" spans="1:5" x14ac:dyDescent="0.2">
      <c r="A7" s="2">
        <v>1</v>
      </c>
      <c r="C7" s="160">
        <v>2012</v>
      </c>
      <c r="D7" s="702">
        <f>D71</f>
        <v>0.35</v>
      </c>
      <c r="E7" s="1112" t="s">
        <v>2102</v>
      </c>
    </row>
    <row r="8" spans="1:5" x14ac:dyDescent="0.2">
      <c r="A8" s="2">
        <f>A7+1</f>
        <v>2</v>
      </c>
      <c r="E8" s="547"/>
    </row>
    <row r="9" spans="1:5" x14ac:dyDescent="0.2">
      <c r="A9" s="2">
        <f t="shared" ref="A9:A58" si="0">A8+1</f>
        <v>3</v>
      </c>
      <c r="B9" s="1" t="s">
        <v>47</v>
      </c>
    </row>
    <row r="10" spans="1:5" x14ac:dyDescent="0.2">
      <c r="A10" s="2">
        <f t="shared" si="0"/>
        <v>4</v>
      </c>
      <c r="B10" s="1"/>
      <c r="D10" s="2"/>
    </row>
    <row r="11" spans="1:5" x14ac:dyDescent="0.2">
      <c r="A11" s="2">
        <f t="shared" si="0"/>
        <v>5</v>
      </c>
      <c r="D11" s="2" t="s">
        <v>312</v>
      </c>
    </row>
    <row r="12" spans="1:5" x14ac:dyDescent="0.2">
      <c r="A12" s="2">
        <f t="shared" si="0"/>
        <v>6</v>
      </c>
      <c r="C12" s="2" t="s">
        <v>448</v>
      </c>
      <c r="D12" s="2" t="s">
        <v>450</v>
      </c>
    </row>
    <row r="13" spans="1:5" x14ac:dyDescent="0.2">
      <c r="A13" s="2">
        <f t="shared" si="0"/>
        <v>7</v>
      </c>
      <c r="C13" s="3" t="s">
        <v>214</v>
      </c>
      <c r="D13" s="3" t="s">
        <v>451</v>
      </c>
      <c r="E13" s="3" t="s">
        <v>200</v>
      </c>
    </row>
    <row r="14" spans="1:5" x14ac:dyDescent="0.2">
      <c r="A14" s="2">
        <f t="shared" si="0"/>
        <v>8</v>
      </c>
      <c r="C14" s="160">
        <v>2012</v>
      </c>
      <c r="D14" s="71">
        <f>D51</f>
        <v>7.5938895450750804E-2</v>
      </c>
      <c r="E14" s="13" t="str">
        <f>"1) See calculation below on Line "&amp;A51&amp;" based on inputs"</f>
        <v>1) See calculation below on Line 45 based on inputs</v>
      </c>
    </row>
    <row r="15" spans="1:5" x14ac:dyDescent="0.2">
      <c r="A15" s="2">
        <f t="shared" si="0"/>
        <v>9</v>
      </c>
      <c r="C15" s="55"/>
      <c r="D15" s="14"/>
      <c r="E15" s="13" t="s">
        <v>322</v>
      </c>
    </row>
    <row r="16" spans="1:5" x14ac:dyDescent="0.2">
      <c r="A16" s="2">
        <f t="shared" si="0"/>
        <v>10</v>
      </c>
      <c r="C16" s="55"/>
      <c r="D16" s="14"/>
      <c r="E16" s="16" t="s">
        <v>452</v>
      </c>
    </row>
    <row r="17" spans="1:5" x14ac:dyDescent="0.2">
      <c r="A17" s="2">
        <f t="shared" si="0"/>
        <v>11</v>
      </c>
      <c r="C17" s="62"/>
      <c r="E17" s="16"/>
    </row>
    <row r="18" spans="1:5" x14ac:dyDescent="0.2">
      <c r="A18" s="2">
        <f t="shared" si="0"/>
        <v>12</v>
      </c>
      <c r="C18" s="1" t="s">
        <v>410</v>
      </c>
      <c r="E18" s="16"/>
    </row>
    <row r="19" spans="1:5" x14ac:dyDescent="0.2">
      <c r="A19" s="2">
        <f t="shared" si="0"/>
        <v>13</v>
      </c>
      <c r="E19" s="16"/>
    </row>
    <row r="20" spans="1:5" x14ac:dyDescent="0.2">
      <c r="A20" s="2">
        <f t="shared" si="0"/>
        <v>14</v>
      </c>
      <c r="C20" s="2"/>
      <c r="D20" s="2" t="s">
        <v>37</v>
      </c>
    </row>
    <row r="21" spans="1:5" x14ac:dyDescent="0.2">
      <c r="A21" s="2">
        <f t="shared" si="0"/>
        <v>15</v>
      </c>
      <c r="C21" s="3" t="s">
        <v>43</v>
      </c>
      <c r="D21" s="3" t="s">
        <v>455</v>
      </c>
      <c r="E21" s="3" t="s">
        <v>200</v>
      </c>
    </row>
    <row r="22" spans="1:5" x14ac:dyDescent="0.2">
      <c r="A22" s="2">
        <f t="shared" si="0"/>
        <v>16</v>
      </c>
      <c r="C22" t="s">
        <v>39</v>
      </c>
      <c r="D22" s="50">
        <v>1</v>
      </c>
      <c r="E22" s="72" t="s">
        <v>447</v>
      </c>
    </row>
    <row r="23" spans="1:5" x14ac:dyDescent="0.2">
      <c r="A23" s="2">
        <f t="shared" si="0"/>
        <v>17</v>
      </c>
      <c r="C23" t="s">
        <v>40</v>
      </c>
      <c r="D23" s="50">
        <v>7.7710000000000001E-3</v>
      </c>
      <c r="E23" s="158"/>
    </row>
    <row r="24" spans="1:5" x14ac:dyDescent="0.2">
      <c r="A24" s="2">
        <f t="shared" si="0"/>
        <v>18</v>
      </c>
      <c r="C24" t="s">
        <v>41</v>
      </c>
      <c r="D24" s="50">
        <v>2.2179999999999998E-2</v>
      </c>
      <c r="E24" s="69"/>
    </row>
    <row r="25" spans="1:5" x14ac:dyDescent="0.2">
      <c r="A25" s="2">
        <f t="shared" si="0"/>
        <v>19</v>
      </c>
      <c r="C25" t="s">
        <v>42</v>
      </c>
      <c r="D25" s="50">
        <v>2.9E-5</v>
      </c>
      <c r="E25" s="70"/>
    </row>
    <row r="26" spans="1:5" x14ac:dyDescent="0.2">
      <c r="A26" s="2">
        <f t="shared" si="0"/>
        <v>20</v>
      </c>
      <c r="D26" s="71"/>
      <c r="E26" s="70"/>
    </row>
    <row r="27" spans="1:5" x14ac:dyDescent="0.2">
      <c r="A27" s="2">
        <f t="shared" si="0"/>
        <v>21</v>
      </c>
      <c r="D27" s="2" t="s">
        <v>44</v>
      </c>
    </row>
    <row r="28" spans="1:5" x14ac:dyDescent="0.2">
      <c r="A28" s="2">
        <f t="shared" si="0"/>
        <v>22</v>
      </c>
      <c r="C28" s="3" t="s">
        <v>43</v>
      </c>
      <c r="D28" s="3" t="s">
        <v>449</v>
      </c>
    </row>
    <row r="29" spans="1:5" x14ac:dyDescent="0.2">
      <c r="A29" s="2">
        <f t="shared" si="0"/>
        <v>23</v>
      </c>
      <c r="C29" t="s">
        <v>39</v>
      </c>
      <c r="D29" s="50">
        <v>8.8400000000000006E-2</v>
      </c>
      <c r="E29" s="158" t="s">
        <v>555</v>
      </c>
    </row>
    <row r="30" spans="1:5" x14ac:dyDescent="0.2">
      <c r="A30" s="2">
        <f t="shared" si="0"/>
        <v>24</v>
      </c>
      <c r="C30" t="s">
        <v>40</v>
      </c>
      <c r="D30" s="50">
        <v>7.5999999999999998E-2</v>
      </c>
      <c r="E30" s="1215" t="s">
        <v>2061</v>
      </c>
    </row>
    <row r="31" spans="1:5" x14ac:dyDescent="0.2">
      <c r="A31" s="2">
        <f t="shared" si="0"/>
        <v>25</v>
      </c>
      <c r="C31" t="s">
        <v>41</v>
      </c>
      <c r="D31" s="50">
        <v>6.9680000000000006E-2</v>
      </c>
    </row>
    <row r="32" spans="1:5" x14ac:dyDescent="0.2">
      <c r="A32" s="2">
        <f t="shared" si="0"/>
        <v>26</v>
      </c>
      <c r="C32" t="s">
        <v>42</v>
      </c>
      <c r="D32" s="456">
        <v>9.9750000000000005E-2</v>
      </c>
    </row>
    <row r="33" spans="1:5" x14ac:dyDescent="0.2">
      <c r="A33" s="2">
        <f t="shared" si="0"/>
        <v>27</v>
      </c>
    </row>
    <row r="34" spans="1:5" x14ac:dyDescent="0.2">
      <c r="A34" s="542">
        <f t="shared" si="0"/>
        <v>28</v>
      </c>
      <c r="D34" s="2" t="s">
        <v>1386</v>
      </c>
    </row>
    <row r="35" spans="1:5" x14ac:dyDescent="0.2">
      <c r="A35" s="542">
        <f t="shared" si="0"/>
        <v>29</v>
      </c>
      <c r="D35" s="542" t="s">
        <v>1665</v>
      </c>
    </row>
    <row r="36" spans="1:5" x14ac:dyDescent="0.2">
      <c r="A36" s="542">
        <f t="shared" si="0"/>
        <v>30</v>
      </c>
      <c r="D36" s="458" t="s">
        <v>1666</v>
      </c>
    </row>
    <row r="37" spans="1:5" x14ac:dyDescent="0.2">
      <c r="A37" s="542">
        <f t="shared" si="0"/>
        <v>31</v>
      </c>
      <c r="D37" s="542" t="s">
        <v>39</v>
      </c>
    </row>
    <row r="38" spans="1:5" x14ac:dyDescent="0.2">
      <c r="A38" s="542">
        <f t="shared" si="0"/>
        <v>32</v>
      </c>
      <c r="C38" s="3" t="s">
        <v>43</v>
      </c>
      <c r="D38" s="3" t="s">
        <v>1667</v>
      </c>
    </row>
    <row r="39" spans="1:5" x14ac:dyDescent="0.2">
      <c r="A39" s="542">
        <f t="shared" si="0"/>
        <v>33</v>
      </c>
      <c r="C39" t="s">
        <v>39</v>
      </c>
      <c r="D39" s="50">
        <v>1</v>
      </c>
      <c r="E39" s="513" t="s">
        <v>1519</v>
      </c>
    </row>
    <row r="40" spans="1:5" x14ac:dyDescent="0.2">
      <c r="A40" s="542">
        <f t="shared" si="0"/>
        <v>34</v>
      </c>
      <c r="C40" t="s">
        <v>40</v>
      </c>
      <c r="D40" s="50">
        <v>-9.8809000000000005</v>
      </c>
      <c r="E40" s="14" t="s">
        <v>1520</v>
      </c>
    </row>
    <row r="41" spans="1:5" x14ac:dyDescent="0.2">
      <c r="A41" s="542">
        <f t="shared" si="0"/>
        <v>35</v>
      </c>
      <c r="C41" t="s">
        <v>41</v>
      </c>
      <c r="D41" s="50">
        <v>-4.2823029999999997</v>
      </c>
    </row>
    <row r="42" spans="1:5" x14ac:dyDescent="0.2">
      <c r="A42" s="542">
        <f t="shared" si="0"/>
        <v>36</v>
      </c>
      <c r="C42" t="s">
        <v>42</v>
      </c>
      <c r="D42" s="456">
        <v>-2.4803280000000001</v>
      </c>
    </row>
    <row r="43" spans="1:5" x14ac:dyDescent="0.2">
      <c r="A43" s="542">
        <f t="shared" si="0"/>
        <v>37</v>
      </c>
      <c r="D43" s="457"/>
    </row>
    <row r="44" spans="1:5" x14ac:dyDescent="0.2">
      <c r="A44" s="542">
        <f t="shared" si="0"/>
        <v>38</v>
      </c>
      <c r="D44" s="2" t="s">
        <v>1384</v>
      </c>
    </row>
    <row r="45" spans="1:5" x14ac:dyDescent="0.2">
      <c r="A45" s="542">
        <f t="shared" si="0"/>
        <v>39</v>
      </c>
      <c r="C45" s="3" t="s">
        <v>43</v>
      </c>
      <c r="D45" s="3" t="s">
        <v>1385</v>
      </c>
    </row>
    <row r="46" spans="1:5" x14ac:dyDescent="0.2">
      <c r="A46" s="542">
        <f t="shared" si="0"/>
        <v>40</v>
      </c>
      <c r="C46" t="s">
        <v>39</v>
      </c>
      <c r="D46" s="71">
        <f>D22*D29*D39</f>
        <v>8.8400000000000006E-2</v>
      </c>
      <c r="E46" s="13" t="str">
        <f>"Line "&amp;A22&amp;" * Line "&amp;A29&amp;" * Line "&amp;A39&amp;""</f>
        <v>Line 16 * Line 23 * Line 33</v>
      </c>
    </row>
    <row r="47" spans="1:5" x14ac:dyDescent="0.2">
      <c r="A47" s="542">
        <f t="shared" si="0"/>
        <v>41</v>
      </c>
      <c r="C47" t="s">
        <v>40</v>
      </c>
      <c r="D47" s="71">
        <f>D23*D30*D40</f>
        <v>-5.8356200164E-3</v>
      </c>
      <c r="E47" s="13" t="str">
        <f>"Line "&amp;A23&amp;" * Line "&amp;A30&amp;" * Line "&amp;A40&amp;""</f>
        <v>Line 17 * Line 24 * Line 34</v>
      </c>
    </row>
    <row r="48" spans="1:5" x14ac:dyDescent="0.2">
      <c r="A48" s="542">
        <f t="shared" si="0"/>
        <v>42</v>
      </c>
      <c r="C48" t="s">
        <v>41</v>
      </c>
      <c r="D48" s="71">
        <f>D24*D31*D41</f>
        <v>-6.6183095640271992E-3</v>
      </c>
      <c r="E48" s="13" t="str">
        <f>"Line "&amp;A24&amp;" * Line "&amp;A31&amp;" * Line "&amp;A41&amp;""</f>
        <v>Line 18 * Line 25 * Line 35</v>
      </c>
    </row>
    <row r="49" spans="1:9" x14ac:dyDescent="0.2">
      <c r="A49" s="542">
        <f t="shared" si="0"/>
        <v>43</v>
      </c>
      <c r="C49" t="s">
        <v>42</v>
      </c>
      <c r="D49" s="71">
        <f>D25*D32*D42</f>
        <v>-7.1749688220000014E-6</v>
      </c>
      <c r="E49" s="13" t="str">
        <f>"Line "&amp;A25&amp;" * Line "&amp;A32&amp;" * Line "&amp;A42&amp;""</f>
        <v>Line 19 * Line 26 * Line 36</v>
      </c>
    </row>
    <row r="50" spans="1:9" x14ac:dyDescent="0.2">
      <c r="A50" s="542">
        <f t="shared" si="0"/>
        <v>44</v>
      </c>
      <c r="C50" s="73" t="s">
        <v>312</v>
      </c>
    </row>
    <row r="51" spans="1:9" x14ac:dyDescent="0.2">
      <c r="A51" s="542">
        <f t="shared" si="0"/>
        <v>45</v>
      </c>
      <c r="C51" s="73" t="s">
        <v>311</v>
      </c>
      <c r="D51" s="457">
        <f>SUM(D46:D49)</f>
        <v>7.5938895450750804E-2</v>
      </c>
      <c r="E51" s="13" t="str">
        <f>"Sum of Lines "&amp;A46&amp;" to "&amp;A49&amp;""</f>
        <v>Sum of Lines 40 to 43</v>
      </c>
    </row>
    <row r="52" spans="1:9" x14ac:dyDescent="0.2">
      <c r="A52" s="658">
        <f t="shared" si="0"/>
        <v>46</v>
      </c>
      <c r="E52" s="13"/>
    </row>
    <row r="53" spans="1:9" ht="12.75" customHeight="1" x14ac:dyDescent="0.2">
      <c r="A53" s="658">
        <f t="shared" si="0"/>
        <v>47</v>
      </c>
      <c r="B53" s="1" t="s">
        <v>1910</v>
      </c>
      <c r="E53" s="16"/>
    </row>
    <row r="54" spans="1:9" ht="12.75" customHeight="1" x14ac:dyDescent="0.2">
      <c r="A54" s="658">
        <f t="shared" si="0"/>
        <v>48</v>
      </c>
      <c r="E54" s="121"/>
      <c r="F54" s="3" t="s">
        <v>196</v>
      </c>
    </row>
    <row r="55" spans="1:9" ht="12.75" customHeight="1" x14ac:dyDescent="0.2">
      <c r="A55" s="117">
        <f t="shared" si="0"/>
        <v>49</v>
      </c>
      <c r="B55" s="14"/>
      <c r="C55" s="14" t="str">
        <f>"Total Electric Payroll Tax Expense (From 1-BaseTRR, Line "&amp;'1-BaseTRR'!A52&amp;")"</f>
        <v>Total Electric Payroll Tax Expense (From 1-BaseTRR, Line 30)</v>
      </c>
      <c r="D55" s="14"/>
      <c r="E55" s="14"/>
      <c r="F55" s="7">
        <f>'1-BaseTRR'!K52</f>
        <v>143480346</v>
      </c>
      <c r="G55" s="12"/>
    </row>
    <row r="56" spans="1:9" ht="12.75" customHeight="1" x14ac:dyDescent="0.2">
      <c r="A56" s="117">
        <f t="shared" si="0"/>
        <v>50</v>
      </c>
      <c r="B56" s="14"/>
      <c r="C56" s="550" t="s">
        <v>2206</v>
      </c>
      <c r="D56" s="14"/>
      <c r="E56" s="14"/>
      <c r="F56" s="707">
        <v>0.377</v>
      </c>
      <c r="G56" s="12"/>
    </row>
    <row r="57" spans="1:9" ht="12.75" customHeight="1" x14ac:dyDescent="0.2">
      <c r="A57" s="117">
        <f t="shared" si="0"/>
        <v>51</v>
      </c>
      <c r="B57" s="14"/>
      <c r="C57" s="550" t="str">
        <f>"Capitalized Overhead portion of Electric Payroll Tax Expense (Line "&amp;A55&amp;" * Line "&amp;A56&amp;")"</f>
        <v>Capitalized Overhead portion of Electric Payroll Tax Expense (Line 49 * Line 50)</v>
      </c>
      <c r="D57" s="14"/>
      <c r="E57" s="14"/>
      <c r="F57" s="522">
        <f>F55*F56</f>
        <v>54092090.442000002</v>
      </c>
      <c r="G57" s="550"/>
      <c r="H57" s="14"/>
      <c r="I57" s="550"/>
    </row>
    <row r="58" spans="1:9" x14ac:dyDescent="0.2">
      <c r="A58" s="117">
        <f t="shared" si="0"/>
        <v>52</v>
      </c>
      <c r="B58" s="14"/>
      <c r="C58" s="550" t="str">
        <f>"Non-Capitalized Overhead portion of Electric Payroll Tax Expense (Line "&amp;A55&amp;" - Line "&amp;A57&amp;")"</f>
        <v>Non-Capitalized Overhead portion of Electric Payroll Tax Expense (Line 49 - Line 51)</v>
      </c>
      <c r="D58" s="14"/>
      <c r="E58" s="14"/>
      <c r="F58" s="7">
        <f>F55-F57</f>
        <v>89388255.557999998</v>
      </c>
      <c r="G58" s="12"/>
      <c r="H58" s="14"/>
    </row>
    <row r="60" spans="1:9" x14ac:dyDescent="0.2">
      <c r="B60" s="52" t="s">
        <v>258</v>
      </c>
    </row>
    <row r="61" spans="1:9" x14ac:dyDescent="0.2">
      <c r="B61" s="537" t="s">
        <v>1652</v>
      </c>
    </row>
    <row r="62" spans="1:9" x14ac:dyDescent="0.2">
      <c r="B62" s="537" t="s">
        <v>1649</v>
      </c>
    </row>
    <row r="63" spans="1:9" x14ac:dyDescent="0.2">
      <c r="B63" s="12" t="s">
        <v>1651</v>
      </c>
    </row>
    <row r="64" spans="1:9" x14ac:dyDescent="0.2">
      <c r="B64" s="538" t="s">
        <v>1650</v>
      </c>
    </row>
    <row r="65" spans="2:6" x14ac:dyDescent="0.2">
      <c r="B65" s="538"/>
      <c r="C65" s="550" t="s">
        <v>2093</v>
      </c>
      <c r="D65" s="14"/>
    </row>
    <row r="66" spans="2:6" x14ac:dyDescent="0.2">
      <c r="B66" s="538"/>
      <c r="C66" s="550"/>
      <c r="D66" s="14"/>
    </row>
    <row r="67" spans="2:6" x14ac:dyDescent="0.2">
      <c r="B67" s="538"/>
      <c r="C67" s="1140" t="s">
        <v>2101</v>
      </c>
      <c r="D67" s="1140" t="s">
        <v>2100</v>
      </c>
    </row>
    <row r="68" spans="2:6" x14ac:dyDescent="0.2">
      <c r="B68" s="131"/>
      <c r="C68" s="403" t="s">
        <v>2094</v>
      </c>
      <c r="D68" s="403" t="s">
        <v>2095</v>
      </c>
      <c r="E68" s="45" t="s">
        <v>2096</v>
      </c>
      <c r="F68" s="14"/>
    </row>
    <row r="69" spans="2:6" x14ac:dyDescent="0.2">
      <c r="B69" s="793" t="s">
        <v>1970</v>
      </c>
      <c r="C69" s="701">
        <v>0.35</v>
      </c>
      <c r="D69" s="102">
        <v>365</v>
      </c>
      <c r="E69" s="550" t="s">
        <v>2097</v>
      </c>
      <c r="F69" s="14"/>
    </row>
    <row r="70" spans="2:6" x14ac:dyDescent="0.2">
      <c r="B70" s="793" t="s">
        <v>1971</v>
      </c>
      <c r="C70" s="558"/>
      <c r="D70" s="102"/>
      <c r="E70" s="550" t="s">
        <v>2098</v>
      </c>
      <c r="F70" s="14"/>
    </row>
    <row r="71" spans="2:6" x14ac:dyDescent="0.2">
      <c r="B71" s="793" t="s">
        <v>1972</v>
      </c>
      <c r="C71" s="1126" t="s">
        <v>2099</v>
      </c>
      <c r="D71" s="83">
        <f>((C69*D69)+(C70*D70))/365</f>
        <v>0.35</v>
      </c>
      <c r="E71" s="705" t="s">
        <v>2103</v>
      </c>
      <c r="F71" s="14"/>
    </row>
    <row r="72" spans="2:6" x14ac:dyDescent="0.2">
      <c r="B72" s="1216" t="s">
        <v>2069</v>
      </c>
      <c r="C72" s="14"/>
      <c r="D72" s="102" t="s">
        <v>2072</v>
      </c>
      <c r="E72" s="102"/>
      <c r="F72" s="102"/>
    </row>
    <row r="73" spans="2:6" x14ac:dyDescent="0.2">
      <c r="B73" s="1216" t="s">
        <v>2070</v>
      </c>
      <c r="C73" s="14"/>
      <c r="D73" s="14"/>
      <c r="E73" s="14"/>
      <c r="F73" s="14"/>
    </row>
    <row r="74" spans="2:6" x14ac:dyDescent="0.2">
      <c r="B74" s="810" t="s">
        <v>2068</v>
      </c>
      <c r="C74" s="14"/>
      <c r="D74" s="102" t="s">
        <v>2071</v>
      </c>
      <c r="E74" s="102"/>
      <c r="F74" s="102"/>
    </row>
    <row r="75" spans="2:6" x14ac:dyDescent="0.2">
      <c r="B75" s="810" t="s">
        <v>2062</v>
      </c>
      <c r="C75" s="14"/>
      <c r="D75" s="558" t="s">
        <v>2065</v>
      </c>
      <c r="E75" s="102"/>
      <c r="F75" s="102"/>
    </row>
    <row r="76" spans="2:6" x14ac:dyDescent="0.2">
      <c r="B76" s="810" t="s">
        <v>2063</v>
      </c>
      <c r="C76" s="14"/>
      <c r="D76" s="558" t="s">
        <v>2066</v>
      </c>
      <c r="E76" s="102"/>
      <c r="F76" s="102"/>
    </row>
    <row r="77" spans="2:6" x14ac:dyDescent="0.2">
      <c r="B77" s="810" t="s">
        <v>2064</v>
      </c>
      <c r="C77" s="14"/>
      <c r="D77" s="558" t="s">
        <v>2067</v>
      </c>
      <c r="E77" s="102"/>
      <c r="F77" s="102"/>
    </row>
    <row r="78" spans="2:6" x14ac:dyDescent="0.2">
      <c r="B78" s="550" t="s">
        <v>2207</v>
      </c>
      <c r="C78" s="14"/>
      <c r="D78" s="14"/>
      <c r="E78" s="558" t="s">
        <v>2696</v>
      </c>
    </row>
    <row r="79" spans="2:6" x14ac:dyDescent="0.2">
      <c r="B79" s="547" t="s">
        <v>2208</v>
      </c>
      <c r="C79" s="14"/>
      <c r="D79" s="14"/>
      <c r="E79" s="620" t="s">
        <v>2914</v>
      </c>
    </row>
  </sheetData>
  <phoneticPr fontId="12" type="noConversion"/>
  <pageMargins left="0.75" right="0.75" top="1" bottom="1" header="0.5" footer="0.5"/>
  <pageSetup scale="75" orientation="portrait" cellComments="asDisplayed" r:id="rId1"/>
  <headerFooter alignWithMargins="0">
    <oddHeader>&amp;CSchedule 26
Tax Rates
&amp;RTO8 Annual Update (Revised)
Attachment  1</oddHeader>
    <oddFooter>&amp;R&amp;A</oddFooter>
  </headerFooter>
  <rowBreaks count="1" manualBreakCount="1">
    <brk id="59"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view="pageLayout" zoomScaleNormal="90" workbookViewId="0">
      <selection activeCell="G28" sqref="G28"/>
    </sheetView>
  </sheetViews>
  <sheetFormatPr defaultRowHeight="12.75" x14ac:dyDescent="0.2"/>
  <cols>
    <col min="1" max="2" width="4.7109375" customWidth="1"/>
    <col min="3" max="3" width="40.7109375" customWidth="1"/>
    <col min="4" max="4" width="20.7109375" customWidth="1"/>
    <col min="5" max="5" width="28.7109375" customWidth="1"/>
    <col min="6" max="6" width="2.7109375" customWidth="1"/>
    <col min="7" max="7" width="16.7109375" customWidth="1"/>
  </cols>
  <sheetData>
    <row r="1" spans="1:9" x14ac:dyDescent="0.2">
      <c r="A1" s="1" t="s">
        <v>223</v>
      </c>
      <c r="B1" s="1"/>
    </row>
    <row r="2" spans="1:9" x14ac:dyDescent="0.2">
      <c r="A2" s="1"/>
      <c r="B2" s="1"/>
      <c r="E2" s="102" t="s">
        <v>18</v>
      </c>
    </row>
    <row r="3" spans="1:9" x14ac:dyDescent="0.2">
      <c r="G3" s="106"/>
    </row>
    <row r="4" spans="1:9" x14ac:dyDescent="0.2">
      <c r="A4" s="2"/>
      <c r="B4" s="1" t="s">
        <v>1257</v>
      </c>
      <c r="G4" s="106"/>
    </row>
    <row r="5" spans="1:9" x14ac:dyDescent="0.2">
      <c r="A5" s="2"/>
      <c r="C5" s="1"/>
      <c r="D5" s="2"/>
      <c r="E5" s="2" t="s">
        <v>190</v>
      </c>
      <c r="G5" s="4" t="s">
        <v>75</v>
      </c>
    </row>
    <row r="6" spans="1:9" x14ac:dyDescent="0.2">
      <c r="A6" s="52" t="s">
        <v>362</v>
      </c>
      <c r="C6" s="1"/>
      <c r="D6" s="3" t="s">
        <v>189</v>
      </c>
      <c r="E6" s="3" t="s">
        <v>191</v>
      </c>
      <c r="G6" s="3" t="s">
        <v>192</v>
      </c>
    </row>
    <row r="7" spans="1:9" x14ac:dyDescent="0.2">
      <c r="A7" s="2">
        <v>1</v>
      </c>
      <c r="C7" s="68" t="s">
        <v>365</v>
      </c>
      <c r="D7" s="14"/>
      <c r="E7" s="15" t="str">
        <f>"19-OandM Line "&amp;'19-OandM'!A170&amp;", Col. 7"</f>
        <v>19-OandM Line 137, Col. 7</v>
      </c>
      <c r="G7" s="1285">
        <f>'19-OandM'!H170</f>
        <v>33268828.685735773</v>
      </c>
      <c r="I7" s="12"/>
    </row>
    <row r="8" spans="1:9" x14ac:dyDescent="0.2">
      <c r="A8" s="2">
        <f>A7+1</f>
        <v>2</v>
      </c>
      <c r="C8" s="68" t="s">
        <v>265</v>
      </c>
      <c r="D8" s="14"/>
      <c r="E8" s="15" t="s">
        <v>315</v>
      </c>
      <c r="G8" s="6">
        <v>1105580075</v>
      </c>
    </row>
    <row r="9" spans="1:9" x14ac:dyDescent="0.2">
      <c r="A9" s="2">
        <f t="shared" ref="A9:A62" si="0">A8+1</f>
        <v>3</v>
      </c>
      <c r="C9" s="5" t="s">
        <v>266</v>
      </c>
      <c r="D9" s="14"/>
      <c r="E9" s="15" t="s">
        <v>316</v>
      </c>
      <c r="G9" s="6">
        <v>272353922</v>
      </c>
    </row>
    <row r="10" spans="1:9" x14ac:dyDescent="0.2">
      <c r="A10" s="2">
        <f t="shared" si="0"/>
        <v>4</v>
      </c>
      <c r="C10" s="68" t="s">
        <v>1263</v>
      </c>
      <c r="D10" s="14"/>
      <c r="E10" s="15" t="str">
        <f>"Line "&amp;A8&amp;" - Line "&amp;A9&amp;""</f>
        <v>Line 2 - Line 3</v>
      </c>
      <c r="G10" s="7">
        <f>G8-G9</f>
        <v>833226153</v>
      </c>
    </row>
    <row r="11" spans="1:9" x14ac:dyDescent="0.2">
      <c r="A11" s="2">
        <f t="shared" si="0"/>
        <v>5</v>
      </c>
      <c r="C11" s="1217" t="s">
        <v>2594</v>
      </c>
      <c r="D11" s="14"/>
      <c r="E11" s="15" t="str">
        <f>"20-AandG, Note 2"</f>
        <v>20-AandG, Note 2</v>
      </c>
      <c r="G11" s="64">
        <f>'20-AandG'!E64</f>
        <v>96082577.600000009</v>
      </c>
      <c r="I11" s="12"/>
    </row>
    <row r="12" spans="1:9" x14ac:dyDescent="0.2">
      <c r="A12" s="2">
        <f t="shared" si="0"/>
        <v>6</v>
      </c>
      <c r="C12" s="1155" t="s">
        <v>2590</v>
      </c>
      <c r="D12" s="14"/>
      <c r="E12" s="15" t="str">
        <f>"20-AandG, Note 2"</f>
        <v>20-AandG, Note 2</v>
      </c>
      <c r="G12" s="108">
        <f>'20-AandG'!E61</f>
        <v>34834007.420800306</v>
      </c>
    </row>
    <row r="13" spans="1:9" x14ac:dyDescent="0.2">
      <c r="A13" s="2">
        <f t="shared" si="0"/>
        <v>7</v>
      </c>
      <c r="C13" s="1217" t="s">
        <v>2591</v>
      </c>
      <c r="D13" s="14"/>
      <c r="E13" s="15" t="str">
        <f>"Line "&amp;A11&amp;" - Line "&amp;A12&amp;""</f>
        <v>Line 5 - Line 6</v>
      </c>
      <c r="G13" s="7">
        <f>G11-G12</f>
        <v>61248570.179199703</v>
      </c>
    </row>
    <row r="14" spans="1:9" x14ac:dyDescent="0.2">
      <c r="A14" s="2">
        <f t="shared" si="0"/>
        <v>8</v>
      </c>
      <c r="C14" s="1217" t="s">
        <v>2592</v>
      </c>
      <c r="D14" s="14"/>
      <c r="E14" s="15" t="str">
        <f>"Line "&amp;A10&amp;" + Line "&amp;A13&amp;""</f>
        <v>Line 4 + Line 7</v>
      </c>
      <c r="G14" s="7">
        <f>G10+G13</f>
        <v>894474723.1791997</v>
      </c>
    </row>
    <row r="15" spans="1:9" x14ac:dyDescent="0.2">
      <c r="A15" s="2">
        <f t="shared" si="0"/>
        <v>9</v>
      </c>
      <c r="C15" s="14" t="s">
        <v>221</v>
      </c>
      <c r="D15" s="14"/>
      <c r="E15" s="15" t="str">
        <f>"Line "&amp;A7&amp;" / Line "&amp;A14&amp;""</f>
        <v>Line 1 / Line 8</v>
      </c>
      <c r="G15" s="1398">
        <f>G7/G14</f>
        <v>3.7193704666678068E-2</v>
      </c>
    </row>
    <row r="16" spans="1:9" x14ac:dyDescent="0.2">
      <c r="A16" s="2">
        <f t="shared" si="0"/>
        <v>10</v>
      </c>
      <c r="C16" s="14"/>
      <c r="D16" s="14"/>
      <c r="E16" s="14"/>
    </row>
    <row r="17" spans="1:11" x14ac:dyDescent="0.2">
      <c r="A17" s="2">
        <f t="shared" si="0"/>
        <v>11</v>
      </c>
      <c r="B17" s="1" t="s">
        <v>1258</v>
      </c>
      <c r="C17" s="14"/>
      <c r="D17" s="14"/>
      <c r="E17" s="14"/>
      <c r="G17" s="106"/>
    </row>
    <row r="18" spans="1:11" x14ac:dyDescent="0.2">
      <c r="A18" s="2">
        <f t="shared" si="0"/>
        <v>12</v>
      </c>
      <c r="C18" s="14"/>
      <c r="D18" s="117"/>
      <c r="E18" s="117" t="s">
        <v>190</v>
      </c>
      <c r="G18" s="4" t="s">
        <v>75</v>
      </c>
    </row>
    <row r="19" spans="1:11" x14ac:dyDescent="0.2">
      <c r="A19" s="2">
        <f t="shared" si="0"/>
        <v>13</v>
      </c>
      <c r="C19" s="14"/>
      <c r="D19" s="131" t="s">
        <v>189</v>
      </c>
      <c r="E19" s="131" t="s">
        <v>191</v>
      </c>
      <c r="G19" s="3" t="s">
        <v>192</v>
      </c>
    </row>
    <row r="20" spans="1:11" x14ac:dyDescent="0.2">
      <c r="A20" s="2">
        <f t="shared" si="0"/>
        <v>14</v>
      </c>
      <c r="C20" s="14" t="s">
        <v>366</v>
      </c>
      <c r="D20" s="14"/>
      <c r="E20" s="15" t="str">
        <f>"7-PlantStudy, Line "&amp;'7-PlantStudy'!A28&amp;""</f>
        <v>7-PlantStudy, Line 21</v>
      </c>
      <c r="G20" s="1285">
        <f>'7-PlantStudy'!E28</f>
        <v>4040461240.7103572</v>
      </c>
    </row>
    <row r="21" spans="1:11" x14ac:dyDescent="0.2">
      <c r="A21" s="2">
        <f t="shared" si="0"/>
        <v>15</v>
      </c>
      <c r="C21" s="14" t="s">
        <v>367</v>
      </c>
      <c r="D21" s="14"/>
      <c r="E21" s="15" t="str">
        <f>"7-PlantStudy, Line "&amp;'7-PlantStudy'!A42&amp;""</f>
        <v>7-PlantStudy, Line 30</v>
      </c>
      <c r="G21" s="64">
        <f>'7-PlantStudy'!E42</f>
        <v>6848749.5105547179</v>
      </c>
    </row>
    <row r="22" spans="1:11" x14ac:dyDescent="0.2">
      <c r="A22" s="2">
        <f t="shared" si="0"/>
        <v>16</v>
      </c>
      <c r="C22" s="14" t="s">
        <v>70</v>
      </c>
      <c r="D22" s="14"/>
      <c r="E22" s="15" t="str">
        <f>"6-PlantInService, Line "&amp;'6-PlantInService'!A53&amp;", C2"</f>
        <v>6-PlantInService, Line 21, C2</v>
      </c>
      <c r="G22" s="64">
        <f>'6-PlantInService'!G53</f>
        <v>1688953361</v>
      </c>
      <c r="H22" s="106"/>
    </row>
    <row r="23" spans="1:11" x14ac:dyDescent="0.2">
      <c r="A23" s="2">
        <f t="shared" si="0"/>
        <v>17</v>
      </c>
      <c r="C23" s="14" t="s">
        <v>71</v>
      </c>
      <c r="D23" s="14"/>
      <c r="E23" s="14" t="str">
        <f>"Line "&amp;A22&amp;" * Line "&amp;A15&amp;""</f>
        <v>Line 16 * Line 9</v>
      </c>
      <c r="G23" s="1285">
        <f>G22*G15</f>
        <v>62818432.504827306</v>
      </c>
    </row>
    <row r="24" spans="1:11" x14ac:dyDescent="0.2">
      <c r="A24" s="2">
        <f t="shared" si="0"/>
        <v>18</v>
      </c>
      <c r="C24" s="14" t="s">
        <v>69</v>
      </c>
      <c r="D24" s="14"/>
      <c r="E24" s="15" t="str">
        <f>"6-PlantInService, Line "&amp;'6-PlantInService'!A53&amp;", C1"</f>
        <v>6-PlantInService, Line 21, C1</v>
      </c>
      <c r="G24" s="64">
        <f>'6-PlantInService'!F53</f>
        <v>2405863603</v>
      </c>
    </row>
    <row r="25" spans="1:11" x14ac:dyDescent="0.2">
      <c r="A25" s="2">
        <f t="shared" si="0"/>
        <v>19</v>
      </c>
      <c r="C25" s="14" t="s">
        <v>185</v>
      </c>
      <c r="D25" s="14"/>
      <c r="E25" s="14" t="str">
        <f>"Line "&amp;A24&amp;" * Line "&amp;A15&amp;""</f>
        <v>Line 18 * Line 9</v>
      </c>
      <c r="G25" s="1285">
        <f>G24*G15</f>
        <v>89482980.318292007</v>
      </c>
    </row>
    <row r="26" spans="1:11" x14ac:dyDescent="0.2">
      <c r="A26" s="2">
        <f t="shared" si="0"/>
        <v>20</v>
      </c>
      <c r="C26" s="15" t="s">
        <v>1261</v>
      </c>
      <c r="D26" s="14"/>
      <c r="E26" s="14" t="s">
        <v>36</v>
      </c>
      <c r="G26" s="1285">
        <v>38274808694</v>
      </c>
    </row>
    <row r="27" spans="1:11" x14ac:dyDescent="0.2">
      <c r="A27" s="2">
        <f t="shared" si="0"/>
        <v>21</v>
      </c>
      <c r="C27" s="14"/>
      <c r="D27" s="14"/>
      <c r="E27" s="14"/>
      <c r="G27" s="106"/>
    </row>
    <row r="28" spans="1:11" x14ac:dyDescent="0.2">
      <c r="A28" s="2">
        <f t="shared" si="0"/>
        <v>22</v>
      </c>
      <c r="C28" s="14" t="s">
        <v>68</v>
      </c>
      <c r="D28" s="14"/>
      <c r="E28" s="15" t="str">
        <f>"(L"&amp;A20&amp;" + L"&amp;A21&amp;" + L"&amp;A23&amp;" + L"&amp;A25&amp;") / L"&amp;A26&amp;""</f>
        <v>(L14 + L15 + L17 + L19) / L20</v>
      </c>
      <c r="G28" s="1398">
        <f>(G20+G21+G23+G25)/G26</f>
        <v>0.10972259682913496</v>
      </c>
    </row>
    <row r="29" spans="1:11" x14ac:dyDescent="0.2">
      <c r="A29" s="679">
        <f t="shared" si="0"/>
        <v>23</v>
      </c>
      <c r="C29" s="14"/>
      <c r="D29" s="14"/>
      <c r="E29" s="15"/>
      <c r="G29" s="8"/>
    </row>
    <row r="30" spans="1:11" x14ac:dyDescent="0.2">
      <c r="A30" s="117">
        <f t="shared" si="0"/>
        <v>24</v>
      </c>
      <c r="B30" s="44" t="s">
        <v>2276</v>
      </c>
      <c r="C30" s="14"/>
      <c r="D30" s="14"/>
      <c r="E30" s="14"/>
      <c r="F30" s="14"/>
      <c r="G30" s="14"/>
      <c r="H30" s="14"/>
      <c r="I30" s="14"/>
      <c r="J30" s="14"/>
      <c r="K30" s="14"/>
    </row>
    <row r="31" spans="1:11" x14ac:dyDescent="0.2">
      <c r="A31" s="117">
        <f t="shared" si="0"/>
        <v>25</v>
      </c>
      <c r="B31" s="550"/>
      <c r="C31" s="14"/>
      <c r="D31" s="14"/>
      <c r="E31" s="14"/>
      <c r="F31" s="14"/>
      <c r="G31" s="14"/>
      <c r="H31" s="14"/>
      <c r="I31" s="14"/>
      <c r="J31" s="14"/>
      <c r="K31" s="14"/>
    </row>
    <row r="32" spans="1:11" x14ac:dyDescent="0.2">
      <c r="A32" s="117">
        <f t="shared" si="0"/>
        <v>26</v>
      </c>
      <c r="B32" s="14" t="s">
        <v>2135</v>
      </c>
      <c r="C32" s="14"/>
      <c r="D32" s="131" t="s">
        <v>2139</v>
      </c>
      <c r="E32" s="131" t="s">
        <v>189</v>
      </c>
      <c r="F32" s="14"/>
      <c r="G32" s="653" t="s">
        <v>2140</v>
      </c>
      <c r="H32" s="14"/>
      <c r="I32" s="14"/>
      <c r="J32" s="14"/>
      <c r="K32" s="14"/>
    </row>
    <row r="33" spans="1:11" x14ac:dyDescent="0.2">
      <c r="A33" s="117">
        <f t="shared" si="0"/>
        <v>27</v>
      </c>
      <c r="B33" s="14"/>
      <c r="C33" s="550" t="s">
        <v>2136</v>
      </c>
      <c r="D33" s="105">
        <v>9573</v>
      </c>
      <c r="E33" s="131"/>
      <c r="F33" s="14"/>
      <c r="G33" s="1160" t="s">
        <v>1450</v>
      </c>
      <c r="H33" s="14"/>
      <c r="I33" s="14"/>
      <c r="J33" s="830"/>
      <c r="K33" s="14"/>
    </row>
    <row r="34" spans="1:11" x14ac:dyDescent="0.2">
      <c r="A34" s="117">
        <f t="shared" si="0"/>
        <v>28</v>
      </c>
      <c r="B34" s="14"/>
      <c r="C34" s="14" t="s">
        <v>2137</v>
      </c>
      <c r="D34" s="105">
        <v>7360</v>
      </c>
      <c r="E34" s="131"/>
      <c r="F34" s="14"/>
      <c r="G34" s="1160" t="s">
        <v>1451</v>
      </c>
      <c r="H34" s="14"/>
      <c r="I34" s="14"/>
      <c r="J34" s="14"/>
      <c r="K34" s="14"/>
    </row>
    <row r="35" spans="1:11" x14ac:dyDescent="0.2">
      <c r="A35" s="117">
        <f t="shared" si="0"/>
        <v>29</v>
      </c>
      <c r="B35" s="14"/>
      <c r="C35" s="14" t="s">
        <v>2138</v>
      </c>
      <c r="D35" s="119">
        <f>SUM(D33:D34)</f>
        <v>16933</v>
      </c>
      <c r="E35" s="15" t="str">
        <f>" = L"&amp;A33&amp;" + L"&amp;A34&amp;""</f>
        <v xml:space="preserve"> = L27 + L28</v>
      </c>
      <c r="F35" s="14"/>
      <c r="G35" s="1160" t="s">
        <v>1452</v>
      </c>
      <c r="H35" s="14"/>
      <c r="I35" s="14"/>
      <c r="J35" s="14"/>
      <c r="K35" s="14"/>
    </row>
    <row r="36" spans="1:11" x14ac:dyDescent="0.2">
      <c r="A36" s="117">
        <f t="shared" si="0"/>
        <v>30</v>
      </c>
      <c r="B36" s="14"/>
      <c r="C36" s="550" t="s">
        <v>2145</v>
      </c>
      <c r="D36" s="1219">
        <f>D33/D35</f>
        <v>0.56534577452312051</v>
      </c>
      <c r="E36" s="15" t="str">
        <f>" = L"&amp;A33&amp;" / L"&amp;A35&amp;""</f>
        <v xml:space="preserve"> = L27 / L29</v>
      </c>
      <c r="F36" s="14"/>
      <c r="G36" s="1123"/>
      <c r="H36" s="14"/>
      <c r="I36" s="14"/>
      <c r="J36" s="14"/>
      <c r="K36" s="14"/>
    </row>
    <row r="37" spans="1:11" x14ac:dyDescent="0.2">
      <c r="A37" s="117">
        <f t="shared" si="0"/>
        <v>31</v>
      </c>
      <c r="B37" s="14"/>
      <c r="C37" s="14"/>
      <c r="D37" s="14"/>
      <c r="E37" s="14"/>
      <c r="F37" s="14"/>
      <c r="G37" s="1123"/>
      <c r="H37" s="14"/>
      <c r="I37" s="14"/>
      <c r="J37" s="14"/>
      <c r="K37" s="14"/>
    </row>
    <row r="38" spans="1:11" x14ac:dyDescent="0.2">
      <c r="A38" s="117">
        <f t="shared" si="0"/>
        <v>32</v>
      </c>
      <c r="B38" s="550" t="s">
        <v>2141</v>
      </c>
      <c r="C38" s="14"/>
      <c r="D38" s="131" t="s">
        <v>2139</v>
      </c>
      <c r="E38" s="131" t="s">
        <v>189</v>
      </c>
      <c r="F38" s="14"/>
      <c r="G38" s="653" t="s">
        <v>2140</v>
      </c>
      <c r="H38" s="14"/>
      <c r="I38" s="14"/>
      <c r="J38" s="14"/>
      <c r="K38" s="14"/>
    </row>
    <row r="39" spans="1:11" x14ac:dyDescent="0.2">
      <c r="A39" s="117">
        <f t="shared" si="0"/>
        <v>33</v>
      </c>
      <c r="B39" s="14"/>
      <c r="C39" s="550" t="s">
        <v>2142</v>
      </c>
      <c r="D39" s="105">
        <v>238</v>
      </c>
      <c r="E39" s="131"/>
      <c r="F39" s="14"/>
      <c r="G39" s="1160" t="s">
        <v>1456</v>
      </c>
      <c r="H39" s="14"/>
      <c r="I39" s="14"/>
      <c r="J39" s="14"/>
      <c r="K39" s="14"/>
    </row>
    <row r="40" spans="1:11" x14ac:dyDescent="0.2">
      <c r="A40" s="117">
        <f t="shared" si="0"/>
        <v>34</v>
      </c>
      <c r="B40" s="14"/>
      <c r="C40" s="550" t="s">
        <v>2143</v>
      </c>
      <c r="D40" s="105">
        <v>970</v>
      </c>
      <c r="E40" s="131"/>
      <c r="F40" s="14"/>
      <c r="G40" s="14"/>
      <c r="H40" s="14"/>
      <c r="I40" s="14"/>
      <c r="J40" s="14"/>
      <c r="K40" s="14"/>
    </row>
    <row r="41" spans="1:11" x14ac:dyDescent="0.2">
      <c r="A41" s="117">
        <f t="shared" si="0"/>
        <v>35</v>
      </c>
      <c r="B41" s="14"/>
      <c r="C41" s="550" t="s">
        <v>2144</v>
      </c>
      <c r="D41" s="119">
        <f>SUM(D39:D40)</f>
        <v>1208</v>
      </c>
      <c r="E41" s="15" t="str">
        <f>" = L"&amp;A39&amp;" + L"&amp;A40&amp;""</f>
        <v xml:space="preserve"> = L33 + L34</v>
      </c>
      <c r="F41" s="14"/>
      <c r="G41" s="14"/>
      <c r="H41" s="14"/>
      <c r="I41" s="14"/>
      <c r="J41" s="14"/>
      <c r="K41" s="14"/>
    </row>
    <row r="42" spans="1:11" x14ac:dyDescent="0.2">
      <c r="A42" s="117">
        <f t="shared" si="0"/>
        <v>36</v>
      </c>
      <c r="B42" s="14"/>
      <c r="C42" s="550" t="s">
        <v>2146</v>
      </c>
      <c r="D42" s="1219">
        <f>D39/D41</f>
        <v>0.19701986754966888</v>
      </c>
      <c r="E42" s="15" t="str">
        <f>" = L"&amp;A39&amp;" / L"&amp;A41&amp;""</f>
        <v xml:space="preserve"> = L33 / L35</v>
      </c>
      <c r="F42" s="14"/>
      <c r="G42" s="14"/>
      <c r="H42" s="14"/>
      <c r="I42" s="14"/>
      <c r="J42" s="14"/>
      <c r="K42" s="14"/>
    </row>
    <row r="43" spans="1:11" x14ac:dyDescent="0.2">
      <c r="A43" s="117">
        <f t="shared" si="0"/>
        <v>37</v>
      </c>
      <c r="B43" s="14"/>
      <c r="C43" s="14"/>
      <c r="D43" s="14"/>
      <c r="E43" s="14"/>
      <c r="F43" s="14"/>
      <c r="G43" s="14"/>
      <c r="H43" s="14"/>
      <c r="I43" s="14"/>
      <c r="J43" s="14"/>
      <c r="K43" s="14"/>
    </row>
    <row r="44" spans="1:11" x14ac:dyDescent="0.2">
      <c r="A44" s="117">
        <f t="shared" si="0"/>
        <v>38</v>
      </c>
      <c r="B44" s="550" t="s">
        <v>2147</v>
      </c>
      <c r="C44" s="14"/>
      <c r="D44" s="131" t="s">
        <v>2139</v>
      </c>
      <c r="E44" s="131" t="s">
        <v>189</v>
      </c>
      <c r="F44" s="14"/>
      <c r="G44" s="653" t="s">
        <v>2140</v>
      </c>
      <c r="H44" s="14"/>
      <c r="I44" s="14"/>
      <c r="J44" s="14"/>
      <c r="K44" s="14"/>
    </row>
    <row r="45" spans="1:11" x14ac:dyDescent="0.2">
      <c r="A45" s="117">
        <f t="shared" si="0"/>
        <v>39</v>
      </c>
      <c r="B45" s="14"/>
      <c r="C45" s="550" t="s">
        <v>2148</v>
      </c>
      <c r="D45" s="105">
        <v>650</v>
      </c>
      <c r="E45" s="131"/>
      <c r="F45" s="14"/>
      <c r="G45" s="1160" t="s">
        <v>1457</v>
      </c>
      <c r="H45" s="14"/>
      <c r="I45" s="14"/>
      <c r="J45" s="14"/>
      <c r="K45" s="14"/>
    </row>
    <row r="46" spans="1:11" x14ac:dyDescent="0.2">
      <c r="A46" s="117">
        <f t="shared" si="0"/>
        <v>40</v>
      </c>
      <c r="B46" s="14"/>
      <c r="C46" s="550" t="s">
        <v>2153</v>
      </c>
      <c r="D46" s="105">
        <v>2530</v>
      </c>
      <c r="E46" s="131"/>
      <c r="F46" s="14"/>
      <c r="G46" s="14"/>
      <c r="H46" s="14"/>
      <c r="I46" s="14"/>
      <c r="J46" s="14"/>
      <c r="K46" s="14"/>
    </row>
    <row r="47" spans="1:11" x14ac:dyDescent="0.2">
      <c r="A47" s="117">
        <f t="shared" si="0"/>
        <v>41</v>
      </c>
      <c r="B47" s="14"/>
      <c r="C47" s="550" t="s">
        <v>2149</v>
      </c>
      <c r="D47" s="119">
        <f>SUM(D45:D46)</f>
        <v>3180</v>
      </c>
      <c r="E47" s="15" t="str">
        <f>" = L"&amp;A45&amp;" + L"&amp;A46&amp;""</f>
        <v xml:space="preserve"> = L39 + L40</v>
      </c>
      <c r="F47" s="14"/>
      <c r="G47" s="14"/>
      <c r="H47" s="14"/>
      <c r="I47" s="14"/>
      <c r="J47" s="14"/>
      <c r="K47" s="14"/>
    </row>
    <row r="48" spans="1:11" x14ac:dyDescent="0.2">
      <c r="A48" s="117">
        <f t="shared" si="0"/>
        <v>42</v>
      </c>
      <c r="B48" s="14"/>
      <c r="C48" s="550" t="s">
        <v>2150</v>
      </c>
      <c r="D48" s="1219">
        <f>D45/D47</f>
        <v>0.20440251572327045</v>
      </c>
      <c r="E48" s="15" t="str">
        <f>" = L"&amp;A45&amp;" / L"&amp;A47&amp;""</f>
        <v xml:space="preserve"> = L39 / L41</v>
      </c>
      <c r="F48" s="14"/>
      <c r="G48" s="14"/>
      <c r="H48" s="14"/>
      <c r="I48" s="14"/>
      <c r="J48" s="14"/>
      <c r="K48" s="14"/>
    </row>
    <row r="49" spans="1:11" x14ac:dyDescent="0.2">
      <c r="A49" s="117">
        <f t="shared" si="0"/>
        <v>43</v>
      </c>
      <c r="B49" s="14"/>
      <c r="C49" s="14"/>
      <c r="D49" s="14"/>
      <c r="E49" s="14"/>
      <c r="F49" s="14"/>
      <c r="G49" s="14"/>
      <c r="H49" s="14"/>
      <c r="I49" s="14"/>
      <c r="J49" s="14"/>
      <c r="K49" s="14"/>
    </row>
    <row r="50" spans="1:11" x14ac:dyDescent="0.2">
      <c r="A50" s="117">
        <f t="shared" si="0"/>
        <v>44</v>
      </c>
      <c r="B50" s="550" t="s">
        <v>2156</v>
      </c>
      <c r="C50" s="14"/>
      <c r="D50" s="131" t="s">
        <v>2139</v>
      </c>
      <c r="E50" s="131" t="s">
        <v>189</v>
      </c>
      <c r="F50" s="14"/>
      <c r="G50" s="653" t="s">
        <v>2140</v>
      </c>
      <c r="H50" s="14"/>
      <c r="I50" s="14"/>
      <c r="J50" s="14"/>
      <c r="K50" s="14"/>
    </row>
    <row r="51" spans="1:11" x14ac:dyDescent="0.2">
      <c r="A51" s="117">
        <f t="shared" si="0"/>
        <v>45</v>
      </c>
      <c r="B51" s="14"/>
      <c r="C51" s="550" t="s">
        <v>2151</v>
      </c>
      <c r="D51" s="105">
        <v>5808</v>
      </c>
      <c r="E51" s="131"/>
      <c r="F51" s="14"/>
      <c r="G51" s="1160" t="s">
        <v>1459</v>
      </c>
      <c r="H51" s="14"/>
      <c r="I51" s="14"/>
      <c r="J51" s="14"/>
      <c r="K51" s="14"/>
    </row>
    <row r="52" spans="1:11" x14ac:dyDescent="0.2">
      <c r="A52" s="117">
        <f t="shared" si="0"/>
        <v>46</v>
      </c>
      <c r="B52" s="14"/>
      <c r="C52" s="550" t="s">
        <v>2152</v>
      </c>
      <c r="D52" s="105">
        <v>5998</v>
      </c>
      <c r="E52" s="131"/>
      <c r="F52" s="14"/>
      <c r="G52" s="1160" t="s">
        <v>1483</v>
      </c>
      <c r="H52" s="14"/>
      <c r="I52" s="14"/>
      <c r="J52" s="14"/>
      <c r="K52" s="14"/>
    </row>
    <row r="53" spans="1:11" x14ac:dyDescent="0.2">
      <c r="A53" s="117">
        <f t="shared" si="0"/>
        <v>47</v>
      </c>
      <c r="B53" s="14"/>
      <c r="C53" s="550" t="s">
        <v>2154</v>
      </c>
      <c r="D53" s="119">
        <f>SUM(D51:D52)</f>
        <v>11806</v>
      </c>
      <c r="E53" s="15" t="str">
        <f>" = L"&amp;A51&amp;" + L"&amp;A52&amp;""</f>
        <v xml:space="preserve"> = L45 + L46</v>
      </c>
      <c r="F53" s="14"/>
      <c r="G53" s="1160" t="s">
        <v>1484</v>
      </c>
      <c r="H53" s="14"/>
      <c r="I53" s="14"/>
      <c r="J53" s="14"/>
      <c r="K53" s="14"/>
    </row>
    <row r="54" spans="1:11" x14ac:dyDescent="0.2">
      <c r="A54" s="117">
        <f t="shared" si="0"/>
        <v>48</v>
      </c>
      <c r="B54" s="14"/>
      <c r="C54" s="550" t="s">
        <v>2155</v>
      </c>
      <c r="D54" s="1219">
        <f>D51/D53</f>
        <v>0.49195324411316282</v>
      </c>
      <c r="E54" s="15" t="str">
        <f>" = L"&amp;A51&amp;" / L"&amp;A53&amp;""</f>
        <v xml:space="preserve"> = L45 / L47</v>
      </c>
      <c r="F54" s="14"/>
      <c r="G54" s="1160" t="s">
        <v>1485</v>
      </c>
      <c r="H54" s="14"/>
      <c r="I54" s="14"/>
      <c r="J54" s="14"/>
      <c r="K54" s="14"/>
    </row>
    <row r="55" spans="1:11" x14ac:dyDescent="0.2">
      <c r="A55" s="117">
        <f t="shared" si="0"/>
        <v>49</v>
      </c>
      <c r="B55" s="131"/>
      <c r="C55" s="131"/>
      <c r="D55" s="14"/>
      <c r="E55" s="131"/>
      <c r="F55" s="14"/>
      <c r="G55" s="131"/>
      <c r="H55" s="14"/>
      <c r="I55" s="14"/>
      <c r="J55" s="14"/>
      <c r="K55" s="14"/>
    </row>
    <row r="56" spans="1:11" x14ac:dyDescent="0.2">
      <c r="A56" s="117">
        <f t="shared" si="0"/>
        <v>50</v>
      </c>
      <c r="B56" s="550" t="s">
        <v>2157</v>
      </c>
      <c r="C56" s="14"/>
      <c r="D56" s="131" t="s">
        <v>2139</v>
      </c>
      <c r="E56" s="131" t="s">
        <v>189</v>
      </c>
      <c r="F56" s="14"/>
      <c r="G56" s="653" t="s">
        <v>2140</v>
      </c>
      <c r="H56" s="14"/>
      <c r="I56" s="14"/>
      <c r="J56" s="14"/>
      <c r="K56" s="14"/>
    </row>
    <row r="57" spans="1:11" x14ac:dyDescent="0.2">
      <c r="A57" s="117">
        <f t="shared" si="0"/>
        <v>51</v>
      </c>
      <c r="B57" s="1122"/>
      <c r="C57" s="550" t="s">
        <v>2158</v>
      </c>
      <c r="D57" s="105">
        <v>6</v>
      </c>
      <c r="E57" s="131"/>
      <c r="F57" s="14"/>
      <c r="G57" s="1160" t="s">
        <v>1460</v>
      </c>
      <c r="H57" s="14"/>
      <c r="I57" s="14"/>
      <c r="J57" s="14"/>
      <c r="K57" s="14"/>
    </row>
    <row r="58" spans="1:11" x14ac:dyDescent="0.2">
      <c r="A58" s="117">
        <f t="shared" si="0"/>
        <v>52</v>
      </c>
      <c r="B58" s="1122"/>
      <c r="C58" s="550" t="s">
        <v>2159</v>
      </c>
      <c r="D58" s="105">
        <v>344</v>
      </c>
      <c r="E58" s="131"/>
      <c r="F58" s="14"/>
      <c r="G58" s="1160" t="s">
        <v>1487</v>
      </c>
      <c r="H58" s="14"/>
      <c r="I58" s="14"/>
      <c r="J58" s="14"/>
      <c r="K58" s="14"/>
    </row>
    <row r="59" spans="1:11" x14ac:dyDescent="0.2">
      <c r="A59" s="117">
        <f t="shared" si="0"/>
        <v>53</v>
      </c>
      <c r="B59" s="1122"/>
      <c r="C59" s="550" t="s">
        <v>2160</v>
      </c>
      <c r="D59" s="119">
        <f>SUM(D57:D58)</f>
        <v>350</v>
      </c>
      <c r="E59" s="15" t="str">
        <f>" = L"&amp;A57&amp;" + L"&amp;A58&amp;""</f>
        <v xml:space="preserve"> = L51 + L52</v>
      </c>
      <c r="F59" s="14"/>
      <c r="G59" s="14"/>
      <c r="H59" s="14"/>
      <c r="I59" s="14"/>
      <c r="J59" s="14"/>
      <c r="K59" s="14"/>
    </row>
    <row r="60" spans="1:11" x14ac:dyDescent="0.2">
      <c r="A60" s="117">
        <f t="shared" si="0"/>
        <v>54</v>
      </c>
      <c r="B60" s="1122"/>
      <c r="C60" s="550" t="s">
        <v>2161</v>
      </c>
      <c r="D60" s="1219">
        <f>D57/D59</f>
        <v>1.7142857142857144E-2</v>
      </c>
      <c r="E60" s="15" t="str">
        <f>" = L"&amp;A57&amp;" / L"&amp;A59&amp;""</f>
        <v xml:space="preserve"> = L51 / L53</v>
      </c>
      <c r="F60" s="14"/>
      <c r="G60" s="14"/>
      <c r="H60" s="14"/>
      <c r="I60" s="14"/>
      <c r="J60" s="14"/>
      <c r="K60" s="14"/>
    </row>
    <row r="61" spans="1:11" x14ac:dyDescent="0.2">
      <c r="A61" s="117">
        <f t="shared" si="0"/>
        <v>55</v>
      </c>
      <c r="B61" s="1122"/>
      <c r="C61" s="120"/>
      <c r="D61" s="14"/>
      <c r="E61" s="131"/>
      <c r="F61" s="14"/>
      <c r="G61" s="64"/>
      <c r="H61" s="14"/>
      <c r="I61" s="14"/>
      <c r="J61" s="14"/>
      <c r="K61" s="14"/>
    </row>
    <row r="62" spans="1:11" x14ac:dyDescent="0.2">
      <c r="A62" s="117">
        <f t="shared" si="0"/>
        <v>56</v>
      </c>
      <c r="B62" s="550" t="s">
        <v>2324</v>
      </c>
      <c r="C62" s="14"/>
      <c r="D62" s="131" t="s">
        <v>2139</v>
      </c>
      <c r="E62" s="131" t="s">
        <v>189</v>
      </c>
      <c r="F62" s="14"/>
      <c r="G62" s="653" t="s">
        <v>2140</v>
      </c>
      <c r="H62" s="14"/>
      <c r="I62" s="14"/>
      <c r="J62" s="14"/>
      <c r="K62" s="14"/>
    </row>
    <row r="63" spans="1:11" x14ac:dyDescent="0.2">
      <c r="A63" s="117">
        <f t="shared" ref="A63:A124" si="1">A62+1</f>
        <v>57</v>
      </c>
      <c r="B63" s="1122"/>
      <c r="C63" s="550" t="s">
        <v>2162</v>
      </c>
      <c r="D63" s="105">
        <v>5401032</v>
      </c>
      <c r="E63" s="131"/>
      <c r="F63" s="14"/>
      <c r="G63" s="1160" t="s">
        <v>1470</v>
      </c>
      <c r="H63" s="14"/>
      <c r="I63" s="14"/>
      <c r="J63" s="14"/>
      <c r="K63" s="14"/>
    </row>
    <row r="64" spans="1:11" x14ac:dyDescent="0.2">
      <c r="A64" s="117">
        <f t="shared" si="1"/>
        <v>58</v>
      </c>
      <c r="B64" s="1122"/>
      <c r="C64" s="550" t="s">
        <v>2163</v>
      </c>
      <c r="D64" s="105">
        <v>2565686</v>
      </c>
      <c r="E64" s="131"/>
      <c r="F64" s="14"/>
      <c r="G64" s="1160"/>
      <c r="H64" s="14"/>
      <c r="I64" s="14"/>
      <c r="J64" s="14"/>
      <c r="K64" s="14"/>
    </row>
    <row r="65" spans="1:11" x14ac:dyDescent="0.2">
      <c r="A65" s="117">
        <f t="shared" si="1"/>
        <v>59</v>
      </c>
      <c r="B65" s="1122"/>
      <c r="C65" s="550" t="s">
        <v>2164</v>
      </c>
      <c r="D65" s="119">
        <f>SUM(D63:D64)</f>
        <v>7966718</v>
      </c>
      <c r="E65" s="15" t="str">
        <f>" = L"&amp;A63&amp;" + L"&amp;A64&amp;""</f>
        <v xml:space="preserve"> = L57 + L58</v>
      </c>
      <c r="F65" s="14"/>
      <c r="G65" s="14"/>
      <c r="H65" s="14"/>
      <c r="I65" s="14"/>
      <c r="J65" s="14"/>
      <c r="K65" s="14"/>
    </row>
    <row r="66" spans="1:11" x14ac:dyDescent="0.2">
      <c r="A66" s="117">
        <f t="shared" si="1"/>
        <v>60</v>
      </c>
      <c r="B66" s="1122"/>
      <c r="C66" s="550" t="s">
        <v>2165</v>
      </c>
      <c r="D66" s="1219">
        <f>D63/D65</f>
        <v>0.67794943915424144</v>
      </c>
      <c r="E66" s="15" t="str">
        <f>" = L"&amp;A63&amp;" / L"&amp;A65&amp;""</f>
        <v xml:space="preserve"> = L57 / L59</v>
      </c>
      <c r="F66" s="14"/>
      <c r="G66" s="14"/>
      <c r="H66" s="14"/>
      <c r="I66" s="14"/>
      <c r="J66" s="14"/>
      <c r="K66" s="14"/>
    </row>
    <row r="67" spans="1:11" x14ac:dyDescent="0.2">
      <c r="A67" s="117">
        <f t="shared" si="1"/>
        <v>61</v>
      </c>
      <c r="B67" s="1218"/>
      <c r="C67" s="131"/>
      <c r="D67" s="14"/>
      <c r="E67" s="1219"/>
      <c r="F67" s="14"/>
      <c r="G67" s="14"/>
      <c r="H67" s="14"/>
      <c r="I67" s="14"/>
      <c r="J67" s="14"/>
      <c r="K67" s="14"/>
    </row>
    <row r="68" spans="1:11" x14ac:dyDescent="0.2">
      <c r="A68" s="117">
        <f t="shared" si="1"/>
        <v>62</v>
      </c>
      <c r="B68" s="550" t="s">
        <v>2325</v>
      </c>
      <c r="C68" s="14"/>
      <c r="D68" s="131" t="s">
        <v>2139</v>
      </c>
      <c r="E68" s="131" t="s">
        <v>189</v>
      </c>
      <c r="F68" s="14"/>
      <c r="G68" s="653" t="s">
        <v>2140</v>
      </c>
      <c r="H68" s="14"/>
      <c r="I68" s="14"/>
      <c r="J68" s="14"/>
      <c r="K68" s="14"/>
    </row>
    <row r="69" spans="1:11" x14ac:dyDescent="0.2">
      <c r="A69" s="117">
        <f t="shared" si="1"/>
        <v>63</v>
      </c>
      <c r="B69" s="1122"/>
      <c r="C69" s="550" t="s">
        <v>2166</v>
      </c>
      <c r="D69" s="105">
        <v>377.3</v>
      </c>
      <c r="E69" s="131"/>
      <c r="F69" s="14"/>
      <c r="G69" s="1160" t="s">
        <v>1471</v>
      </c>
      <c r="H69" s="14"/>
      <c r="I69" s="14"/>
      <c r="J69" s="14"/>
      <c r="K69" s="14"/>
    </row>
    <row r="70" spans="1:11" x14ac:dyDescent="0.2">
      <c r="A70" s="117">
        <f t="shared" si="1"/>
        <v>64</v>
      </c>
      <c r="B70" s="1122"/>
      <c r="C70" s="550" t="s">
        <v>2167</v>
      </c>
      <c r="D70" s="105">
        <v>38.300000000000011</v>
      </c>
      <c r="E70" s="131"/>
      <c r="F70" s="14"/>
      <c r="G70" s="1160"/>
      <c r="H70" s="14"/>
      <c r="I70" s="14"/>
      <c r="J70" s="14"/>
      <c r="K70" s="14"/>
    </row>
    <row r="71" spans="1:11" x14ac:dyDescent="0.2">
      <c r="A71" s="117">
        <f t="shared" si="1"/>
        <v>65</v>
      </c>
      <c r="B71" s="1122"/>
      <c r="C71" s="550" t="s">
        <v>2168</v>
      </c>
      <c r="D71" s="119">
        <f>SUM(D69:D70)</f>
        <v>415.6</v>
      </c>
      <c r="E71" s="15" t="str">
        <f>" = L"&amp;A69&amp;" + L"&amp;A70&amp;""</f>
        <v xml:space="preserve"> = L63 + L64</v>
      </c>
      <c r="F71" s="14"/>
      <c r="G71" s="14"/>
      <c r="H71" s="14"/>
      <c r="I71" s="14"/>
      <c r="J71" s="14"/>
      <c r="K71" s="14"/>
    </row>
    <row r="72" spans="1:11" x14ac:dyDescent="0.2">
      <c r="A72" s="117">
        <f t="shared" si="1"/>
        <v>66</v>
      </c>
      <c r="B72" s="1122"/>
      <c r="C72" s="550" t="s">
        <v>2169</v>
      </c>
      <c r="D72" s="1219">
        <f>D69/D71</f>
        <v>0.90784408084696822</v>
      </c>
      <c r="E72" s="15" t="str">
        <f>" = L"&amp;A69&amp;" / L"&amp;A71&amp;""</f>
        <v xml:space="preserve"> = L63 / L65</v>
      </c>
      <c r="F72" s="14"/>
      <c r="G72" s="14"/>
      <c r="H72" s="14"/>
      <c r="I72" s="14"/>
      <c r="J72" s="14"/>
      <c r="K72" s="14"/>
    </row>
    <row r="73" spans="1:11" x14ac:dyDescent="0.2">
      <c r="A73" s="117">
        <f t="shared" si="1"/>
        <v>67</v>
      </c>
      <c r="B73" s="44"/>
      <c r="C73" s="14"/>
      <c r="D73" s="14"/>
      <c r="E73" s="14"/>
      <c r="F73" s="14"/>
      <c r="G73" s="14"/>
      <c r="H73" s="14"/>
      <c r="I73" s="14"/>
      <c r="J73" s="14"/>
      <c r="K73" s="14"/>
    </row>
    <row r="74" spans="1:11" x14ac:dyDescent="0.2">
      <c r="A74" s="117">
        <f t="shared" si="1"/>
        <v>68</v>
      </c>
      <c r="B74" s="550" t="s">
        <v>2326</v>
      </c>
      <c r="C74" s="14"/>
      <c r="D74" s="131" t="s">
        <v>2139</v>
      </c>
      <c r="E74" s="131" t="s">
        <v>189</v>
      </c>
      <c r="F74" s="14"/>
      <c r="G74" s="653" t="s">
        <v>2140</v>
      </c>
      <c r="H74" s="14"/>
      <c r="I74" s="14"/>
      <c r="J74" s="14"/>
      <c r="K74" s="14"/>
    </row>
    <row r="75" spans="1:11" x14ac:dyDescent="0.2">
      <c r="A75" s="117">
        <f t="shared" si="1"/>
        <v>69</v>
      </c>
      <c r="B75" s="1122"/>
      <c r="C75" s="550" t="s">
        <v>2170</v>
      </c>
      <c r="D75" s="105">
        <v>106</v>
      </c>
      <c r="E75" s="131"/>
      <c r="F75" s="14"/>
      <c r="G75" s="1160" t="s">
        <v>1478</v>
      </c>
      <c r="H75" s="14"/>
      <c r="I75" s="14"/>
      <c r="J75" s="14"/>
      <c r="K75" s="14"/>
    </row>
    <row r="76" spans="1:11" x14ac:dyDescent="0.2">
      <c r="A76" s="117">
        <f t="shared" si="1"/>
        <v>70</v>
      </c>
      <c r="B76" s="1122"/>
      <c r="C76" s="550" t="s">
        <v>2171</v>
      </c>
      <c r="D76" s="105">
        <v>365</v>
      </c>
      <c r="E76" s="131"/>
      <c r="F76" s="14"/>
      <c r="G76" s="1160"/>
      <c r="H76" s="14"/>
      <c r="I76" s="14"/>
      <c r="J76" s="14"/>
      <c r="K76" s="14"/>
    </row>
    <row r="77" spans="1:11" x14ac:dyDescent="0.2">
      <c r="A77" s="117">
        <f t="shared" si="1"/>
        <v>71</v>
      </c>
      <c r="B77" s="1122"/>
      <c r="C77" s="550" t="s">
        <v>2172</v>
      </c>
      <c r="D77" s="119">
        <f>SUM(D75:D76)</f>
        <v>471</v>
      </c>
      <c r="E77" s="15" t="str">
        <f>" = L"&amp;A75&amp;" + L"&amp;A76&amp;""</f>
        <v xml:space="preserve"> = L69 + L70</v>
      </c>
      <c r="F77" s="14"/>
      <c r="G77" s="14"/>
      <c r="H77" s="14"/>
      <c r="I77" s="14"/>
      <c r="J77" s="14"/>
      <c r="K77" s="14"/>
    </row>
    <row r="78" spans="1:11" x14ac:dyDescent="0.2">
      <c r="A78" s="117">
        <f t="shared" si="1"/>
        <v>72</v>
      </c>
      <c r="B78" s="1122"/>
      <c r="C78" s="550" t="s">
        <v>2173</v>
      </c>
      <c r="D78" s="1219">
        <f>D75/D77</f>
        <v>0.22505307855626328</v>
      </c>
      <c r="E78" s="15" t="str">
        <f>" = L"&amp;A75&amp;" / L"&amp;A77&amp;""</f>
        <v xml:space="preserve"> = L69 / L71</v>
      </c>
      <c r="F78" s="14"/>
      <c r="G78" s="14"/>
      <c r="H78" s="14"/>
      <c r="I78" s="14"/>
      <c r="J78" s="14"/>
      <c r="K78" s="14"/>
    </row>
    <row r="79" spans="1:11" x14ac:dyDescent="0.2">
      <c r="A79" s="117">
        <f t="shared" si="1"/>
        <v>73</v>
      </c>
      <c r="B79" s="14"/>
      <c r="C79" s="14"/>
      <c r="D79" s="14"/>
      <c r="E79" s="14"/>
      <c r="F79" s="14"/>
      <c r="G79" s="14"/>
      <c r="H79" s="14"/>
      <c r="I79" s="14"/>
      <c r="J79" s="14"/>
      <c r="K79" s="14"/>
    </row>
    <row r="80" spans="1:11" x14ac:dyDescent="0.2">
      <c r="A80" s="117">
        <f t="shared" si="1"/>
        <v>74</v>
      </c>
      <c r="B80" s="550" t="s">
        <v>2327</v>
      </c>
      <c r="C80" s="14"/>
      <c r="D80" s="131" t="s">
        <v>2139</v>
      </c>
      <c r="E80" s="131" t="s">
        <v>189</v>
      </c>
      <c r="F80" s="14"/>
      <c r="G80" s="653" t="s">
        <v>2140</v>
      </c>
      <c r="H80" s="14"/>
      <c r="I80" s="14"/>
      <c r="J80" s="14"/>
      <c r="K80" s="14"/>
    </row>
    <row r="81" spans="1:11" x14ac:dyDescent="0.2">
      <c r="A81" s="117">
        <f t="shared" si="1"/>
        <v>75</v>
      </c>
      <c r="B81" s="1122"/>
      <c r="C81" s="550" t="s">
        <v>2174</v>
      </c>
      <c r="D81" s="105">
        <v>861</v>
      </c>
      <c r="E81" s="131"/>
      <c r="F81" s="14"/>
      <c r="G81" s="1160" t="s">
        <v>1479</v>
      </c>
      <c r="H81" s="14"/>
      <c r="I81" s="14"/>
      <c r="J81" s="14"/>
      <c r="K81" s="14"/>
    </row>
    <row r="82" spans="1:11" x14ac:dyDescent="0.2">
      <c r="A82" s="117">
        <f t="shared" si="1"/>
        <v>76</v>
      </c>
      <c r="B82" s="1122"/>
      <c r="C82" s="550" t="s">
        <v>2175</v>
      </c>
      <c r="D82" s="105">
        <v>1973</v>
      </c>
      <c r="E82" s="131"/>
      <c r="F82" s="14"/>
      <c r="G82" s="1160"/>
      <c r="H82" s="14"/>
      <c r="I82" s="14"/>
      <c r="J82" s="14"/>
      <c r="K82" s="14"/>
    </row>
    <row r="83" spans="1:11" x14ac:dyDescent="0.2">
      <c r="A83" s="117">
        <f t="shared" si="1"/>
        <v>77</v>
      </c>
      <c r="B83" s="1122"/>
      <c r="C83" s="550" t="s">
        <v>2176</v>
      </c>
      <c r="D83" s="119">
        <f>SUM(D81:D82)</f>
        <v>2834</v>
      </c>
      <c r="E83" s="15" t="str">
        <f>" = L"&amp;A81&amp;" + L"&amp;A82&amp;""</f>
        <v xml:space="preserve"> = L75 + L76</v>
      </c>
      <c r="F83" s="14"/>
      <c r="G83" s="14"/>
      <c r="H83" s="14"/>
      <c r="I83" s="14"/>
      <c r="J83" s="14"/>
      <c r="K83" s="14"/>
    </row>
    <row r="84" spans="1:11" x14ac:dyDescent="0.2">
      <c r="A84" s="117">
        <f t="shared" si="1"/>
        <v>78</v>
      </c>
      <c r="B84" s="1122"/>
      <c r="C84" s="550" t="s">
        <v>2177</v>
      </c>
      <c r="D84" s="1219">
        <f>D81/D83</f>
        <v>0.30381086803105151</v>
      </c>
      <c r="E84" s="15" t="str">
        <f>" = L"&amp;A81&amp;" / L"&amp;A83&amp;""</f>
        <v xml:space="preserve"> = L75 / L77</v>
      </c>
      <c r="F84" s="14"/>
      <c r="G84" s="14"/>
      <c r="H84" s="14"/>
      <c r="I84" s="14"/>
      <c r="J84" s="14"/>
      <c r="K84" s="14"/>
    </row>
    <row r="85" spans="1:11" x14ac:dyDescent="0.2">
      <c r="A85" s="117">
        <f t="shared" si="1"/>
        <v>79</v>
      </c>
      <c r="B85" s="14"/>
      <c r="C85" s="84"/>
      <c r="D85" s="14"/>
      <c r="E85" s="14"/>
      <c r="F85" s="14"/>
      <c r="G85" s="14"/>
      <c r="H85" s="14"/>
      <c r="I85" s="14"/>
      <c r="J85" s="14"/>
      <c r="K85" s="14"/>
    </row>
    <row r="86" spans="1:11" x14ac:dyDescent="0.2">
      <c r="A86" s="117">
        <f t="shared" si="1"/>
        <v>80</v>
      </c>
      <c r="B86" s="550" t="s">
        <v>2328</v>
      </c>
      <c r="C86" s="14"/>
      <c r="D86" s="131" t="s">
        <v>2139</v>
      </c>
      <c r="E86" s="131" t="s">
        <v>189</v>
      </c>
      <c r="F86" s="14"/>
      <c r="G86" s="653" t="s">
        <v>2140</v>
      </c>
      <c r="H86" s="14"/>
      <c r="I86" s="14"/>
      <c r="J86" s="14"/>
      <c r="K86" s="14"/>
    </row>
    <row r="87" spans="1:11" x14ac:dyDescent="0.2">
      <c r="A87" s="117">
        <f t="shared" si="1"/>
        <v>81</v>
      </c>
      <c r="B87" s="1122"/>
      <c r="C87" s="550" t="s">
        <v>2178</v>
      </c>
      <c r="D87" s="105">
        <v>76</v>
      </c>
      <c r="E87" s="131"/>
      <c r="F87" s="14"/>
      <c r="G87" s="1160" t="s">
        <v>1480</v>
      </c>
      <c r="H87" s="14"/>
      <c r="I87" s="14"/>
      <c r="J87" s="14"/>
      <c r="K87" s="14"/>
    </row>
    <row r="88" spans="1:11" x14ac:dyDescent="0.2">
      <c r="A88" s="117">
        <f t="shared" si="1"/>
        <v>82</v>
      </c>
      <c r="B88" s="1122"/>
      <c r="C88" s="550" t="s">
        <v>2179</v>
      </c>
      <c r="D88" s="105">
        <v>20</v>
      </c>
      <c r="E88" s="131"/>
      <c r="F88" s="14"/>
      <c r="G88" s="1160"/>
      <c r="H88" s="14"/>
      <c r="I88" s="14"/>
      <c r="J88" s="14"/>
      <c r="K88" s="14"/>
    </row>
    <row r="89" spans="1:11" x14ac:dyDescent="0.2">
      <c r="A89" s="117">
        <f t="shared" si="1"/>
        <v>83</v>
      </c>
      <c r="B89" s="1122"/>
      <c r="C89" s="550" t="s">
        <v>2180</v>
      </c>
      <c r="D89" s="119">
        <f>SUM(D87:D88)</f>
        <v>96</v>
      </c>
      <c r="E89" s="15" t="str">
        <f>" = L"&amp;A87&amp;" + L"&amp;A88&amp;""</f>
        <v xml:space="preserve"> = L81 + L82</v>
      </c>
      <c r="F89" s="14"/>
      <c r="G89" s="14"/>
      <c r="H89" s="14"/>
      <c r="I89" s="14"/>
      <c r="J89" s="14"/>
      <c r="K89" s="14"/>
    </row>
    <row r="90" spans="1:11" x14ac:dyDescent="0.2">
      <c r="A90" s="117">
        <f t="shared" si="1"/>
        <v>84</v>
      </c>
      <c r="B90" s="1122"/>
      <c r="C90" s="550" t="s">
        <v>2181</v>
      </c>
      <c r="D90" s="1219">
        <f>D87/D89</f>
        <v>0.79166666666666663</v>
      </c>
      <c r="E90" s="15" t="str">
        <f>" = L"&amp;A87&amp;" / L"&amp;A89&amp;""</f>
        <v xml:space="preserve"> = L81 / L83</v>
      </c>
      <c r="F90" s="14"/>
      <c r="G90" s="14"/>
      <c r="H90" s="14"/>
      <c r="I90" s="14"/>
      <c r="J90" s="14"/>
      <c r="K90" s="14"/>
    </row>
    <row r="91" spans="1:11" x14ac:dyDescent="0.2">
      <c r="A91" s="117">
        <f t="shared" si="1"/>
        <v>85</v>
      </c>
      <c r="B91" s="14"/>
      <c r="C91" s="14"/>
      <c r="D91" s="14"/>
      <c r="E91" s="14"/>
      <c r="F91" s="14"/>
      <c r="G91" s="14"/>
      <c r="H91" s="14"/>
      <c r="I91" s="14"/>
      <c r="J91" s="14"/>
      <c r="K91" s="14"/>
    </row>
    <row r="92" spans="1:11" x14ac:dyDescent="0.2">
      <c r="A92" s="117">
        <f t="shared" si="1"/>
        <v>86</v>
      </c>
      <c r="B92" s="550" t="s">
        <v>2329</v>
      </c>
      <c r="C92" s="14"/>
      <c r="D92" s="131" t="s">
        <v>2139</v>
      </c>
      <c r="E92" s="131" t="s">
        <v>189</v>
      </c>
      <c r="F92" s="14"/>
      <c r="G92" s="653" t="s">
        <v>2140</v>
      </c>
      <c r="H92" s="14"/>
      <c r="I92" s="14"/>
      <c r="J92" s="14"/>
      <c r="K92" s="14"/>
    </row>
    <row r="93" spans="1:11" x14ac:dyDescent="0.2">
      <c r="A93" s="117">
        <f t="shared" si="1"/>
        <v>87</v>
      </c>
      <c r="B93" s="1122"/>
      <c r="C93" s="550" t="s">
        <v>2182</v>
      </c>
      <c r="D93" s="105">
        <v>1395283.22</v>
      </c>
      <c r="E93" s="131"/>
      <c r="F93" s="14"/>
      <c r="G93" s="14" t="s">
        <v>1884</v>
      </c>
      <c r="H93" s="14"/>
      <c r="I93" s="14"/>
      <c r="J93" s="14"/>
      <c r="K93" s="14"/>
    </row>
    <row r="94" spans="1:11" x14ac:dyDescent="0.2">
      <c r="A94" s="117">
        <f t="shared" si="1"/>
        <v>88</v>
      </c>
      <c r="B94" s="1122"/>
      <c r="C94" s="550" t="s">
        <v>2183</v>
      </c>
      <c r="D94" s="105">
        <v>3027609.91</v>
      </c>
      <c r="E94" s="131"/>
      <c r="F94" s="14"/>
      <c r="G94" s="1160"/>
      <c r="H94" s="14"/>
      <c r="I94" s="14"/>
      <c r="J94" s="14"/>
      <c r="K94" s="14"/>
    </row>
    <row r="95" spans="1:11" x14ac:dyDescent="0.2">
      <c r="A95" s="117">
        <f t="shared" si="1"/>
        <v>89</v>
      </c>
      <c r="B95" s="1122"/>
      <c r="C95" s="550" t="s">
        <v>2184</v>
      </c>
      <c r="D95" s="119">
        <f>SUM(D93:D94)</f>
        <v>4422893.13</v>
      </c>
      <c r="E95" s="15" t="str">
        <f>" = L"&amp;A93&amp;" + L"&amp;A94&amp;""</f>
        <v xml:space="preserve"> = L87 + L88</v>
      </c>
      <c r="F95" s="14"/>
      <c r="G95" s="14"/>
      <c r="H95" s="14"/>
      <c r="I95" s="14"/>
      <c r="J95" s="14"/>
      <c r="K95" s="14"/>
    </row>
    <row r="96" spans="1:11" x14ac:dyDescent="0.2">
      <c r="A96" s="117">
        <f t="shared" si="1"/>
        <v>90</v>
      </c>
      <c r="B96" s="1122"/>
      <c r="C96" s="550" t="s">
        <v>2185</v>
      </c>
      <c r="D96" s="1219">
        <f>D93/D95</f>
        <v>0.315468445424545</v>
      </c>
      <c r="E96" s="15" t="str">
        <f>" = L"&amp;A93&amp;" / L"&amp;A95&amp;""</f>
        <v xml:space="preserve"> = L87 / L89</v>
      </c>
      <c r="F96" s="14"/>
      <c r="G96" s="14"/>
      <c r="H96" s="14"/>
      <c r="I96" s="14"/>
      <c r="J96" s="14"/>
      <c r="K96" s="14"/>
    </row>
    <row r="97" spans="1:11" x14ac:dyDescent="0.2">
      <c r="A97" s="117">
        <f t="shared" si="1"/>
        <v>91</v>
      </c>
      <c r="B97" s="14"/>
      <c r="C97" s="14"/>
      <c r="D97" s="14"/>
      <c r="E97" s="14"/>
      <c r="F97" s="14"/>
      <c r="G97" s="14"/>
      <c r="H97" s="14"/>
      <c r="I97" s="14"/>
      <c r="J97" s="14"/>
      <c r="K97" s="14"/>
    </row>
    <row r="98" spans="1:11" x14ac:dyDescent="0.2">
      <c r="A98" s="117">
        <f t="shared" si="1"/>
        <v>92</v>
      </c>
      <c r="B98" s="550" t="s">
        <v>2330</v>
      </c>
      <c r="C98" s="14"/>
      <c r="D98" s="131" t="s">
        <v>2139</v>
      </c>
      <c r="E98" s="131" t="s">
        <v>189</v>
      </c>
      <c r="F98" s="14"/>
      <c r="G98" s="653" t="s">
        <v>2140</v>
      </c>
      <c r="H98" s="14"/>
      <c r="I98" s="14"/>
      <c r="J98" s="14"/>
      <c r="K98" s="14"/>
    </row>
    <row r="99" spans="1:11" x14ac:dyDescent="0.2">
      <c r="A99" s="117">
        <f t="shared" si="1"/>
        <v>93</v>
      </c>
      <c r="B99" s="1122"/>
      <c r="C99" s="550" t="s">
        <v>2186</v>
      </c>
      <c r="D99" s="105">
        <v>1394548</v>
      </c>
      <c r="E99" s="131"/>
      <c r="F99" s="14"/>
      <c r="G99" s="1160" t="s">
        <v>1683</v>
      </c>
      <c r="H99" s="14"/>
      <c r="I99" s="14"/>
      <c r="J99" s="14"/>
      <c r="K99" s="14"/>
    </row>
    <row r="100" spans="1:11" x14ac:dyDescent="0.2">
      <c r="A100" s="117">
        <f t="shared" si="1"/>
        <v>94</v>
      </c>
      <c r="B100" s="1122"/>
      <c r="C100" s="550" t="s">
        <v>2187</v>
      </c>
      <c r="D100" s="105">
        <v>5102054.08</v>
      </c>
      <c r="E100" s="131"/>
      <c r="F100" s="14"/>
      <c r="G100" s="1160"/>
      <c r="H100" s="14"/>
      <c r="I100" s="14"/>
      <c r="J100" s="14"/>
      <c r="K100" s="14"/>
    </row>
    <row r="101" spans="1:11" x14ac:dyDescent="0.2">
      <c r="A101" s="117">
        <f t="shared" si="1"/>
        <v>95</v>
      </c>
      <c r="B101" s="1122"/>
      <c r="C101" s="550" t="s">
        <v>2188</v>
      </c>
      <c r="D101" s="119">
        <f>SUM(D99:D100)</f>
        <v>6496602.0800000001</v>
      </c>
      <c r="E101" s="15" t="str">
        <f>" = L"&amp;A99&amp;" + L"&amp;A100&amp;""</f>
        <v xml:space="preserve"> = L93 + L94</v>
      </c>
      <c r="F101" s="14"/>
      <c r="G101" s="14"/>
      <c r="H101" s="14"/>
      <c r="I101" s="14"/>
      <c r="J101" s="14"/>
      <c r="K101" s="14"/>
    </row>
    <row r="102" spans="1:11" x14ac:dyDescent="0.2">
      <c r="A102" s="117">
        <f t="shared" si="1"/>
        <v>96</v>
      </c>
      <c r="B102" s="1122"/>
      <c r="C102" s="550" t="s">
        <v>2189</v>
      </c>
      <c r="D102" s="1219">
        <f>D99/D101</f>
        <v>0.21465806014087907</v>
      </c>
      <c r="E102" s="15" t="str">
        <f>" = L"&amp;A99&amp;" / L"&amp;A101&amp;""</f>
        <v xml:space="preserve"> = L93 / L95</v>
      </c>
      <c r="F102" s="14"/>
      <c r="G102" s="14"/>
      <c r="H102" s="14"/>
      <c r="I102" s="14"/>
      <c r="J102" s="14"/>
      <c r="K102" s="14"/>
    </row>
    <row r="103" spans="1:11" x14ac:dyDescent="0.2">
      <c r="A103" s="117">
        <f t="shared" si="1"/>
        <v>97</v>
      </c>
      <c r="B103" s="14"/>
      <c r="C103" s="14"/>
      <c r="D103" s="14"/>
      <c r="E103" s="14"/>
      <c r="F103" s="14"/>
      <c r="G103" s="14"/>
      <c r="H103" s="14"/>
      <c r="I103" s="14"/>
      <c r="J103" s="14"/>
      <c r="K103" s="14"/>
    </row>
    <row r="104" spans="1:11" x14ac:dyDescent="0.2">
      <c r="A104" s="117">
        <f t="shared" si="1"/>
        <v>98</v>
      </c>
      <c r="B104" s="550" t="s">
        <v>2331</v>
      </c>
      <c r="C104" s="14"/>
      <c r="D104" s="131" t="s">
        <v>2139</v>
      </c>
      <c r="E104" s="131" t="s">
        <v>189</v>
      </c>
      <c r="F104" s="14"/>
      <c r="G104" s="653" t="s">
        <v>2140</v>
      </c>
      <c r="H104" s="14"/>
      <c r="I104" s="14"/>
      <c r="J104" s="14"/>
      <c r="K104" s="14"/>
    </row>
    <row r="105" spans="1:11" x14ac:dyDescent="0.2">
      <c r="A105" s="117">
        <f t="shared" si="1"/>
        <v>99</v>
      </c>
      <c r="B105" s="1122"/>
      <c r="C105" s="550" t="s">
        <v>2190</v>
      </c>
      <c r="D105" s="105">
        <v>1450427.8798573853</v>
      </c>
      <c r="E105" s="131"/>
      <c r="F105" s="14"/>
      <c r="G105" s="1160" t="s">
        <v>1489</v>
      </c>
      <c r="H105" s="14"/>
      <c r="I105" s="14"/>
      <c r="J105" s="14"/>
      <c r="K105" s="14"/>
    </row>
    <row r="106" spans="1:11" x14ac:dyDescent="0.2">
      <c r="A106" s="117">
        <f t="shared" si="1"/>
        <v>100</v>
      </c>
      <c r="B106" s="1122"/>
      <c r="C106" s="550" t="s">
        <v>2191</v>
      </c>
      <c r="D106" s="105">
        <v>1698425.2001426138</v>
      </c>
      <c r="E106" s="131"/>
      <c r="F106" s="14"/>
      <c r="G106" s="1160"/>
      <c r="H106" s="14"/>
      <c r="I106" s="14"/>
      <c r="J106" s="14"/>
      <c r="K106" s="14"/>
    </row>
    <row r="107" spans="1:11" x14ac:dyDescent="0.2">
      <c r="A107" s="117">
        <f t="shared" si="1"/>
        <v>101</v>
      </c>
      <c r="B107" s="1122"/>
      <c r="C107" s="550" t="s">
        <v>2192</v>
      </c>
      <c r="D107" s="119">
        <f>SUM(D105:D106)</f>
        <v>3148853.0799999991</v>
      </c>
      <c r="E107" s="15" t="str">
        <f>" = L"&amp;A105&amp;" + L"&amp;A106&amp;""</f>
        <v xml:space="preserve"> = L99 + L100</v>
      </c>
      <c r="F107" s="14"/>
      <c r="G107" s="14"/>
      <c r="H107" s="14"/>
      <c r="I107" s="14"/>
      <c r="J107" s="14"/>
      <c r="K107" s="14"/>
    </row>
    <row r="108" spans="1:11" x14ac:dyDescent="0.2">
      <c r="A108" s="117">
        <f t="shared" si="1"/>
        <v>102</v>
      </c>
      <c r="B108" s="1122"/>
      <c r="C108" s="550" t="s">
        <v>2193</v>
      </c>
      <c r="D108" s="1219">
        <f>D105/D107</f>
        <v>0.46062100803299011</v>
      </c>
      <c r="E108" s="15" t="str">
        <f>" = L"&amp;A105&amp;" / L"&amp;A107&amp;""</f>
        <v xml:space="preserve"> = L99 / L101</v>
      </c>
      <c r="F108" s="14"/>
      <c r="G108" s="14"/>
      <c r="H108" s="14"/>
      <c r="I108" s="14"/>
      <c r="J108" s="14"/>
      <c r="K108" s="14"/>
    </row>
    <row r="109" spans="1:11" x14ac:dyDescent="0.2">
      <c r="A109" s="117">
        <f t="shared" si="1"/>
        <v>103</v>
      </c>
      <c r="B109" s="14"/>
      <c r="C109" s="14"/>
      <c r="D109" s="14"/>
      <c r="E109" s="14"/>
      <c r="F109" s="14"/>
      <c r="G109" s="14"/>
      <c r="H109" s="14"/>
      <c r="I109" s="14"/>
      <c r="J109" s="14"/>
      <c r="K109" s="14"/>
    </row>
    <row r="110" spans="1:11" x14ac:dyDescent="0.2">
      <c r="A110" s="117">
        <f t="shared" si="1"/>
        <v>104</v>
      </c>
      <c r="B110" s="550" t="s">
        <v>2332</v>
      </c>
      <c r="C110" s="14"/>
      <c r="D110" s="131" t="s">
        <v>2139</v>
      </c>
      <c r="E110" s="131" t="s">
        <v>189</v>
      </c>
      <c r="F110" s="14"/>
      <c r="G110" s="653" t="s">
        <v>2140</v>
      </c>
      <c r="H110" s="14"/>
      <c r="I110" s="14"/>
      <c r="J110" s="14"/>
      <c r="K110" s="14"/>
    </row>
    <row r="111" spans="1:11" x14ac:dyDescent="0.2">
      <c r="A111" s="117">
        <f t="shared" si="1"/>
        <v>105</v>
      </c>
      <c r="B111" s="1122"/>
      <c r="C111" s="550" t="s">
        <v>2194</v>
      </c>
      <c r="D111" s="105">
        <v>8</v>
      </c>
      <c r="E111" s="131"/>
      <c r="F111" s="14"/>
      <c r="G111" s="1160" t="s">
        <v>1496</v>
      </c>
      <c r="H111" s="14"/>
      <c r="I111" s="14"/>
      <c r="J111" s="14"/>
      <c r="K111" s="14"/>
    </row>
    <row r="112" spans="1:11" x14ac:dyDescent="0.2">
      <c r="A112" s="117">
        <f t="shared" si="1"/>
        <v>106</v>
      </c>
      <c r="B112" s="1122"/>
      <c r="C112" s="550" t="s">
        <v>2195</v>
      </c>
      <c r="D112" s="105">
        <v>2454</v>
      </c>
      <c r="E112" s="131"/>
      <c r="F112" s="14"/>
      <c r="G112" s="1160"/>
      <c r="H112" s="14"/>
      <c r="I112" s="14"/>
      <c r="J112" s="14"/>
      <c r="K112" s="14"/>
    </row>
    <row r="113" spans="1:11" x14ac:dyDescent="0.2">
      <c r="A113" s="117">
        <f t="shared" si="1"/>
        <v>107</v>
      </c>
      <c r="B113" s="1122"/>
      <c r="C113" s="550" t="s">
        <v>2196</v>
      </c>
      <c r="D113" s="119">
        <f>SUM(D111:D112)</f>
        <v>2462</v>
      </c>
      <c r="E113" s="15" t="str">
        <f>" = L"&amp;A111&amp;" + L"&amp;A112&amp;""</f>
        <v xml:space="preserve"> = L105 + L106</v>
      </c>
      <c r="F113" s="14"/>
      <c r="G113" s="14"/>
      <c r="H113" s="14"/>
      <c r="I113" s="14"/>
      <c r="J113" s="14"/>
      <c r="K113" s="14"/>
    </row>
    <row r="114" spans="1:11" x14ac:dyDescent="0.2">
      <c r="A114" s="117">
        <f t="shared" si="1"/>
        <v>108</v>
      </c>
      <c r="B114" s="1122"/>
      <c r="C114" s="550" t="s">
        <v>2197</v>
      </c>
      <c r="D114" s="1219">
        <f>D111/D113</f>
        <v>3.249390739236393E-3</v>
      </c>
      <c r="E114" s="15" t="str">
        <f>" = L"&amp;A111&amp;" / L"&amp;A113&amp;""</f>
        <v xml:space="preserve"> = L105 / L107</v>
      </c>
      <c r="F114" s="14"/>
      <c r="G114" s="14"/>
      <c r="H114" s="14"/>
      <c r="I114" s="14"/>
      <c r="J114" s="14"/>
      <c r="K114" s="14"/>
    </row>
    <row r="115" spans="1:11" x14ac:dyDescent="0.2">
      <c r="A115" s="117">
        <f t="shared" si="1"/>
        <v>109</v>
      </c>
      <c r="B115" s="14"/>
      <c r="C115" s="14"/>
      <c r="D115" s="14"/>
      <c r="E115" s="14"/>
      <c r="F115" s="14"/>
      <c r="G115" s="14"/>
      <c r="H115" s="14"/>
      <c r="I115" s="14"/>
      <c r="J115" s="14"/>
      <c r="K115" s="14"/>
    </row>
    <row r="116" spans="1:11" x14ac:dyDescent="0.2">
      <c r="A116" s="117">
        <f t="shared" si="1"/>
        <v>110</v>
      </c>
      <c r="B116" s="550" t="s">
        <v>2333</v>
      </c>
      <c r="C116" s="14"/>
      <c r="D116" s="131" t="s">
        <v>2139</v>
      </c>
      <c r="E116" s="131" t="s">
        <v>189</v>
      </c>
      <c r="F116" s="14"/>
      <c r="G116" s="653" t="s">
        <v>2140</v>
      </c>
      <c r="H116" s="14"/>
      <c r="I116" s="14"/>
      <c r="J116" s="14"/>
      <c r="K116" s="14"/>
    </row>
    <row r="117" spans="1:11" x14ac:dyDescent="0.2">
      <c r="A117" s="117">
        <f t="shared" si="1"/>
        <v>111</v>
      </c>
      <c r="B117" s="1122"/>
      <c r="C117" s="550" t="s">
        <v>2200</v>
      </c>
      <c r="D117" s="105">
        <v>163</v>
      </c>
      <c r="E117" s="131"/>
      <c r="F117" s="14"/>
      <c r="G117" s="1160" t="s">
        <v>1497</v>
      </c>
      <c r="H117" s="14"/>
      <c r="I117" s="14"/>
      <c r="J117" s="14"/>
      <c r="K117" s="14"/>
    </row>
    <row r="118" spans="1:11" x14ac:dyDescent="0.2">
      <c r="A118" s="117">
        <f t="shared" si="1"/>
        <v>112</v>
      </c>
      <c r="B118" s="1122"/>
      <c r="C118" s="550" t="s">
        <v>2198</v>
      </c>
      <c r="D118" s="105">
        <v>8725</v>
      </c>
      <c r="E118" s="131"/>
      <c r="F118" s="14"/>
      <c r="G118" s="1160"/>
      <c r="H118" s="14"/>
      <c r="I118" s="14"/>
      <c r="J118" s="14"/>
      <c r="K118" s="14"/>
    </row>
    <row r="119" spans="1:11" x14ac:dyDescent="0.2">
      <c r="A119" s="117">
        <f t="shared" si="1"/>
        <v>113</v>
      </c>
      <c r="B119" s="1122"/>
      <c r="C119" s="550" t="s">
        <v>2199</v>
      </c>
      <c r="D119" s="119">
        <f>SUM(D117:D118)</f>
        <v>8888</v>
      </c>
      <c r="E119" s="15" t="str">
        <f>" = L"&amp;A117&amp;" + L"&amp;A118&amp;""</f>
        <v xml:space="preserve"> = L111 + L112</v>
      </c>
      <c r="F119" s="14"/>
      <c r="G119" s="14"/>
      <c r="H119" s="14"/>
      <c r="I119" s="14"/>
      <c r="J119" s="14"/>
      <c r="K119" s="14"/>
    </row>
    <row r="120" spans="1:11" x14ac:dyDescent="0.2">
      <c r="A120" s="117">
        <f t="shared" si="1"/>
        <v>114</v>
      </c>
      <c r="B120" s="1122"/>
      <c r="C120" s="550" t="s">
        <v>2201</v>
      </c>
      <c r="D120" s="1219">
        <f>D117/D119</f>
        <v>1.8339333933393338E-2</v>
      </c>
      <c r="E120" s="15" t="str">
        <f>" = L"&amp;A117&amp;" / L"&amp;A119&amp;""</f>
        <v xml:space="preserve"> = L111 / L113</v>
      </c>
      <c r="F120" s="14"/>
      <c r="G120" s="14"/>
      <c r="H120" s="14"/>
      <c r="I120" s="14"/>
      <c r="J120" s="14"/>
      <c r="K120" s="14"/>
    </row>
    <row r="121" spans="1:11" x14ac:dyDescent="0.2">
      <c r="A121" s="117">
        <f t="shared" si="1"/>
        <v>115</v>
      </c>
      <c r="B121" s="14"/>
      <c r="C121" s="14"/>
      <c r="D121" s="14"/>
      <c r="E121" s="14"/>
      <c r="F121" s="14"/>
      <c r="G121" s="14"/>
      <c r="H121" s="14"/>
      <c r="I121" s="14"/>
      <c r="J121" s="14"/>
      <c r="K121" s="14"/>
    </row>
    <row r="122" spans="1:11" x14ac:dyDescent="0.2">
      <c r="A122" s="117">
        <f t="shared" si="1"/>
        <v>116</v>
      </c>
      <c r="B122" s="550" t="s">
        <v>2334</v>
      </c>
      <c r="C122" s="14"/>
      <c r="D122" s="131" t="s">
        <v>2139</v>
      </c>
      <c r="E122" s="131" t="s">
        <v>189</v>
      </c>
      <c r="F122" s="14"/>
      <c r="G122" s="653" t="s">
        <v>2140</v>
      </c>
      <c r="H122" s="14"/>
      <c r="I122" s="14"/>
      <c r="J122" s="14"/>
      <c r="K122" s="14"/>
    </row>
    <row r="123" spans="1:11" x14ac:dyDescent="0.2">
      <c r="A123" s="117">
        <f t="shared" si="1"/>
        <v>117</v>
      </c>
      <c r="B123" s="1122"/>
      <c r="C123" s="550" t="s">
        <v>2202</v>
      </c>
      <c r="D123" s="105">
        <v>186</v>
      </c>
      <c r="E123" s="131"/>
      <c r="F123" s="14"/>
      <c r="G123" s="1160" t="s">
        <v>1498</v>
      </c>
      <c r="H123" s="14"/>
      <c r="I123" s="14"/>
      <c r="J123" s="14"/>
      <c r="K123" s="14"/>
    </row>
    <row r="124" spans="1:11" x14ac:dyDescent="0.2">
      <c r="A124" s="117">
        <f t="shared" si="1"/>
        <v>118</v>
      </c>
      <c r="B124" s="1122"/>
      <c r="C124" s="550" t="s">
        <v>2205</v>
      </c>
      <c r="D124" s="105">
        <v>2406</v>
      </c>
      <c r="E124" s="131"/>
      <c r="F124" s="14"/>
      <c r="G124" s="1160"/>
      <c r="H124" s="14"/>
      <c r="I124" s="14"/>
      <c r="J124" s="14"/>
      <c r="K124" s="14"/>
    </row>
    <row r="125" spans="1:11" x14ac:dyDescent="0.2">
      <c r="A125" s="117">
        <f t="shared" ref="A125:A126" si="2">A124+1</f>
        <v>119</v>
      </c>
      <c r="B125" s="1122"/>
      <c r="C125" s="550" t="s">
        <v>2203</v>
      </c>
      <c r="D125" s="119">
        <f>SUM(D123:D124)</f>
        <v>2592</v>
      </c>
      <c r="E125" s="15" t="str">
        <f>" = L"&amp;A123&amp;" + L"&amp;A124&amp;""</f>
        <v xml:space="preserve"> = L117 + L118</v>
      </c>
      <c r="F125" s="14"/>
      <c r="G125" s="14"/>
      <c r="H125" s="14"/>
      <c r="I125" s="14"/>
      <c r="J125" s="14"/>
      <c r="K125" s="14"/>
    </row>
    <row r="126" spans="1:11" x14ac:dyDescent="0.2">
      <c r="A126" s="117">
        <f t="shared" si="2"/>
        <v>120</v>
      </c>
      <c r="B126" s="1122"/>
      <c r="C126" s="550" t="s">
        <v>2204</v>
      </c>
      <c r="D126" s="1219">
        <f>D123/D125</f>
        <v>7.1759259259259259E-2</v>
      </c>
      <c r="E126" s="15" t="str">
        <f>" = L"&amp;A123&amp;" / L"&amp;A125&amp;""</f>
        <v xml:space="preserve"> = L117 / L119</v>
      </c>
      <c r="F126" s="14"/>
      <c r="G126" s="14"/>
      <c r="H126" s="14"/>
      <c r="I126" s="14"/>
      <c r="J126" s="14"/>
      <c r="K126" s="14"/>
    </row>
    <row r="127" spans="1:11" x14ac:dyDescent="0.2">
      <c r="A127" s="679"/>
      <c r="E127" s="14"/>
      <c r="F127" s="14"/>
      <c r="G127" s="14"/>
      <c r="H127" s="14"/>
      <c r="I127" s="14"/>
      <c r="J127" s="14"/>
      <c r="K127" s="14"/>
    </row>
    <row r="128" spans="1:11" x14ac:dyDescent="0.2">
      <c r="A128" s="679"/>
      <c r="E128" s="14"/>
      <c r="F128" s="14"/>
      <c r="G128" s="14"/>
      <c r="H128" s="14"/>
      <c r="I128" s="14"/>
      <c r="J128" s="14"/>
      <c r="K128" s="14"/>
    </row>
    <row r="129" spans="1:11" x14ac:dyDescent="0.2">
      <c r="A129" s="679"/>
      <c r="E129" s="14"/>
      <c r="F129" s="14"/>
      <c r="G129" s="14"/>
      <c r="H129" s="14"/>
      <c r="I129" s="14"/>
      <c r="J129" s="14"/>
      <c r="K129" s="14"/>
    </row>
    <row r="130" spans="1:11" x14ac:dyDescent="0.2">
      <c r="A130" s="679"/>
    </row>
    <row r="131" spans="1:11" x14ac:dyDescent="0.2">
      <c r="A131" s="679"/>
    </row>
    <row r="132" spans="1:11" x14ac:dyDescent="0.2">
      <c r="A132" s="679"/>
    </row>
    <row r="133" spans="1:11" x14ac:dyDescent="0.2">
      <c r="A133" s="679"/>
    </row>
    <row r="134" spans="1:11" x14ac:dyDescent="0.2">
      <c r="A134" s="679"/>
    </row>
    <row r="135" spans="1:11" x14ac:dyDescent="0.2">
      <c r="A135" s="679"/>
    </row>
    <row r="136" spans="1:11" x14ac:dyDescent="0.2">
      <c r="A136" s="679"/>
    </row>
    <row r="137" spans="1:11" x14ac:dyDescent="0.2">
      <c r="A137" s="679"/>
    </row>
    <row r="138" spans="1:11" x14ac:dyDescent="0.2">
      <c r="A138" s="679"/>
    </row>
  </sheetData>
  <phoneticPr fontId="12" type="noConversion"/>
  <pageMargins left="0.75" right="0.75" top="1" bottom="1" header="0.5" footer="0.5"/>
  <pageSetup scale="70" orientation="landscape" cellComments="asDisplayed" r:id="rId1"/>
  <headerFooter alignWithMargins="0">
    <oddHeader>&amp;CSchedule 27
Allocation Factors
&amp;RTO8 Annual Update (Revised)
Attachment  1</oddHeader>
    <oddFooter>&amp;R&amp;A</oddFooter>
  </headerFooter>
  <rowBreaks count="2" manualBreakCount="2">
    <brk id="49" max="16383" man="1"/>
    <brk id="103" max="10"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Layout" zoomScaleNormal="85" workbookViewId="0"/>
  </sheetViews>
  <sheetFormatPr defaultRowHeight="12.75" x14ac:dyDescent="0.2"/>
  <cols>
    <col min="1" max="1" width="4.7109375" customWidth="1"/>
    <col min="2" max="2" width="3.7109375" customWidth="1"/>
    <col min="3" max="6" width="10.7109375" customWidth="1"/>
    <col min="7" max="7" width="9.42578125" bestFit="1" customWidth="1"/>
    <col min="8" max="8" width="4.7109375" customWidth="1"/>
    <col min="9" max="9" width="35.7109375" customWidth="1"/>
  </cols>
  <sheetData>
    <row r="1" spans="1:9" x14ac:dyDescent="0.2">
      <c r="A1" s="1" t="s">
        <v>1912</v>
      </c>
    </row>
    <row r="3" spans="1:9" x14ac:dyDescent="0.2">
      <c r="B3" s="1" t="s">
        <v>557</v>
      </c>
      <c r="I3" s="102" t="s">
        <v>18</v>
      </c>
    </row>
    <row r="4" spans="1:9" x14ac:dyDescent="0.2">
      <c r="B4" s="1"/>
      <c r="I4" s="14"/>
    </row>
    <row r="5" spans="1:9" x14ac:dyDescent="0.2">
      <c r="E5" s="117" t="s">
        <v>2306</v>
      </c>
    </row>
    <row r="6" spans="1:9" x14ac:dyDescent="0.2">
      <c r="A6" s="52" t="s">
        <v>362</v>
      </c>
      <c r="C6" s="3" t="s">
        <v>260</v>
      </c>
      <c r="D6" s="3" t="s">
        <v>261</v>
      </c>
      <c r="E6" s="1220" t="s">
        <v>75</v>
      </c>
      <c r="G6" s="3" t="s">
        <v>262</v>
      </c>
      <c r="I6" s="52" t="s">
        <v>226</v>
      </c>
    </row>
    <row r="7" spans="1:9" x14ac:dyDescent="0.2">
      <c r="A7" s="2">
        <v>1</v>
      </c>
      <c r="C7" s="160">
        <v>2012</v>
      </c>
      <c r="D7" s="102" t="s">
        <v>2770</v>
      </c>
      <c r="E7" s="102">
        <v>365</v>
      </c>
      <c r="G7" s="94">
        <v>9.1427999999999995E-3</v>
      </c>
      <c r="I7" s="889" t="s">
        <v>2771</v>
      </c>
    </row>
    <row r="8" spans="1:9" x14ac:dyDescent="0.2">
      <c r="A8" s="2">
        <v>2</v>
      </c>
      <c r="C8" s="102"/>
      <c r="D8" s="102"/>
      <c r="E8" s="102"/>
      <c r="G8" s="102"/>
      <c r="I8" s="122"/>
    </row>
    <row r="10" spans="1:9" x14ac:dyDescent="0.2">
      <c r="B10" s="1" t="s">
        <v>1913</v>
      </c>
    </row>
    <row r="11" spans="1:9" x14ac:dyDescent="0.2">
      <c r="B11" s="1"/>
    </row>
    <row r="12" spans="1:9" x14ac:dyDescent="0.2">
      <c r="E12" s="117" t="s">
        <v>2306</v>
      </c>
    </row>
    <row r="13" spans="1:9" x14ac:dyDescent="0.2">
      <c r="C13" s="3" t="s">
        <v>260</v>
      </c>
      <c r="D13" s="3" t="s">
        <v>261</v>
      </c>
      <c r="E13" s="1220" t="s">
        <v>75</v>
      </c>
      <c r="G13" s="3" t="s">
        <v>263</v>
      </c>
      <c r="I13" s="52" t="s">
        <v>226</v>
      </c>
    </row>
    <row r="14" spans="1:9" x14ac:dyDescent="0.2">
      <c r="A14" s="2">
        <v>3</v>
      </c>
      <c r="C14" s="160">
        <v>2012</v>
      </c>
      <c r="D14" s="102" t="s">
        <v>2770</v>
      </c>
      <c r="E14" s="102">
        <v>365</v>
      </c>
      <c r="G14" s="94">
        <v>2.0541999999999999E-3</v>
      </c>
      <c r="I14" s="122" t="s">
        <v>2772</v>
      </c>
    </row>
    <row r="15" spans="1:9" x14ac:dyDescent="0.2">
      <c r="A15" s="2">
        <v>4</v>
      </c>
      <c r="C15" s="160"/>
      <c r="D15" s="102"/>
      <c r="E15" s="102"/>
      <c r="G15" s="94"/>
      <c r="I15" s="122"/>
    </row>
    <row r="18" spans="1:9" x14ac:dyDescent="0.2">
      <c r="B18" s="1" t="s">
        <v>556</v>
      </c>
    </row>
    <row r="19" spans="1:9" x14ac:dyDescent="0.2">
      <c r="B19" s="1"/>
    </row>
    <row r="20" spans="1:9" x14ac:dyDescent="0.2">
      <c r="C20" s="2" t="s">
        <v>448</v>
      </c>
      <c r="D20" s="2"/>
      <c r="E20" s="2"/>
    </row>
    <row r="21" spans="1:9" x14ac:dyDescent="0.2">
      <c r="C21" s="3" t="s">
        <v>214</v>
      </c>
      <c r="D21" s="3" t="s">
        <v>262</v>
      </c>
      <c r="E21" s="3" t="s">
        <v>263</v>
      </c>
      <c r="I21" s="52" t="s">
        <v>189</v>
      </c>
    </row>
    <row r="22" spans="1:9" x14ac:dyDescent="0.2">
      <c r="A22" s="2">
        <v>5</v>
      </c>
      <c r="C22" s="161">
        <v>2012</v>
      </c>
      <c r="D22" s="1221">
        <f>E41</f>
        <v>9.1427999999999995E-3</v>
      </c>
      <c r="E22" s="1221">
        <f>E42</f>
        <v>2.0541999999999999E-3</v>
      </c>
      <c r="F22" s="14"/>
      <c r="G22" s="14"/>
      <c r="H22" s="14"/>
      <c r="I22" s="550" t="s">
        <v>2048</v>
      </c>
    </row>
    <row r="24" spans="1:9" x14ac:dyDescent="0.2">
      <c r="B24" s="1" t="s">
        <v>258</v>
      </c>
    </row>
    <row r="25" spans="1:9" x14ac:dyDescent="0.2">
      <c r="B25" s="12" t="s">
        <v>612</v>
      </c>
    </row>
    <row r="26" spans="1:9" x14ac:dyDescent="0.2">
      <c r="B26" s="12" t="s">
        <v>611</v>
      </c>
    </row>
    <row r="28" spans="1:9" x14ac:dyDescent="0.2">
      <c r="B28" s="1" t="s">
        <v>422</v>
      </c>
    </row>
    <row r="29" spans="1:9" x14ac:dyDescent="0.2">
      <c r="B29" s="550" t="s">
        <v>2050</v>
      </c>
      <c r="C29" s="14"/>
      <c r="D29" s="14"/>
      <c r="E29" s="14"/>
      <c r="F29" s="14"/>
      <c r="G29" s="14"/>
      <c r="H29" s="14"/>
      <c r="I29" s="14"/>
    </row>
    <row r="30" spans="1:9" x14ac:dyDescent="0.2">
      <c r="B30" s="550" t="s">
        <v>2060</v>
      </c>
      <c r="C30" s="14"/>
      <c r="D30" s="14"/>
      <c r="E30" s="14"/>
      <c r="F30" s="14"/>
      <c r="G30" s="14"/>
      <c r="H30" s="14"/>
      <c r="I30" s="14"/>
    </row>
    <row r="31" spans="1:9" x14ac:dyDescent="0.2">
      <c r="B31" s="550" t="s">
        <v>2311</v>
      </c>
      <c r="C31" s="14"/>
      <c r="D31" s="14"/>
      <c r="E31" s="14"/>
      <c r="F31" s="14"/>
      <c r="G31" s="14"/>
      <c r="H31" s="14"/>
      <c r="I31" s="14"/>
    </row>
    <row r="32" spans="1:9" x14ac:dyDescent="0.2">
      <c r="B32" s="550" t="s">
        <v>2310</v>
      </c>
      <c r="C32" s="14"/>
      <c r="D32" s="14"/>
      <c r="E32" s="14"/>
      <c r="F32" s="14"/>
      <c r="G32" s="14"/>
      <c r="H32" s="14"/>
      <c r="I32" s="14"/>
    </row>
    <row r="33" spans="2:9" x14ac:dyDescent="0.2">
      <c r="B33" s="550" t="s">
        <v>2045</v>
      </c>
      <c r="C33" s="14"/>
      <c r="D33" s="14"/>
      <c r="E33" s="14"/>
      <c r="F33" s="14"/>
      <c r="G33" s="14"/>
      <c r="H33" s="14"/>
      <c r="I33" s="14"/>
    </row>
    <row r="34" spans="2:9" x14ac:dyDescent="0.2">
      <c r="B34" s="550" t="s">
        <v>2046</v>
      </c>
      <c r="C34" s="14"/>
      <c r="D34" s="14"/>
      <c r="E34" s="14"/>
      <c r="F34" s="14"/>
      <c r="G34" s="14"/>
      <c r="H34" s="14"/>
      <c r="I34" s="14"/>
    </row>
    <row r="35" spans="2:9" x14ac:dyDescent="0.2">
      <c r="B35" s="550" t="s">
        <v>2595</v>
      </c>
      <c r="C35" s="14"/>
      <c r="D35" s="14"/>
      <c r="E35" s="14"/>
      <c r="F35" s="14"/>
      <c r="G35" s="14"/>
      <c r="H35" s="14"/>
      <c r="I35" s="14"/>
    </row>
    <row r="36" spans="2:9" x14ac:dyDescent="0.2">
      <c r="B36" s="550" t="s">
        <v>2049</v>
      </c>
      <c r="C36" s="14"/>
      <c r="D36" s="14"/>
      <c r="E36" s="14"/>
      <c r="F36" s="14"/>
      <c r="G36" s="14"/>
      <c r="H36" s="14"/>
      <c r="I36" s="14"/>
    </row>
    <row r="37" spans="2:9" x14ac:dyDescent="0.2">
      <c r="B37" s="550" t="s">
        <v>2047</v>
      </c>
      <c r="C37" s="14"/>
      <c r="D37" s="14"/>
      <c r="E37" s="14"/>
      <c r="F37" s="14"/>
      <c r="G37" s="14"/>
      <c r="H37" s="14"/>
      <c r="I37" s="14"/>
    </row>
    <row r="38" spans="2:9" x14ac:dyDescent="0.2">
      <c r="B38" s="550" t="s">
        <v>2309</v>
      </c>
      <c r="C38" s="14"/>
      <c r="D38" s="14"/>
      <c r="E38" s="14"/>
      <c r="F38" s="14"/>
      <c r="G38" s="14"/>
      <c r="H38" s="14"/>
      <c r="I38" s="14"/>
    </row>
    <row r="39" spans="2:9" x14ac:dyDescent="0.2">
      <c r="B39" s="14"/>
      <c r="C39" s="14"/>
      <c r="D39" s="14"/>
      <c r="E39" s="14"/>
      <c r="F39" s="14"/>
      <c r="G39" s="14"/>
      <c r="H39" s="14"/>
      <c r="I39" s="14"/>
    </row>
    <row r="40" spans="2:9" x14ac:dyDescent="0.2">
      <c r="B40" s="14"/>
      <c r="C40" s="14"/>
      <c r="D40" s="14"/>
      <c r="E40" s="131" t="s">
        <v>1647</v>
      </c>
      <c r="F40" s="14"/>
      <c r="G40" s="1114" t="s">
        <v>173</v>
      </c>
      <c r="H40" s="14"/>
      <c r="I40" s="14"/>
    </row>
    <row r="41" spans="2:9" x14ac:dyDescent="0.2">
      <c r="B41" s="14"/>
      <c r="C41" s="14"/>
      <c r="D41" s="1126" t="s">
        <v>2307</v>
      </c>
      <c r="E41" s="1221">
        <f>((G7*E7) + (G8*E8))/365</f>
        <v>9.1427999999999995E-3</v>
      </c>
      <c r="F41" s="14"/>
      <c r="G41" s="705" t="s">
        <v>2312</v>
      </c>
      <c r="H41" s="14"/>
      <c r="I41" s="14"/>
    </row>
    <row r="42" spans="2:9" x14ac:dyDescent="0.2">
      <c r="B42" s="14"/>
      <c r="C42" s="14"/>
      <c r="D42" s="1126" t="s">
        <v>2308</v>
      </c>
      <c r="E42" s="1221">
        <f>((G14*E14) + (G15*E15))/365</f>
        <v>2.0541999999999999E-3</v>
      </c>
      <c r="F42" s="14"/>
      <c r="G42" s="705" t="s">
        <v>2313</v>
      </c>
      <c r="H42" s="14"/>
      <c r="I42" s="14"/>
    </row>
  </sheetData>
  <phoneticPr fontId="12" type="noConversion"/>
  <pageMargins left="0.75" right="0.75" top="1" bottom="1" header="0.5" footer="0.5"/>
  <pageSetup scale="82" orientation="portrait" cellComments="asDisplayed" r:id="rId1"/>
  <headerFooter alignWithMargins="0">
    <oddHeader>&amp;CSchedule 28
FF and U
&amp;RTO8 Annual Update (Revised)
Attachment  1</oddHeader>
    <oddFooter>&amp;R&amp;A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zoomScaleNormal="85" workbookViewId="0">
      <selection activeCell="E27" sqref="E27"/>
    </sheetView>
  </sheetViews>
  <sheetFormatPr defaultRowHeight="12.75" x14ac:dyDescent="0.2"/>
  <cols>
    <col min="1" max="1" width="4.7109375" customWidth="1"/>
    <col min="2" max="2" width="17.140625" customWidth="1"/>
    <col min="3" max="3" width="25.7109375" customWidth="1"/>
    <col min="4" max="6" width="13.7109375" customWidth="1"/>
    <col min="7" max="7" width="3.7109375" customWidth="1"/>
    <col min="8" max="8" width="14.7109375" customWidth="1"/>
    <col min="9" max="10" width="13.7109375" customWidth="1"/>
  </cols>
  <sheetData>
    <row r="1" spans="1:10" x14ac:dyDescent="0.2">
      <c r="A1" s="1" t="s">
        <v>1589</v>
      </c>
    </row>
    <row r="2" spans="1:10" x14ac:dyDescent="0.2">
      <c r="G2" s="43" t="s">
        <v>18</v>
      </c>
      <c r="H2" s="43"/>
      <c r="I2" s="102"/>
    </row>
    <row r="3" spans="1:10" x14ac:dyDescent="0.2">
      <c r="A3" s="3" t="s">
        <v>362</v>
      </c>
      <c r="B3" s="3" t="s">
        <v>95</v>
      </c>
      <c r="F3" s="52" t="s">
        <v>189</v>
      </c>
      <c r="G3" s="52" t="s">
        <v>200</v>
      </c>
      <c r="J3" s="52"/>
    </row>
    <row r="4" spans="1:10" x14ac:dyDescent="0.2">
      <c r="A4" s="2">
        <v>1</v>
      </c>
      <c r="B4" s="1283">
        <f>'1-BaseTRR'!K157</f>
        <v>834465597.89012527</v>
      </c>
      <c r="C4" s="53" t="s">
        <v>146</v>
      </c>
      <c r="G4" s="15" t="str">
        <f>"1-BaseTRR, Line "&amp;'1-BaseTRR'!A157&amp;""</f>
        <v>1-BaseTRR, Line 89</v>
      </c>
      <c r="H4" s="14"/>
    </row>
    <row r="5" spans="1:10" x14ac:dyDescent="0.2">
      <c r="A5" s="2">
        <f t="shared" ref="A5:A10" si="0">A4+1</f>
        <v>2</v>
      </c>
      <c r="B5" s="6">
        <v>-50111127</v>
      </c>
      <c r="C5" s="53" t="s">
        <v>147</v>
      </c>
      <c r="F5" s="12" t="s">
        <v>397</v>
      </c>
      <c r="G5" s="558" t="s">
        <v>2962</v>
      </c>
      <c r="H5" s="102"/>
      <c r="I5" s="558" t="s">
        <v>2963</v>
      </c>
    </row>
    <row r="6" spans="1:10" x14ac:dyDescent="0.2">
      <c r="A6" s="2">
        <f t="shared" si="0"/>
        <v>3</v>
      </c>
      <c r="B6" s="6">
        <v>-49204726</v>
      </c>
      <c r="C6" s="53" t="s">
        <v>148</v>
      </c>
      <c r="G6" s="558" t="s">
        <v>2962</v>
      </c>
      <c r="H6" s="102"/>
      <c r="I6" s="558" t="s">
        <v>2963</v>
      </c>
    </row>
    <row r="7" spans="1:10" x14ac:dyDescent="0.2">
      <c r="A7" s="2">
        <f t="shared" si="0"/>
        <v>4</v>
      </c>
      <c r="B7" s="6">
        <v>-906401</v>
      </c>
      <c r="C7" s="53" t="s">
        <v>149</v>
      </c>
      <c r="G7" s="558" t="s">
        <v>2962</v>
      </c>
      <c r="H7" s="102"/>
      <c r="I7" s="558" t="s">
        <v>2963</v>
      </c>
    </row>
    <row r="8" spans="1:10" x14ac:dyDescent="0.2">
      <c r="A8" s="2">
        <f t="shared" si="0"/>
        <v>5</v>
      </c>
      <c r="B8" s="1283">
        <f>-'33-RetailRates'!E61</f>
        <v>-8005917.1199839776</v>
      </c>
      <c r="C8" s="53" t="s">
        <v>150</v>
      </c>
      <c r="F8" t="s">
        <v>398</v>
      </c>
      <c r="G8" t="s">
        <v>94</v>
      </c>
    </row>
    <row r="9" spans="1:10" x14ac:dyDescent="0.2">
      <c r="A9" s="2">
        <f t="shared" si="0"/>
        <v>6</v>
      </c>
      <c r="B9" s="8">
        <f>'31-HVLV'!C45</f>
        <v>0.93844951805047361</v>
      </c>
      <c r="C9" s="53" t="s">
        <v>93</v>
      </c>
      <c r="G9" s="15" t="str">
        <f>"31-HVLV, Line "&amp;'31-HVLV'!A45&amp;""</f>
        <v>31-HVLV, Line 37</v>
      </c>
      <c r="H9" s="14"/>
    </row>
    <row r="10" spans="1:10" x14ac:dyDescent="0.2">
      <c r="A10" s="2">
        <f t="shared" si="0"/>
        <v>7</v>
      </c>
      <c r="B10" s="8">
        <f>'31-HVLV'!D45</f>
        <v>6.1550481949526482E-2</v>
      </c>
      <c r="C10" s="53" t="s">
        <v>92</v>
      </c>
      <c r="G10" s="15" t="str">
        <f>"31-HVLV, Line "&amp;'31-HVLV'!A45&amp;""</f>
        <v>31-HVLV, Line 37</v>
      </c>
      <c r="H10" s="14"/>
    </row>
    <row r="11" spans="1:10" x14ac:dyDescent="0.2">
      <c r="C11" s="36"/>
      <c r="D11" s="95"/>
      <c r="E11" s="95"/>
      <c r="F11" s="95"/>
      <c r="G11" s="95"/>
      <c r="H11" s="95"/>
      <c r="J11" s="95"/>
    </row>
    <row r="12" spans="1:10" x14ac:dyDescent="0.2">
      <c r="B12" s="1" t="s">
        <v>1735</v>
      </c>
      <c r="C12" s="36"/>
      <c r="D12" s="95"/>
      <c r="E12" s="95"/>
      <c r="F12" s="95"/>
      <c r="G12" s="95"/>
      <c r="H12" s="95"/>
    </row>
    <row r="13" spans="1:10" x14ac:dyDescent="0.2">
      <c r="B13" s="1"/>
      <c r="C13" s="36"/>
      <c r="D13" s="95"/>
      <c r="E13" s="95"/>
      <c r="F13" s="95"/>
      <c r="G13" s="95"/>
      <c r="H13" s="95"/>
    </row>
    <row r="14" spans="1:10" x14ac:dyDescent="0.2">
      <c r="B14" s="1"/>
      <c r="C14" s="36"/>
      <c r="D14" s="90" t="s">
        <v>396</v>
      </c>
      <c r="E14" s="90" t="s">
        <v>380</v>
      </c>
      <c r="F14" s="90" t="s">
        <v>381</v>
      </c>
      <c r="G14" s="95"/>
      <c r="H14" s="95"/>
    </row>
    <row r="15" spans="1:10" x14ac:dyDescent="0.2">
      <c r="B15" s="1"/>
      <c r="C15" s="36"/>
      <c r="F15" s="95"/>
      <c r="G15" s="95"/>
      <c r="H15" s="95"/>
    </row>
    <row r="16" spans="1:10" x14ac:dyDescent="0.2">
      <c r="E16" s="2" t="s">
        <v>520</v>
      </c>
      <c r="F16" s="2" t="s">
        <v>521</v>
      </c>
    </row>
    <row r="17" spans="1:8" x14ac:dyDescent="0.2">
      <c r="C17" s="36"/>
      <c r="D17" s="3" t="s">
        <v>151</v>
      </c>
      <c r="E17" s="3" t="s">
        <v>519</v>
      </c>
      <c r="F17" s="3" t="s">
        <v>519</v>
      </c>
      <c r="G17" s="3"/>
      <c r="H17" s="3" t="s">
        <v>200</v>
      </c>
    </row>
    <row r="18" spans="1:8" x14ac:dyDescent="0.2">
      <c r="A18" s="2">
        <f>A10+1</f>
        <v>8</v>
      </c>
      <c r="B18" s="96"/>
      <c r="C18" s="73" t="s">
        <v>168</v>
      </c>
      <c r="D18" s="7">
        <f>B4</f>
        <v>834465597.89012527</v>
      </c>
      <c r="E18" s="7">
        <f>D18*B9</f>
        <v>783103838.16968834</v>
      </c>
      <c r="F18" s="7">
        <f>D18*B10</f>
        <v>51361759.720436983</v>
      </c>
      <c r="G18" s="7"/>
      <c r="H18" s="548" t="s">
        <v>313</v>
      </c>
    </row>
    <row r="19" spans="1:8" x14ac:dyDescent="0.2">
      <c r="A19" s="574">
        <f>A18+1</f>
        <v>9</v>
      </c>
      <c r="B19" s="96"/>
      <c r="C19" s="73" t="s">
        <v>1733</v>
      </c>
      <c r="D19" s="7">
        <f>'24-CWIPTRR'!E145</f>
        <v>94429867.771356151</v>
      </c>
      <c r="E19" s="7">
        <f>'24-CWIPTRR'!E145</f>
        <v>94429867.771356151</v>
      </c>
      <c r="F19" s="7">
        <v>0</v>
      </c>
      <c r="G19" s="7"/>
      <c r="H19" s="548" t="s">
        <v>1050</v>
      </c>
    </row>
    <row r="20" spans="1:8" x14ac:dyDescent="0.2">
      <c r="A20" s="574">
        <f>A19+1</f>
        <v>10</v>
      </c>
      <c r="B20" s="96"/>
      <c r="C20" s="73" t="s">
        <v>1734</v>
      </c>
      <c r="D20" s="7">
        <f>D18-D19</f>
        <v>740035730.11876917</v>
      </c>
      <c r="E20" s="7">
        <f t="shared" ref="E20:F20" si="1">E18-E19</f>
        <v>688673970.39833224</v>
      </c>
      <c r="F20" s="7">
        <f t="shared" si="1"/>
        <v>51361759.720436983</v>
      </c>
      <c r="G20" s="7"/>
      <c r="H20" s="548" t="s">
        <v>1051</v>
      </c>
    </row>
    <row r="21" spans="1:8" x14ac:dyDescent="0.2">
      <c r="B21" s="96"/>
      <c r="C21" s="96"/>
      <c r="D21" s="7"/>
      <c r="E21" s="7"/>
      <c r="F21" s="7"/>
      <c r="G21" s="7"/>
    </row>
    <row r="22" spans="1:8" x14ac:dyDescent="0.2">
      <c r="A22" s="2">
        <f>A20+1</f>
        <v>11</v>
      </c>
      <c r="B22" s="1"/>
      <c r="C22" s="73" t="s">
        <v>152</v>
      </c>
      <c r="D22" s="7">
        <f>B5</f>
        <v>-50111127</v>
      </c>
      <c r="E22" s="7">
        <f>B6</f>
        <v>-49204726</v>
      </c>
      <c r="F22" s="7">
        <f>B7</f>
        <v>-906401</v>
      </c>
      <c r="G22" s="7"/>
      <c r="H22" t="str">
        <f>"Lines "&amp;A5&amp;" to "&amp;A7&amp;""</f>
        <v>Lines 2 to 4</v>
      </c>
    </row>
    <row r="23" spans="1:8" x14ac:dyDescent="0.2">
      <c r="B23" s="1"/>
      <c r="C23" s="73"/>
      <c r="D23" s="7"/>
      <c r="E23" s="7"/>
      <c r="F23" s="7"/>
      <c r="G23" s="7"/>
    </row>
    <row r="24" spans="1:8" x14ac:dyDescent="0.2">
      <c r="A24" s="2">
        <f>A22+1</f>
        <v>12</v>
      </c>
      <c r="B24" s="1"/>
      <c r="C24" s="73" t="s">
        <v>1895</v>
      </c>
      <c r="D24" s="1407">
        <f>$B$8</f>
        <v>-8005917.1199839776</v>
      </c>
      <c r="E24" s="1407">
        <f>$B$8*$B$9</f>
        <v>-7513149.0628009997</v>
      </c>
      <c r="F24" s="1407">
        <f>$B$8*$B$10</f>
        <v>-492768.05718297884</v>
      </c>
      <c r="G24" s="97"/>
      <c r="H24" s="548" t="s">
        <v>586</v>
      </c>
    </row>
    <row r="25" spans="1:8" x14ac:dyDescent="0.2">
      <c r="A25" s="650"/>
      <c r="B25" s="1"/>
      <c r="C25" s="73"/>
      <c r="D25" s="97"/>
      <c r="E25" s="97"/>
      <c r="F25" s="97"/>
      <c r="G25" s="97"/>
      <c r="H25" s="548"/>
    </row>
    <row r="26" spans="1:8" x14ac:dyDescent="0.2">
      <c r="B26" s="1"/>
      <c r="C26" s="73" t="s">
        <v>1896</v>
      </c>
      <c r="D26" s="97"/>
      <c r="E26" s="97"/>
      <c r="F26" s="97"/>
      <c r="G26" s="97"/>
    </row>
    <row r="27" spans="1:8" x14ac:dyDescent="0.2">
      <c r="A27" s="2">
        <f>A24+1</f>
        <v>13</v>
      </c>
      <c r="B27" s="1"/>
      <c r="C27" s="73" t="s">
        <v>1897</v>
      </c>
      <c r="D27" s="1354">
        <f>D18+D22+D24</f>
        <v>776348553.77014124</v>
      </c>
      <c r="E27" s="1354">
        <f>E18+E22+E24</f>
        <v>726385963.10688734</v>
      </c>
      <c r="F27" s="1354">
        <f>F18+F22+F24</f>
        <v>49962590.663254008</v>
      </c>
      <c r="G27" s="7"/>
      <c r="H27" s="108" t="str">
        <f>"Sum of Lines "&amp;A18&amp;", "&amp;A22&amp;", and "&amp;A24&amp;""</f>
        <v>Sum of Lines 8, 11, and 12</v>
      </c>
    </row>
    <row r="28" spans="1:8" x14ac:dyDescent="0.2">
      <c r="E28" s="7"/>
    </row>
    <row r="29" spans="1:8" x14ac:dyDescent="0.2">
      <c r="B29" s="52" t="s">
        <v>258</v>
      </c>
    </row>
    <row r="30" spans="1:8" x14ac:dyDescent="0.2">
      <c r="B30" s="12" t="s">
        <v>1620</v>
      </c>
    </row>
    <row r="31" spans="1:8" x14ac:dyDescent="0.2">
      <c r="B31" s="548" t="s">
        <v>1914</v>
      </c>
    </row>
    <row r="32" spans="1:8" x14ac:dyDescent="0.2">
      <c r="B32" s="12" t="s">
        <v>1621</v>
      </c>
    </row>
    <row r="33" spans="2:6" x14ac:dyDescent="0.2">
      <c r="B33" s="550" t="s">
        <v>2121</v>
      </c>
      <c r="C33" s="14"/>
      <c r="D33" s="102" t="s">
        <v>2774</v>
      </c>
      <c r="E33" s="102"/>
      <c r="F33" s="14"/>
    </row>
    <row r="34" spans="2:6" x14ac:dyDescent="0.2">
      <c r="B34" s="12" t="str">
        <f>"3) Column 1 is from Line "&amp;A4&amp;"."</f>
        <v>3) Column 1 is from Line 1.</v>
      </c>
    </row>
    <row r="35" spans="2:6" x14ac:dyDescent="0.2">
      <c r="B35" s="13" t="str">
        <f>"Column 2 equals Column 1 * Line "&amp;A9&amp;"."</f>
        <v>Column 2 equals Column 1 * Line 6.</v>
      </c>
    </row>
    <row r="36" spans="2:6" x14ac:dyDescent="0.2">
      <c r="B36" s="13" t="str">
        <f>"Column 3 equals Column 1 * Line "&amp;A10&amp;"."</f>
        <v>Column 3 equals Column 1 * Line 7.</v>
      </c>
    </row>
    <row r="37" spans="2:6" x14ac:dyDescent="0.2">
      <c r="B37" s="14" t="str">
        <f>"4) From 24-CWIPTRR, Line "&amp;'24-CWIPTRR'!A145&amp;".  All High Voltage."</f>
        <v>4) From 24-CWIPTRR, Line 88.  All High Voltage.</v>
      </c>
    </row>
    <row r="38" spans="2:6" x14ac:dyDescent="0.2">
      <c r="B38" t="str">
        <f>"5) Line "&amp;A18&amp;" - Line "&amp;A19&amp;""</f>
        <v>5) Line 8 - Line 9</v>
      </c>
    </row>
    <row r="39" spans="2:6" x14ac:dyDescent="0.2">
      <c r="B39" s="12" t="str">
        <f>"6) Column 1 is from Line "&amp;A8&amp;"."</f>
        <v>6) Column 1 is from Line 5.</v>
      </c>
    </row>
    <row r="40" spans="2:6" x14ac:dyDescent="0.2">
      <c r="B40" s="13" t="str">
        <f>"Column 2 equals Column 1 * Line "&amp;A9&amp;"."</f>
        <v>Column 2 equals Column 1 * Line 6.</v>
      </c>
    </row>
    <row r="41" spans="2:6" x14ac:dyDescent="0.2">
      <c r="B41" s="13" t="str">
        <f>"Column 3 equals Column 1 * Line "&amp;A10&amp;"."</f>
        <v>Column 3 equals Column 1 * Line 7.</v>
      </c>
    </row>
  </sheetData>
  <phoneticPr fontId="12" type="noConversion"/>
  <pageMargins left="0.75" right="0.75" top="1" bottom="1" header="0.5" footer="0.5"/>
  <pageSetup scale="90" orientation="landscape" cellComments="asDisplayed" r:id="rId1"/>
  <headerFooter alignWithMargins="0">
    <oddHeader>&amp;CSchedule 29
Wholesale TRRs
&amp;RTO8 Annual Update (Revised)
Attachment  1</oddHeader>
    <oddFooter>&amp;R&amp;A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Layout" topLeftCell="B1" zoomScaleNormal="85" workbookViewId="0">
      <selection activeCell="S33" sqref="S33"/>
    </sheetView>
  </sheetViews>
  <sheetFormatPr defaultRowHeight="12.75" x14ac:dyDescent="0.2"/>
  <cols>
    <col min="1" max="2" width="4.7109375" customWidth="1"/>
    <col min="4" max="4" width="24.42578125" customWidth="1"/>
    <col min="5" max="5" width="17.7109375" customWidth="1"/>
    <col min="6" max="6" width="9.140625" style="16"/>
    <col min="7" max="7" width="10.140625" bestFit="1" customWidth="1"/>
  </cols>
  <sheetData>
    <row r="1" spans="1:9" ht="13.5" thickBot="1" x14ac:dyDescent="0.25">
      <c r="A1" s="1276" t="s">
        <v>1618</v>
      </c>
    </row>
    <row r="2" spans="1:9" x14ac:dyDescent="0.2">
      <c r="B2" s="1"/>
    </row>
    <row r="3" spans="1:9" x14ac:dyDescent="0.2">
      <c r="B3" s="12" t="s">
        <v>153</v>
      </c>
      <c r="E3" s="14"/>
      <c r="F3" s="120"/>
    </row>
    <row r="4" spans="1:9" x14ac:dyDescent="0.2">
      <c r="B4" s="12"/>
    </row>
    <row r="5" spans="1:9" x14ac:dyDescent="0.2">
      <c r="B5" s="13" t="s">
        <v>154</v>
      </c>
    </row>
    <row r="6" spans="1:9" x14ac:dyDescent="0.2">
      <c r="B6" s="13" t="s">
        <v>155</v>
      </c>
    </row>
    <row r="7" spans="1:9" x14ac:dyDescent="0.2">
      <c r="B7" s="13" t="s">
        <v>156</v>
      </c>
    </row>
    <row r="8" spans="1:9" x14ac:dyDescent="0.2">
      <c r="B8" s="13" t="s">
        <v>157</v>
      </c>
    </row>
    <row r="9" spans="1:9" x14ac:dyDescent="0.2">
      <c r="B9" s="13" t="s">
        <v>158</v>
      </c>
    </row>
    <row r="10" spans="1:9" x14ac:dyDescent="0.2">
      <c r="B10" s="12"/>
    </row>
    <row r="11" spans="1:9" x14ac:dyDescent="0.2">
      <c r="B11" s="12"/>
    </row>
    <row r="12" spans="1:9" x14ac:dyDescent="0.2">
      <c r="B12" s="1" t="s">
        <v>159</v>
      </c>
    </row>
    <row r="13" spans="1:9" x14ac:dyDescent="0.2">
      <c r="A13" s="3" t="s">
        <v>362</v>
      </c>
      <c r="G13" s="3" t="s">
        <v>200</v>
      </c>
    </row>
    <row r="14" spans="1:9" x14ac:dyDescent="0.2">
      <c r="A14" s="2">
        <v>1</v>
      </c>
      <c r="D14" s="99" t="s">
        <v>1591</v>
      </c>
      <c r="E14" s="1354">
        <f>'29-WholesaleTRRs'!F27</f>
        <v>49962590.663254008</v>
      </c>
      <c r="G14" s="46" t="str">
        <f>"29-WholesaleTRRs, Line "&amp;'29-WholesaleTRRs'!A27&amp;", C3"</f>
        <v>29-WholesaleTRRs, Line 13, C3</v>
      </c>
      <c r="H14" s="14"/>
      <c r="I14" s="14"/>
    </row>
    <row r="15" spans="1:9" x14ac:dyDescent="0.2">
      <c r="A15" s="2">
        <f>A14+1</f>
        <v>2</v>
      </c>
      <c r="D15" s="99" t="s">
        <v>1590</v>
      </c>
      <c r="E15" s="853">
        <f>'32-GrossLoad'!F7</f>
        <v>89894506</v>
      </c>
      <c r="F15" s="13" t="s">
        <v>314</v>
      </c>
      <c r="G15" s="46" t="str">
        <f>"32-Gross Load, Line "&amp;'32-GrossLoad'!A7&amp;""</f>
        <v>32-Gross Load, Line 3</v>
      </c>
      <c r="H15" s="14"/>
      <c r="I15" s="14"/>
    </row>
    <row r="16" spans="1:9" x14ac:dyDescent="0.2">
      <c r="A16" s="2">
        <f>A15+1</f>
        <v>3</v>
      </c>
      <c r="D16" s="99" t="s">
        <v>1592</v>
      </c>
      <c r="E16" s="1403">
        <f>E14/(E15*1000)</f>
        <v>5.5579137020068839E-4</v>
      </c>
      <c r="F16" s="16" t="s">
        <v>160</v>
      </c>
      <c r="G16" s="120" t="str">
        <f>"Line "&amp;A14&amp;" / (Line "&amp;A15&amp;" * 1000)"</f>
        <v>Line 1 / (Line 2 * 1000)</v>
      </c>
      <c r="H16" s="14"/>
      <c r="I16" s="14"/>
    </row>
    <row r="17" spans="1:9" x14ac:dyDescent="0.2">
      <c r="D17" s="36"/>
      <c r="E17" s="1404"/>
      <c r="G17" s="14"/>
      <c r="H17" s="14"/>
      <c r="I17" s="14"/>
    </row>
    <row r="18" spans="1:9" x14ac:dyDescent="0.2">
      <c r="B18" s="1" t="s">
        <v>161</v>
      </c>
      <c r="D18" s="36"/>
      <c r="E18" s="1404"/>
      <c r="G18" s="14"/>
      <c r="H18" s="14"/>
      <c r="I18" s="14"/>
    </row>
    <row r="19" spans="1:9" x14ac:dyDescent="0.2">
      <c r="D19" s="36"/>
      <c r="E19" s="1404"/>
      <c r="G19" s="131" t="s">
        <v>200</v>
      </c>
      <c r="H19" s="14"/>
      <c r="I19" s="14"/>
    </row>
    <row r="20" spans="1:9" x14ac:dyDescent="0.2">
      <c r="A20" s="2">
        <f>A16+1</f>
        <v>4</v>
      </c>
      <c r="D20" s="99" t="s">
        <v>1591</v>
      </c>
      <c r="E20" s="1354">
        <f>'29-WholesaleTRRs'!F27</f>
        <v>49962590.663254008</v>
      </c>
      <c r="G20" s="46" t="str">
        <f>"29-WholesaleTRRs, Line "&amp;'29-WholesaleTRRs'!A27&amp;", C3"</f>
        <v>29-WholesaleTRRs, Line 13, C3</v>
      </c>
      <c r="H20" s="14"/>
      <c r="I20" s="14"/>
    </row>
    <row r="21" spans="1:9" x14ac:dyDescent="0.2">
      <c r="A21" s="2">
        <f>A20+1</f>
        <v>5</v>
      </c>
      <c r="D21" s="99" t="s">
        <v>1590</v>
      </c>
      <c r="E21" s="853">
        <f>'32-GrossLoad'!F7</f>
        <v>89894506</v>
      </c>
      <c r="F21" s="13" t="s">
        <v>314</v>
      </c>
      <c r="G21" s="46" t="str">
        <f>"32-Gross Load, Line "&amp;'32-GrossLoad'!A7&amp;""</f>
        <v>32-Gross Load, Line 3</v>
      </c>
      <c r="H21" s="14"/>
      <c r="I21" s="14"/>
    </row>
    <row r="22" spans="1:9" x14ac:dyDescent="0.2">
      <c r="A22" s="2">
        <f>A21+1</f>
        <v>6</v>
      </c>
      <c r="D22" s="99" t="s">
        <v>1593</v>
      </c>
      <c r="E22" s="1403">
        <f>E20/(E21*1000)</f>
        <v>5.5579137020068839E-4</v>
      </c>
      <c r="F22" s="16" t="s">
        <v>160</v>
      </c>
      <c r="G22" s="120" t="str">
        <f>"Line "&amp;A20&amp;" / (Line "&amp;A21&amp;" * 1000)"</f>
        <v>Line 4 / (Line 5 * 1000)</v>
      </c>
      <c r="H22" s="14"/>
      <c r="I22" s="14"/>
    </row>
    <row r="23" spans="1:9" x14ac:dyDescent="0.2">
      <c r="D23" s="36"/>
      <c r="E23" s="61"/>
      <c r="G23" s="14"/>
      <c r="H23" s="14"/>
      <c r="I23" s="14"/>
    </row>
    <row r="24" spans="1:9" x14ac:dyDescent="0.2">
      <c r="E24" s="61"/>
      <c r="G24" s="14"/>
      <c r="H24" s="14"/>
      <c r="I24" s="14"/>
    </row>
    <row r="25" spans="1:9" x14ac:dyDescent="0.2">
      <c r="B25" s="1" t="s">
        <v>162</v>
      </c>
      <c r="E25" s="61"/>
      <c r="G25" s="14"/>
      <c r="H25" s="14"/>
      <c r="I25" s="14"/>
    </row>
    <row r="26" spans="1:9" x14ac:dyDescent="0.2">
      <c r="C26" s="53" t="s">
        <v>163</v>
      </c>
      <c r="E26" s="61"/>
      <c r="G26" s="14"/>
      <c r="H26" s="14"/>
      <c r="I26" s="14"/>
    </row>
    <row r="27" spans="1:9" x14ac:dyDescent="0.2">
      <c r="E27" s="61"/>
      <c r="G27" s="131" t="s">
        <v>200</v>
      </c>
      <c r="H27" s="14"/>
      <c r="I27" s="14"/>
    </row>
    <row r="28" spans="1:9" x14ac:dyDescent="0.2">
      <c r="A28" s="2">
        <f>A22+1</f>
        <v>7</v>
      </c>
      <c r="D28" s="36" t="s">
        <v>164</v>
      </c>
      <c r="E28" s="1354">
        <f>'29-WholesaleTRRs'!E27</f>
        <v>726385963.10688734</v>
      </c>
      <c r="G28" s="46" t="str">
        <f>"29-WholesaleTRRs, Line "&amp;'29-WholesaleTRRs'!A27&amp;", C2"</f>
        <v>29-WholesaleTRRs, Line 13, C2</v>
      </c>
      <c r="H28" s="14"/>
      <c r="I28" s="14"/>
    </row>
    <row r="29" spans="1:9" x14ac:dyDescent="0.2">
      <c r="A29" s="2">
        <f>A28+1</f>
        <v>8</v>
      </c>
      <c r="D29" s="99" t="s">
        <v>1590</v>
      </c>
      <c r="E29" s="853">
        <f>'32-GrossLoad'!F7</f>
        <v>89894506</v>
      </c>
      <c r="F29" s="13" t="s">
        <v>314</v>
      </c>
      <c r="G29" s="46" t="str">
        <f>"32-Gross Load, Line "&amp;'32-GrossLoad'!A7&amp;""</f>
        <v>32-Gross Load, Line 3</v>
      </c>
      <c r="H29" s="14"/>
      <c r="I29" s="14"/>
    </row>
    <row r="30" spans="1:9" x14ac:dyDescent="0.2">
      <c r="A30" s="2">
        <f>A29+1</f>
        <v>9</v>
      </c>
      <c r="D30" s="99" t="s">
        <v>1594</v>
      </c>
      <c r="E30" s="1405">
        <f>E28/(E29*1000)</f>
        <v>8.0804266626359495E-3</v>
      </c>
      <c r="F30" s="16" t="s">
        <v>160</v>
      </c>
      <c r="G30" s="120" t="str">
        <f>"Line "&amp;A28&amp;" / (Line "&amp;A29&amp;" * 1000)"</f>
        <v>Line 7 / (Line 8 * 1000)</v>
      </c>
      <c r="H30" s="14"/>
      <c r="I30" s="14"/>
    </row>
    <row r="31" spans="1:9" x14ac:dyDescent="0.2">
      <c r="E31" s="61"/>
      <c r="G31" s="14"/>
      <c r="H31" s="14"/>
      <c r="I31" s="14"/>
    </row>
    <row r="32" spans="1:9" x14ac:dyDescent="0.2">
      <c r="B32" s="1" t="s">
        <v>165</v>
      </c>
      <c r="E32" s="61"/>
      <c r="G32" s="14"/>
      <c r="H32" s="14"/>
      <c r="I32" s="14"/>
    </row>
    <row r="33" spans="1:9" x14ac:dyDescent="0.2">
      <c r="E33" s="61"/>
      <c r="G33" s="131" t="s">
        <v>200</v>
      </c>
      <c r="H33" s="14"/>
      <c r="I33" s="14"/>
    </row>
    <row r="34" spans="1:9" x14ac:dyDescent="0.2">
      <c r="A34" s="2">
        <f>A30+1</f>
        <v>10</v>
      </c>
      <c r="D34" s="99" t="s">
        <v>1595</v>
      </c>
      <c r="E34" s="1354">
        <f>'29-WholesaleTRRs'!E27</f>
        <v>726385963.10688734</v>
      </c>
      <c r="G34" s="46" t="str">
        <f>"29-WholesaleTRRs, Line "&amp;'29-WholesaleTRRs'!A27&amp;", C2"</f>
        <v>29-WholesaleTRRs, Line 13, C2</v>
      </c>
      <c r="H34" s="14"/>
      <c r="I34" s="14"/>
    </row>
    <row r="35" spans="1:9" x14ac:dyDescent="0.2">
      <c r="A35" s="2">
        <f>A34+1</f>
        <v>11</v>
      </c>
      <c r="D35" s="99" t="s">
        <v>1596</v>
      </c>
      <c r="E35" s="853">
        <f>'32-GrossLoad'!F10</f>
        <v>179763</v>
      </c>
      <c r="F35" s="16" t="s">
        <v>166</v>
      </c>
      <c r="G35" s="46" t="str">
        <f>"32-Gross Load, Line "&amp;'32-GrossLoad'!A10&amp;""</f>
        <v>32-Gross Load, Line 4</v>
      </c>
      <c r="H35" s="14"/>
      <c r="I35" s="14"/>
    </row>
    <row r="36" spans="1:9" x14ac:dyDescent="0.2">
      <c r="A36" s="2">
        <f>A35+1</f>
        <v>12</v>
      </c>
      <c r="D36" s="99" t="s">
        <v>1597</v>
      </c>
      <c r="E36" s="1404">
        <f>ROUND((E34/(E35*1000)),2)</f>
        <v>4.04</v>
      </c>
      <c r="F36" s="13" t="s">
        <v>359</v>
      </c>
      <c r="G36" s="120" t="str">
        <f>"Line "&amp;A34&amp;" / (Line "&amp;A35&amp;" * 1000)"</f>
        <v>Line 10 / (Line 11 * 1000)</v>
      </c>
      <c r="H36" s="14"/>
      <c r="I36" s="14"/>
    </row>
    <row r="37" spans="1:9" x14ac:dyDescent="0.2">
      <c r="E37" s="61"/>
      <c r="G37" s="14"/>
      <c r="H37" s="14"/>
      <c r="I37" s="14"/>
    </row>
    <row r="38" spans="1:9" x14ac:dyDescent="0.2">
      <c r="B38" s="1" t="s">
        <v>167</v>
      </c>
      <c r="E38" s="61"/>
      <c r="G38" s="14"/>
      <c r="H38" s="14"/>
      <c r="I38" s="14"/>
    </row>
    <row r="39" spans="1:9" x14ac:dyDescent="0.2">
      <c r="E39" s="61"/>
      <c r="G39" s="131" t="s">
        <v>200</v>
      </c>
      <c r="H39" s="14"/>
      <c r="I39" s="14"/>
    </row>
    <row r="40" spans="1:9" x14ac:dyDescent="0.2">
      <c r="A40" s="2">
        <f>A36+1</f>
        <v>13</v>
      </c>
      <c r="D40" s="99" t="s">
        <v>1598</v>
      </c>
      <c r="E40" s="1354">
        <f>'29-WholesaleTRRs'!F27</f>
        <v>49962590.663254008</v>
      </c>
      <c r="G40" s="46" t="str">
        <f>"29-WholesaleTRRs, Line "&amp;'29-WholesaleTRRs'!A27&amp;", C3"</f>
        <v>29-WholesaleTRRs, Line 13, C3</v>
      </c>
      <c r="H40" s="14"/>
      <c r="I40" s="14"/>
    </row>
    <row r="41" spans="1:9" x14ac:dyDescent="0.2">
      <c r="A41" s="2">
        <f>A40+1</f>
        <v>14</v>
      </c>
      <c r="D41" s="99" t="s">
        <v>1596</v>
      </c>
      <c r="E41" s="853">
        <f>'32-GrossLoad'!F10</f>
        <v>179763</v>
      </c>
      <c r="F41" s="16" t="s">
        <v>166</v>
      </c>
      <c r="G41" s="46" t="str">
        <f>"32-Gross Load, Line "&amp;'32-GrossLoad'!A10&amp;""</f>
        <v>32-Gross Load, Line 4</v>
      </c>
      <c r="H41" s="14"/>
      <c r="I41" s="14"/>
    </row>
    <row r="42" spans="1:9" x14ac:dyDescent="0.2">
      <c r="A42" s="2">
        <f>A41+1</f>
        <v>15</v>
      </c>
      <c r="D42" s="99" t="s">
        <v>1599</v>
      </c>
      <c r="E42" s="1406">
        <f>ROUND((E40/(E41*1000)),2)</f>
        <v>0.28000000000000003</v>
      </c>
      <c r="F42" s="13" t="s">
        <v>359</v>
      </c>
      <c r="G42" s="120" t="str">
        <f>"Line "&amp;A40&amp;" / (Line "&amp;A41&amp;" * 1000)"</f>
        <v>Line 13 / (Line 14 * 1000)</v>
      </c>
      <c r="H42" s="14"/>
      <c r="I42" s="14"/>
    </row>
    <row r="43" spans="1:9" x14ac:dyDescent="0.2">
      <c r="G43" s="14"/>
      <c r="H43" s="14"/>
      <c r="I43" s="14"/>
    </row>
    <row r="45" spans="1:9" x14ac:dyDescent="0.2">
      <c r="B45" s="52" t="s">
        <v>258</v>
      </c>
    </row>
    <row r="46" spans="1:9" x14ac:dyDescent="0.2">
      <c r="B46" s="12" t="s">
        <v>1619</v>
      </c>
    </row>
    <row r="47" spans="1:9" x14ac:dyDescent="0.2">
      <c r="B47" s="548" t="s">
        <v>2122</v>
      </c>
      <c r="D47" s="14"/>
    </row>
  </sheetData>
  <phoneticPr fontId="12" type="noConversion"/>
  <pageMargins left="0.75" right="0.75" top="1" bottom="1" header="0.5" footer="0.5"/>
  <pageSetup scale="80" orientation="portrait" cellComments="asDisplayed" r:id="rId1"/>
  <headerFooter alignWithMargins="0">
    <oddHeader>&amp;CSchedule 30
Wholesale Rates
&amp;RTO8 Annual Update (Revised)
Attachment  1</oddHeader>
    <oddFooter>&amp;R&amp;A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Layout" zoomScaleNormal="90" workbookViewId="0"/>
  </sheetViews>
  <sheetFormatPr defaultRowHeight="12.75" x14ac:dyDescent="0.2"/>
  <cols>
    <col min="1" max="1" width="4.7109375" customWidth="1"/>
    <col min="2" max="2" width="38" style="148" customWidth="1"/>
    <col min="3" max="3" width="16.28515625" style="148" customWidth="1"/>
    <col min="4" max="4" width="14.7109375" style="148" customWidth="1"/>
    <col min="5" max="5" width="16" style="148" customWidth="1"/>
    <col min="6" max="6" width="3.42578125" style="148" bestFit="1" customWidth="1"/>
    <col min="7" max="8" width="14.7109375" style="148" customWidth="1"/>
    <col min="9" max="9" width="17.28515625" style="148" customWidth="1"/>
    <col min="10" max="11" width="14.7109375" style="148" customWidth="1"/>
  </cols>
  <sheetData>
    <row r="1" spans="1:11" x14ac:dyDescent="0.2">
      <c r="A1" s="271" t="s">
        <v>507</v>
      </c>
      <c r="B1" s="17"/>
      <c r="C1" s="17"/>
      <c r="D1" s="17"/>
      <c r="E1" s="17"/>
      <c r="F1" s="17"/>
      <c r="G1" s="17"/>
      <c r="H1" s="17"/>
      <c r="I1" s="17"/>
      <c r="J1" s="17"/>
      <c r="K1" s="17"/>
    </row>
    <row r="2" spans="1:11" x14ac:dyDescent="0.2">
      <c r="A2" s="17" t="s">
        <v>518</v>
      </c>
      <c r="B2" s="17"/>
      <c r="C2" s="17"/>
      <c r="D2" s="17"/>
      <c r="E2" s="17"/>
      <c r="F2" s="17"/>
      <c r="G2" s="17"/>
      <c r="H2" s="17"/>
      <c r="I2" s="272" t="s">
        <v>499</v>
      </c>
      <c r="J2" s="272"/>
      <c r="K2" s="17"/>
    </row>
    <row r="3" spans="1:11" x14ac:dyDescent="0.2">
      <c r="A3" s="12"/>
      <c r="B3" s="17"/>
      <c r="C3" s="17"/>
      <c r="D3" s="17"/>
      <c r="E3" s="17"/>
      <c r="F3" s="17"/>
      <c r="G3" s="17"/>
      <c r="H3" s="17"/>
      <c r="I3" s="17"/>
      <c r="J3" s="17"/>
      <c r="K3" s="17"/>
    </row>
    <row r="4" spans="1:11" x14ac:dyDescent="0.2">
      <c r="A4" s="12"/>
      <c r="B4" s="17"/>
      <c r="C4" s="17"/>
      <c r="D4" s="17"/>
      <c r="E4" s="17"/>
      <c r="F4" s="17"/>
      <c r="G4" s="559" t="s">
        <v>2052</v>
      </c>
      <c r="H4" s="559"/>
      <c r="I4" s="559"/>
      <c r="J4" s="559"/>
      <c r="K4" s="17"/>
    </row>
    <row r="5" spans="1:11" x14ac:dyDescent="0.2">
      <c r="A5" s="12"/>
      <c r="B5" s="271" t="s">
        <v>530</v>
      </c>
      <c r="C5" s="17"/>
      <c r="D5" s="17"/>
      <c r="E5" s="17"/>
      <c r="F5" s="17"/>
      <c r="G5" s="559" t="s">
        <v>2053</v>
      </c>
      <c r="H5" s="559"/>
      <c r="I5" s="559"/>
      <c r="J5" s="559"/>
      <c r="K5" s="17"/>
    </row>
    <row r="6" spans="1:11" x14ac:dyDescent="0.2">
      <c r="A6" s="12"/>
      <c r="B6" s="17"/>
      <c r="C6" s="26" t="s">
        <v>509</v>
      </c>
      <c r="D6" s="26"/>
      <c r="E6" s="26"/>
      <c r="F6" s="26"/>
      <c r="G6" s="26"/>
      <c r="H6" s="26"/>
      <c r="I6" s="26" t="s">
        <v>15</v>
      </c>
      <c r="J6" s="26" t="s">
        <v>16</v>
      </c>
      <c r="K6" s="26" t="s">
        <v>87</v>
      </c>
    </row>
    <row r="7" spans="1:11" x14ac:dyDescent="0.2">
      <c r="A7" s="12"/>
      <c r="B7" s="271" t="s">
        <v>514</v>
      </c>
      <c r="C7" s="31" t="s">
        <v>510</v>
      </c>
      <c r="D7" s="31" t="s">
        <v>471</v>
      </c>
      <c r="E7" s="31" t="s">
        <v>504</v>
      </c>
      <c r="F7" s="31"/>
      <c r="G7" s="31" t="s">
        <v>511</v>
      </c>
      <c r="H7" s="31" t="s">
        <v>512</v>
      </c>
      <c r="I7" s="31" t="s">
        <v>504</v>
      </c>
      <c r="J7" s="31" t="s">
        <v>504</v>
      </c>
      <c r="K7" s="31" t="s">
        <v>513</v>
      </c>
    </row>
    <row r="8" spans="1:11" x14ac:dyDescent="0.2">
      <c r="A8" s="3" t="s">
        <v>362</v>
      </c>
      <c r="B8" s="271"/>
      <c r="C8" s="31"/>
      <c r="D8" s="31"/>
      <c r="E8" s="31"/>
      <c r="F8" s="31"/>
      <c r="G8" s="31"/>
      <c r="H8" s="31"/>
      <c r="I8" s="31"/>
      <c r="J8" s="31"/>
      <c r="K8" s="31"/>
    </row>
    <row r="9" spans="1:11" x14ac:dyDescent="0.2">
      <c r="A9" s="2">
        <v>1</v>
      </c>
      <c r="B9" s="273" t="s">
        <v>517</v>
      </c>
      <c r="C9" s="274"/>
      <c r="D9" s="275"/>
      <c r="E9" s="275"/>
      <c r="F9" s="276"/>
      <c r="G9" s="274"/>
      <c r="H9" s="277"/>
      <c r="I9" s="277"/>
      <c r="J9" s="277"/>
      <c r="K9" s="277"/>
    </row>
    <row r="10" spans="1:11" x14ac:dyDescent="0.2">
      <c r="A10" s="2">
        <f>A9+1</f>
        <v>2</v>
      </c>
      <c r="B10" s="278" t="s">
        <v>1346</v>
      </c>
      <c r="C10" s="279">
        <f>SUM(D10:E10)</f>
        <v>1437640029.2758226</v>
      </c>
      <c r="D10" s="280">
        <f>G10+H10</f>
        <v>149150805.85023594</v>
      </c>
      <c r="E10" s="280">
        <f>I10+J10</f>
        <v>1288489223.4255867</v>
      </c>
      <c r="F10" s="281"/>
      <c r="G10" s="891">
        <v>149150805.85023594</v>
      </c>
      <c r="H10" s="891">
        <v>0</v>
      </c>
      <c r="I10" s="891">
        <v>1288489223.4255867</v>
      </c>
      <c r="J10" s="891">
        <v>0</v>
      </c>
      <c r="K10" s="891">
        <v>0</v>
      </c>
    </row>
    <row r="11" spans="1:11" x14ac:dyDescent="0.2">
      <c r="A11" s="2">
        <f t="shared" ref="A11:A47" si="0">A10+1</f>
        <v>3</v>
      </c>
      <c r="B11" s="278" t="s">
        <v>508</v>
      </c>
      <c r="C11" s="282">
        <f>SUM(D11:E11)</f>
        <v>134758149.62183797</v>
      </c>
      <c r="D11" s="283">
        <f>G11+H11</f>
        <v>8065378.3370672697</v>
      </c>
      <c r="E11" s="283">
        <f>I11+J11</f>
        <v>126692771.2847707</v>
      </c>
      <c r="F11" s="284"/>
      <c r="G11" s="285">
        <v>0</v>
      </c>
      <c r="H11" s="285">
        <v>8065378.3370672697</v>
      </c>
      <c r="I11" s="285">
        <v>0</v>
      </c>
      <c r="J11" s="285">
        <v>126692771.2847707</v>
      </c>
      <c r="K11" s="285">
        <v>0</v>
      </c>
    </row>
    <row r="12" spans="1:11" x14ac:dyDescent="0.2">
      <c r="A12" s="2">
        <f t="shared" si="0"/>
        <v>4</v>
      </c>
      <c r="B12" s="1222" t="s">
        <v>2051</v>
      </c>
      <c r="C12" s="286">
        <f>SUM(C10:C11)</f>
        <v>1572398178.8976607</v>
      </c>
      <c r="D12" s="286">
        <f t="shared" ref="D12:K12" si="1">SUM(D10:D11)</f>
        <v>157216184.18730322</v>
      </c>
      <c r="E12" s="286">
        <f t="shared" si="1"/>
        <v>1415181994.7103574</v>
      </c>
      <c r="F12" s="286"/>
      <c r="G12" s="286">
        <f t="shared" si="1"/>
        <v>149150805.85023594</v>
      </c>
      <c r="H12" s="286">
        <f t="shared" si="1"/>
        <v>8065378.3370672697</v>
      </c>
      <c r="I12" s="286">
        <f t="shared" si="1"/>
        <v>1288489223.4255867</v>
      </c>
      <c r="J12" s="286">
        <f t="shared" si="1"/>
        <v>126692771.2847707</v>
      </c>
      <c r="K12" s="286">
        <f t="shared" si="1"/>
        <v>0</v>
      </c>
    </row>
    <row r="13" spans="1:11" x14ac:dyDescent="0.2">
      <c r="A13" s="2">
        <f t="shared" si="0"/>
        <v>5</v>
      </c>
      <c r="B13" s="287"/>
      <c r="C13" s="288"/>
      <c r="D13" s="288"/>
      <c r="E13" s="288"/>
      <c r="F13" s="289"/>
      <c r="G13" s="288"/>
      <c r="H13" s="290"/>
      <c r="I13" s="291"/>
      <c r="J13" s="290"/>
      <c r="K13" s="290"/>
    </row>
    <row r="14" spans="1:11" x14ac:dyDescent="0.2">
      <c r="A14" s="2">
        <f t="shared" si="0"/>
        <v>6</v>
      </c>
      <c r="B14" s="292" t="s">
        <v>505</v>
      </c>
      <c r="C14" s="288"/>
      <c r="D14" s="288"/>
      <c r="E14" s="288"/>
      <c r="F14" s="289"/>
      <c r="G14" s="288"/>
      <c r="H14" s="290"/>
      <c r="I14" s="291"/>
      <c r="J14" s="290"/>
      <c r="K14" s="290"/>
    </row>
    <row r="15" spans="1:11" x14ac:dyDescent="0.2">
      <c r="A15" s="2">
        <f t="shared" si="0"/>
        <v>7</v>
      </c>
      <c r="B15" s="293" t="s">
        <v>516</v>
      </c>
      <c r="C15" s="280">
        <f>SUM(D15:E15)</f>
        <v>1884460141.5503004</v>
      </c>
      <c r="D15" s="280">
        <f>G15+H15</f>
        <v>27992748.922279272</v>
      </c>
      <c r="E15" s="280">
        <f>I15+J15</f>
        <v>1856467392.628021</v>
      </c>
      <c r="F15" s="294"/>
      <c r="G15" s="892">
        <v>27992748.922279272</v>
      </c>
      <c r="H15" s="893">
        <v>0</v>
      </c>
      <c r="I15" s="892">
        <v>1856467392.628021</v>
      </c>
      <c r="J15" s="893">
        <v>0</v>
      </c>
      <c r="K15" s="893">
        <v>0</v>
      </c>
    </row>
    <row r="16" spans="1:11" x14ac:dyDescent="0.2">
      <c r="A16" s="2">
        <f t="shared" si="0"/>
        <v>8</v>
      </c>
      <c r="B16" s="1112" t="s">
        <v>2940</v>
      </c>
      <c r="C16" s="288">
        <f>SUM(D16:E16)</f>
        <v>389333979.97578645</v>
      </c>
      <c r="D16" s="280">
        <f>G16+H16</f>
        <v>195191.38989429281</v>
      </c>
      <c r="E16" s="280">
        <f>I16+J16+K16</f>
        <v>389138788.58589214</v>
      </c>
      <c r="F16" s="289"/>
      <c r="G16" s="893">
        <v>138250.05048965124</v>
      </c>
      <c r="H16" s="893">
        <v>56941.339404641549</v>
      </c>
      <c r="I16" s="893">
        <v>266846255.97079235</v>
      </c>
      <c r="J16" s="893">
        <v>98683975.260239318</v>
      </c>
      <c r="K16" s="893">
        <v>23608557.354860481</v>
      </c>
    </row>
    <row r="17" spans="1:11" ht="15" x14ac:dyDescent="0.35">
      <c r="A17" s="2">
        <f t="shared" si="0"/>
        <v>9</v>
      </c>
      <c r="B17" s="293" t="s">
        <v>515</v>
      </c>
      <c r="C17" s="295">
        <f>SUM(D17:E17)</f>
        <v>89224078.584813699</v>
      </c>
      <c r="D17" s="283">
        <f>G17+H17</f>
        <v>640219.28114107158</v>
      </c>
      <c r="E17" s="296">
        <f>I17+J17</f>
        <v>88583859.303672627</v>
      </c>
      <c r="F17" s="297"/>
      <c r="G17" s="298">
        <v>0</v>
      </c>
      <c r="H17" s="894">
        <v>640219.28114107158</v>
      </c>
      <c r="I17" s="298">
        <v>0</v>
      </c>
      <c r="J17" s="894">
        <v>88583859.303672627</v>
      </c>
      <c r="K17" s="298">
        <v>0</v>
      </c>
    </row>
    <row r="18" spans="1:11" x14ac:dyDescent="0.2">
      <c r="A18" s="2">
        <f t="shared" si="0"/>
        <v>10</v>
      </c>
      <c r="B18" s="1223" t="s">
        <v>2258</v>
      </c>
      <c r="C18" s="280">
        <f>SUM(C15:C17)</f>
        <v>2363018200.1109004</v>
      </c>
      <c r="D18" s="280">
        <f>SUM(D15:D17)</f>
        <v>28828159.593314636</v>
      </c>
      <c r="E18" s="280">
        <f>SUM(E15:E17)</f>
        <v>2334190040.5175858</v>
      </c>
      <c r="F18" s="299"/>
      <c r="G18" s="280">
        <f>SUM(G15:G17)</f>
        <v>28130998.972768925</v>
      </c>
      <c r="H18" s="280">
        <f>SUM(H15:H17)</f>
        <v>697160.62054571311</v>
      </c>
      <c r="I18" s="280">
        <f>SUM(I15:I17)</f>
        <v>2123313648.5988133</v>
      </c>
      <c r="J18" s="280">
        <f>SUM(J15:J17)</f>
        <v>187267834.56391194</v>
      </c>
      <c r="K18" s="280">
        <f>SUM(K15:K17)</f>
        <v>23608557.354860481</v>
      </c>
    </row>
    <row r="19" spans="1:11" x14ac:dyDescent="0.2">
      <c r="A19" s="2">
        <f t="shared" si="0"/>
        <v>11</v>
      </c>
      <c r="B19" s="287"/>
      <c r="C19" s="1224"/>
      <c r="D19" s="1224"/>
      <c r="E19" s="1224"/>
      <c r="F19" s="301"/>
      <c r="G19" s="300"/>
      <c r="H19" s="300"/>
      <c r="I19" s="300"/>
      <c r="J19" s="300"/>
      <c r="K19" s="300"/>
    </row>
    <row r="20" spans="1:11" x14ac:dyDescent="0.2">
      <c r="A20" s="2">
        <f t="shared" si="0"/>
        <v>12</v>
      </c>
      <c r="B20" s="1223" t="s">
        <v>506</v>
      </c>
      <c r="C20" s="1225">
        <f>C12+C18</f>
        <v>3935416379.0085611</v>
      </c>
      <c r="D20" s="1225">
        <f t="shared" ref="D20:K20" si="2">D12+D18</f>
        <v>186044343.78061786</v>
      </c>
      <c r="E20" s="1225">
        <f>E12+E18</f>
        <v>3749372035.2279434</v>
      </c>
      <c r="F20" s="302"/>
      <c r="G20" s="302">
        <f t="shared" si="2"/>
        <v>177281804.82300487</v>
      </c>
      <c r="H20" s="302">
        <f t="shared" si="2"/>
        <v>8762538.957612982</v>
      </c>
      <c r="I20" s="302">
        <f t="shared" si="2"/>
        <v>3411802872.0243998</v>
      </c>
      <c r="J20" s="302">
        <f t="shared" si="2"/>
        <v>313960605.84868264</v>
      </c>
      <c r="K20" s="302">
        <f t="shared" si="2"/>
        <v>23608557.354860481</v>
      </c>
    </row>
    <row r="21" spans="1:11" x14ac:dyDescent="0.2">
      <c r="A21" s="2">
        <f t="shared" si="0"/>
        <v>13</v>
      </c>
      <c r="B21" s="17"/>
      <c r="C21" s="303"/>
      <c r="D21" s="304"/>
      <c r="E21" s="303"/>
      <c r="F21" s="17"/>
      <c r="G21" s="303"/>
      <c r="H21" s="303"/>
      <c r="I21" s="303"/>
      <c r="J21" s="303"/>
      <c r="K21" s="303"/>
    </row>
    <row r="22" spans="1:11" x14ac:dyDescent="0.2">
      <c r="A22" s="2">
        <f t="shared" si="0"/>
        <v>14</v>
      </c>
      <c r="B22" s="17"/>
      <c r="C22" s="303"/>
      <c r="D22" s="304"/>
      <c r="E22" s="303"/>
      <c r="F22" s="17"/>
      <c r="G22" s="303"/>
      <c r="H22" s="303"/>
      <c r="I22" s="303"/>
      <c r="J22" s="303"/>
      <c r="K22" s="303"/>
    </row>
    <row r="23" spans="1:11" x14ac:dyDescent="0.2">
      <c r="A23" s="2">
        <f t="shared" si="0"/>
        <v>15</v>
      </c>
      <c r="B23" s="561" t="s">
        <v>2947</v>
      </c>
      <c r="C23" s="303"/>
      <c r="D23" s="304"/>
      <c r="E23" s="303"/>
      <c r="F23" s="17"/>
      <c r="G23" s="303"/>
      <c r="H23" s="303"/>
      <c r="I23" s="303"/>
      <c r="J23" s="303"/>
      <c r="K23" s="303"/>
    </row>
    <row r="24" spans="1:11" x14ac:dyDescent="0.2">
      <c r="A24" s="2">
        <f t="shared" si="0"/>
        <v>16</v>
      </c>
      <c r="B24" s="17"/>
      <c r="C24" s="305" t="s">
        <v>520</v>
      </c>
      <c r="D24" s="26" t="s">
        <v>521</v>
      </c>
      <c r="E24" s="26"/>
      <c r="F24" s="17"/>
      <c r="G24" s="17"/>
      <c r="H24" s="17"/>
      <c r="I24" s="17"/>
      <c r="J24" s="17"/>
      <c r="K24" s="17"/>
    </row>
    <row r="25" spans="1:11" x14ac:dyDescent="0.2">
      <c r="A25" s="2">
        <f t="shared" si="0"/>
        <v>17</v>
      </c>
      <c r="B25" s="17" t="s">
        <v>361</v>
      </c>
      <c r="C25" s="31" t="s">
        <v>519</v>
      </c>
      <c r="D25" s="31" t="s">
        <v>519</v>
      </c>
      <c r="E25" s="31" t="s">
        <v>217</v>
      </c>
      <c r="F25" s="17"/>
      <c r="G25" s="306" t="s">
        <v>258</v>
      </c>
      <c r="H25" s="17"/>
      <c r="I25" s="17"/>
      <c r="J25" s="17"/>
      <c r="K25" s="17"/>
    </row>
    <row r="26" spans="1:11" x14ac:dyDescent="0.2">
      <c r="A26" s="2">
        <f t="shared" si="0"/>
        <v>18</v>
      </c>
      <c r="B26" s="82" t="s">
        <v>471</v>
      </c>
      <c r="C26" s="302">
        <f>G20</f>
        <v>177281804.82300487</v>
      </c>
      <c r="D26" s="302">
        <f>H20</f>
        <v>8762538.957612982</v>
      </c>
      <c r="E26" s="307">
        <f>SUM(C26:D26)</f>
        <v>186044343.78061786</v>
      </c>
      <c r="F26" s="17"/>
      <c r="G26" s="17" t="s">
        <v>525</v>
      </c>
      <c r="H26" s="17"/>
      <c r="I26" s="17"/>
      <c r="J26" s="17"/>
      <c r="K26" s="17"/>
    </row>
    <row r="27" spans="1:11" x14ac:dyDescent="0.2">
      <c r="A27" s="2">
        <f t="shared" si="0"/>
        <v>19</v>
      </c>
      <c r="B27" s="82" t="s">
        <v>504</v>
      </c>
      <c r="C27" s="302">
        <f>I20</f>
        <v>3411802872.0243998</v>
      </c>
      <c r="D27" s="302">
        <f>J20</f>
        <v>313960605.84868264</v>
      </c>
      <c r="E27" s="307">
        <f>SUM(C27:D27)</f>
        <v>3725763477.8730822</v>
      </c>
      <c r="F27" s="17"/>
      <c r="G27" s="17" t="s">
        <v>525</v>
      </c>
      <c r="H27" s="17"/>
      <c r="I27" s="17"/>
      <c r="J27" s="17"/>
      <c r="K27" s="17"/>
    </row>
    <row r="28" spans="1:11" x14ac:dyDescent="0.2">
      <c r="A28" s="2">
        <f t="shared" si="0"/>
        <v>20</v>
      </c>
      <c r="B28" s="32" t="s">
        <v>523</v>
      </c>
      <c r="C28" s="302">
        <f>SUM(C26:C27)</f>
        <v>3589084676.8474045</v>
      </c>
      <c r="D28" s="302">
        <f>SUM(D26:D27)</f>
        <v>322723144.80629563</v>
      </c>
      <c r="E28" s="302">
        <f>SUM(C28:D28)</f>
        <v>3911807821.6536999</v>
      </c>
      <c r="F28" s="17"/>
      <c r="G28" s="17" t="s">
        <v>526</v>
      </c>
      <c r="H28" s="17"/>
      <c r="I28" s="17"/>
      <c r="J28" s="17"/>
      <c r="K28" s="17"/>
    </row>
    <row r="29" spans="1:11" x14ac:dyDescent="0.2">
      <c r="A29" s="117">
        <f t="shared" si="0"/>
        <v>21</v>
      </c>
      <c r="B29" s="308" t="s">
        <v>522</v>
      </c>
      <c r="C29" s="309">
        <f>C28/E28</f>
        <v>0.91750025575901994</v>
      </c>
      <c r="D29" s="309">
        <f>D28/E28</f>
        <v>8.2499744240980069E-2</v>
      </c>
      <c r="E29" s="310"/>
      <c r="F29" s="1226"/>
      <c r="G29" s="1227" t="s">
        <v>527</v>
      </c>
      <c r="H29" s="287"/>
      <c r="I29" s="287"/>
      <c r="J29" s="287"/>
      <c r="K29" s="1226"/>
    </row>
    <row r="30" spans="1:11" x14ac:dyDescent="0.2">
      <c r="A30" s="117">
        <f t="shared" si="0"/>
        <v>22</v>
      </c>
      <c r="B30" s="311"/>
      <c r="C30" s="312"/>
      <c r="D30" s="312"/>
      <c r="E30" s="312"/>
      <c r="F30" s="311"/>
      <c r="G30" s="311"/>
      <c r="H30" s="311"/>
      <c r="I30" s="311"/>
      <c r="J30" s="311"/>
      <c r="K30" s="311"/>
    </row>
    <row r="31" spans="1:11" x14ac:dyDescent="0.2">
      <c r="A31" s="117">
        <f t="shared" si="0"/>
        <v>23</v>
      </c>
      <c r="B31" s="287" t="s">
        <v>524</v>
      </c>
      <c r="C31" s="1228">
        <f>K20*C29</f>
        <v>21660857.411185984</v>
      </c>
      <c r="D31" s="1228">
        <f>K20*D29</f>
        <v>1947699.9436744987</v>
      </c>
      <c r="E31" s="1228">
        <f>K20</f>
        <v>23608557.354860481</v>
      </c>
      <c r="F31" s="287"/>
      <c r="G31" s="559" t="str">
        <f>"Straddling Transformers split by Gross Plant Percentages on Line "&amp;A29&amp;""</f>
        <v>Straddling Transformers split by Gross Plant Percentages on Line 21</v>
      </c>
      <c r="H31" s="287"/>
      <c r="I31" s="287"/>
      <c r="J31" s="287"/>
      <c r="K31" s="287"/>
    </row>
    <row r="32" spans="1:11" x14ac:dyDescent="0.2">
      <c r="A32" s="117">
        <f t="shared" si="0"/>
        <v>24</v>
      </c>
      <c r="B32" s="731" t="s">
        <v>1984</v>
      </c>
      <c r="C32" s="1229">
        <v>0</v>
      </c>
      <c r="D32" s="1229">
        <v>0</v>
      </c>
      <c r="E32" s="1229">
        <v>0</v>
      </c>
      <c r="F32" s="731"/>
      <c r="G32" s="731" t="s">
        <v>1985</v>
      </c>
      <c r="H32" s="1230"/>
      <c r="I32" s="287"/>
      <c r="J32" s="287"/>
      <c r="K32" s="287"/>
    </row>
    <row r="33" spans="1:11" x14ac:dyDescent="0.2">
      <c r="A33" s="117">
        <f t="shared" si="0"/>
        <v>25</v>
      </c>
      <c r="B33" s="287" t="s">
        <v>528</v>
      </c>
      <c r="C33" s="280">
        <f>C28+C31+C32</f>
        <v>3610745534.2585907</v>
      </c>
      <c r="D33" s="280">
        <f>D28+D31+D32</f>
        <v>324670844.74997014</v>
      </c>
      <c r="E33" s="280">
        <f>E28+E31+E32</f>
        <v>3935416379.0085602</v>
      </c>
      <c r="F33" s="287"/>
      <c r="G33" s="731" t="str">
        <f>"Line "&amp;A28&amp;" + Line "&amp;A31&amp;" + Line "&amp;A32&amp;""</f>
        <v>Line 20 + Line 23 + Line 24</v>
      </c>
      <c r="H33" s="731"/>
      <c r="I33" s="287"/>
      <c r="J33" s="287"/>
      <c r="K33" s="287"/>
    </row>
    <row r="34" spans="1:11" x14ac:dyDescent="0.2">
      <c r="A34" s="117">
        <f t="shared" si="0"/>
        <v>26</v>
      </c>
      <c r="B34" s="287"/>
      <c r="C34" s="313"/>
      <c r="D34" s="313"/>
      <c r="E34" s="1231"/>
      <c r="F34" s="287"/>
      <c r="G34" s="287"/>
      <c r="H34" s="287"/>
      <c r="I34" s="287"/>
      <c r="J34" s="287"/>
      <c r="K34" s="287"/>
    </row>
    <row r="35" spans="1:11" x14ac:dyDescent="0.2">
      <c r="A35" s="117">
        <f t="shared" si="0"/>
        <v>27</v>
      </c>
      <c r="B35" s="287"/>
      <c r="C35" s="1232"/>
      <c r="D35" s="1232"/>
      <c r="E35" s="287"/>
      <c r="F35" s="287"/>
      <c r="G35" s="1232"/>
      <c r="H35" s="1232"/>
      <c r="I35" s="1232"/>
      <c r="J35" s="287"/>
      <c r="K35" s="287"/>
    </row>
    <row r="36" spans="1:11" x14ac:dyDescent="0.2">
      <c r="A36" s="117">
        <f t="shared" si="0"/>
        <v>28</v>
      </c>
      <c r="B36" s="292" t="s">
        <v>531</v>
      </c>
      <c r="C36" s="287"/>
      <c r="D36" s="287"/>
      <c r="E36" s="287"/>
      <c r="F36" s="287"/>
      <c r="G36" s="287"/>
      <c r="H36" s="287"/>
      <c r="I36" s="287"/>
      <c r="J36" s="287"/>
      <c r="K36" s="287"/>
    </row>
    <row r="37" spans="1:11" x14ac:dyDescent="0.2">
      <c r="A37" s="117">
        <f t="shared" si="0"/>
        <v>29</v>
      </c>
      <c r="B37" s="292"/>
      <c r="C37" s="287"/>
      <c r="D37" s="287"/>
      <c r="E37" s="287"/>
      <c r="F37" s="287"/>
      <c r="G37" s="287"/>
      <c r="H37" s="287"/>
      <c r="I37" s="287"/>
      <c r="J37" s="287"/>
      <c r="K37" s="287"/>
    </row>
    <row r="38" spans="1:11" x14ac:dyDescent="0.2">
      <c r="A38" s="117">
        <f t="shared" si="0"/>
        <v>30</v>
      </c>
      <c r="B38" s="292"/>
      <c r="C38" s="1233" t="s">
        <v>520</v>
      </c>
      <c r="D38" s="483" t="s">
        <v>521</v>
      </c>
      <c r="E38" s="483"/>
      <c r="F38" s="287"/>
      <c r="G38" s="287"/>
      <c r="H38" s="287"/>
      <c r="I38" s="287"/>
      <c r="J38" s="287"/>
      <c r="K38" s="287"/>
    </row>
    <row r="39" spans="1:11" x14ac:dyDescent="0.2">
      <c r="A39" s="117">
        <f t="shared" si="0"/>
        <v>31</v>
      </c>
      <c r="B39" s="292"/>
      <c r="C39" s="536" t="s">
        <v>519</v>
      </c>
      <c r="D39" s="536" t="s">
        <v>519</v>
      </c>
      <c r="E39" s="536" t="s">
        <v>217</v>
      </c>
      <c r="F39" s="287"/>
      <c r="G39" s="1234" t="s">
        <v>258</v>
      </c>
      <c r="H39" s="287"/>
      <c r="I39" s="287"/>
      <c r="J39" s="287"/>
      <c r="K39" s="287"/>
    </row>
    <row r="40" spans="1:11" x14ac:dyDescent="0.2">
      <c r="A40" s="117">
        <f t="shared" si="0"/>
        <v>32</v>
      </c>
      <c r="B40" s="287" t="s">
        <v>528</v>
      </c>
      <c r="C40" s="294">
        <f>C33</f>
        <v>3610745534.2585907</v>
      </c>
      <c r="D40" s="294">
        <f>D33</f>
        <v>324670844.74997014</v>
      </c>
      <c r="E40" s="294">
        <f>E33</f>
        <v>3935416379.0085602</v>
      </c>
      <c r="F40" s="287"/>
      <c r="G40" s="287" t="str">
        <f>"Line "&amp;A33&amp;""</f>
        <v>Line 25</v>
      </c>
      <c r="H40" s="287"/>
      <c r="I40" s="287"/>
      <c r="J40" s="287"/>
      <c r="K40" s="287"/>
    </row>
    <row r="41" spans="1:11" x14ac:dyDescent="0.2">
      <c r="A41" s="117">
        <f t="shared" si="0"/>
        <v>33</v>
      </c>
      <c r="B41" s="559" t="s">
        <v>1865</v>
      </c>
      <c r="C41" s="294">
        <f>'16-PlantAdditions'!K37-'16-PlantAdditions'!P37</f>
        <v>2357143836.1150885</v>
      </c>
      <c r="D41" s="294">
        <f>'16-PlantAdditions'!P37</f>
        <v>4727510.6515464978</v>
      </c>
      <c r="E41" s="1235">
        <f>SUM(C41:D41)</f>
        <v>2361871346.7666349</v>
      </c>
      <c r="F41" s="287"/>
      <c r="G41" s="287" t="str">
        <f>"13-Month Average: 16-PlantAdditions, Line "&amp;'16-PlantAdditions'!A37&amp;", Cols 7  (for Total) and 12 (for LV).  HV = C7 - C12."</f>
        <v>13-Month Average: 16-PlantAdditions, Line 25, Cols 7  (for Total) and 12 (for LV).  HV = C7 - C12.</v>
      </c>
      <c r="H41" s="287"/>
      <c r="I41" s="287"/>
      <c r="J41" s="287"/>
      <c r="K41" s="287"/>
    </row>
    <row r="42" spans="1:11" x14ac:dyDescent="0.2">
      <c r="A42" s="117">
        <f t="shared" si="0"/>
        <v>34</v>
      </c>
      <c r="B42" s="559" t="s">
        <v>1864</v>
      </c>
      <c r="C42" s="643">
        <f>'10-CWIP'!K79</f>
        <v>-945609802.73903346</v>
      </c>
      <c r="D42" s="643">
        <v>0</v>
      </c>
      <c r="E42" s="643">
        <f>SUM(C42:D42)</f>
        <v>-945609802.73903346</v>
      </c>
      <c r="F42" s="287"/>
      <c r="G42" s="287" t="str">
        <f>"13 Month Average: 10-CWIP, Line "&amp;'10-CWIP'!A79&amp;", Col. 8"</f>
        <v>13 Month Average: 10-CWIP, Line 54, Col. 8</v>
      </c>
      <c r="H42" s="287"/>
      <c r="I42" s="287"/>
      <c r="J42" s="287"/>
      <c r="K42" s="287"/>
    </row>
    <row r="43" spans="1:11" x14ac:dyDescent="0.2">
      <c r="A43" s="117">
        <f t="shared" si="0"/>
        <v>35</v>
      </c>
      <c r="B43" s="287" t="s">
        <v>529</v>
      </c>
      <c r="C43" s="294">
        <f>SUM(C40:C42)</f>
        <v>5022279567.6346455</v>
      </c>
      <c r="D43" s="294">
        <f t="shared" ref="D43:E43" si="3">SUM(D40:D42)</f>
        <v>329398355.40151662</v>
      </c>
      <c r="E43" s="294">
        <f t="shared" si="3"/>
        <v>5351677923.0361614</v>
      </c>
      <c r="F43" s="287"/>
      <c r="G43" s="287" t="str">
        <f>"Line "&amp;A40&amp;" + Line "&amp;A41&amp;" + Line "&amp;A42&amp;""</f>
        <v>Line 32 + Line 33 + Line 34</v>
      </c>
      <c r="H43" s="287"/>
      <c r="I43" s="287"/>
      <c r="J43" s="287"/>
      <c r="K43" s="287"/>
    </row>
    <row r="44" spans="1:11" x14ac:dyDescent="0.2">
      <c r="A44" s="117">
        <f t="shared" si="0"/>
        <v>36</v>
      </c>
      <c r="B44" s="287"/>
      <c r="C44" s="287"/>
      <c r="D44" s="287"/>
      <c r="E44" s="287"/>
      <c r="F44" s="287"/>
      <c r="G44" s="287"/>
      <c r="H44" s="287"/>
      <c r="I44" s="287"/>
      <c r="J44" s="287"/>
      <c r="K44" s="287"/>
    </row>
    <row r="45" spans="1:11" x14ac:dyDescent="0.2">
      <c r="A45" s="117">
        <f t="shared" si="0"/>
        <v>37</v>
      </c>
      <c r="B45" s="287" t="s">
        <v>1262</v>
      </c>
      <c r="C45" s="1236">
        <f>C43/E43</f>
        <v>0.93844951805047361</v>
      </c>
      <c r="D45" s="1236">
        <f>D43/E43</f>
        <v>6.1550481949526482E-2</v>
      </c>
      <c r="E45" s="287"/>
      <c r="F45" s="287"/>
      <c r="G45" s="1237" t="str">
        <f>"Percent of Total on Line "&amp;A43&amp;""</f>
        <v>Percent of Total on Line 35</v>
      </c>
      <c r="H45" s="287"/>
      <c r="I45" s="287"/>
      <c r="J45" s="287"/>
      <c r="K45" s="287"/>
    </row>
    <row r="46" spans="1:11" x14ac:dyDescent="0.2">
      <c r="A46" s="117">
        <f t="shared" si="0"/>
        <v>38</v>
      </c>
      <c r="B46" s="1175" t="s">
        <v>1682</v>
      </c>
      <c r="C46" s="287"/>
      <c r="D46" s="287"/>
      <c r="E46" s="287"/>
      <c r="F46" s="287"/>
      <c r="G46" s="287"/>
      <c r="H46" s="287"/>
      <c r="I46" s="287"/>
      <c r="J46" s="287"/>
      <c r="K46" s="287"/>
    </row>
    <row r="47" spans="1:11" x14ac:dyDescent="0.2">
      <c r="A47" s="117">
        <f t="shared" si="0"/>
        <v>39</v>
      </c>
      <c r="B47" s="559" t="s">
        <v>1868</v>
      </c>
      <c r="C47" s="287"/>
      <c r="D47" s="287"/>
      <c r="E47" s="287"/>
      <c r="F47" s="287"/>
      <c r="G47" s="287"/>
      <c r="H47" s="287"/>
      <c r="I47" s="287"/>
      <c r="J47" s="287"/>
      <c r="K47" s="287"/>
    </row>
    <row r="48" spans="1:11" x14ac:dyDescent="0.2">
      <c r="A48" s="15"/>
      <c r="B48" s="44"/>
      <c r="C48" s="287"/>
      <c r="D48" s="287"/>
      <c r="E48" s="287"/>
      <c r="F48" s="287"/>
      <c r="G48" s="287"/>
      <c r="H48" s="287"/>
      <c r="I48" s="287"/>
      <c r="J48" s="287"/>
      <c r="K48" s="287"/>
    </row>
    <row r="49" spans="1:11" x14ac:dyDescent="0.2">
      <c r="A49" s="15"/>
      <c r="B49" s="44" t="s">
        <v>258</v>
      </c>
      <c r="C49" s="731"/>
      <c r="D49" s="731"/>
      <c r="E49" s="731"/>
      <c r="F49" s="731"/>
      <c r="G49" s="731"/>
      <c r="H49" s="731"/>
      <c r="I49" s="287"/>
      <c r="J49" s="287"/>
      <c r="K49" s="287"/>
    </row>
    <row r="50" spans="1:11" x14ac:dyDescent="0.2">
      <c r="A50" s="15"/>
      <c r="B50" s="731" t="s">
        <v>1986</v>
      </c>
      <c r="C50" s="731"/>
      <c r="D50" s="731"/>
      <c r="E50" s="731"/>
      <c r="F50" s="731"/>
      <c r="G50" s="731"/>
      <c r="H50" s="731"/>
      <c r="I50" s="287"/>
      <c r="J50" s="287"/>
      <c r="K50" s="287"/>
    </row>
    <row r="51" spans="1:11" x14ac:dyDescent="0.2">
      <c r="A51" s="14"/>
      <c r="B51" s="731" t="s">
        <v>1987</v>
      </c>
      <c r="C51" s="1230"/>
      <c r="D51" s="1230"/>
      <c r="E51" s="1230"/>
      <c r="F51" s="1230"/>
      <c r="G51" s="1230"/>
      <c r="H51" s="1230"/>
      <c r="I51" s="1238"/>
      <c r="J51" s="1238"/>
      <c r="K51" s="1238"/>
    </row>
  </sheetData>
  <pageMargins left="0.7" right="0.7" top="0.75" bottom="0.75" header="0.3" footer="0.3"/>
  <pageSetup scale="70" orientation="landscape" cellComments="asDisplayed" r:id="rId1"/>
  <headerFooter>
    <oddHeader>&amp;CSchedule 31
High and Low Voltage Gross Plant
&amp;RTO8 Annual Update (Revised)
Attachment  1</oddHeader>
    <oddFooter>&amp;R31-HVLV</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Layout" zoomScaleNormal="100" workbookViewId="0"/>
  </sheetViews>
  <sheetFormatPr defaultRowHeight="12.75" x14ac:dyDescent="0.2"/>
  <cols>
    <col min="1" max="1" width="4.7109375" customWidth="1"/>
    <col min="5" max="5" width="3.140625" customWidth="1"/>
    <col min="6" max="6" width="12.7109375" customWidth="1"/>
    <col min="7" max="7" width="22.7109375" customWidth="1"/>
    <col min="8" max="8" width="25.7109375" customWidth="1"/>
  </cols>
  <sheetData>
    <row r="1" spans="1:8" x14ac:dyDescent="0.2">
      <c r="A1" s="1" t="s">
        <v>1888</v>
      </c>
    </row>
    <row r="3" spans="1:8" x14ac:dyDescent="0.2">
      <c r="G3" s="2"/>
    </row>
    <row r="4" spans="1:8" x14ac:dyDescent="0.2">
      <c r="A4" s="3" t="s">
        <v>362</v>
      </c>
      <c r="F4" s="3" t="s">
        <v>314</v>
      </c>
      <c r="G4" s="3" t="s">
        <v>173</v>
      </c>
      <c r="H4" s="52" t="s">
        <v>200</v>
      </c>
    </row>
    <row r="5" spans="1:8" x14ac:dyDescent="0.2">
      <c r="A5" s="2">
        <v>1</v>
      </c>
      <c r="B5" s="548" t="s">
        <v>368</v>
      </c>
      <c r="F5" s="105">
        <v>89733766</v>
      </c>
      <c r="G5" s="16"/>
      <c r="H5" t="s">
        <v>397</v>
      </c>
    </row>
    <row r="6" spans="1:8" x14ac:dyDescent="0.2">
      <c r="A6" s="2">
        <v>2</v>
      </c>
      <c r="B6" s="12" t="s">
        <v>369</v>
      </c>
      <c r="F6" s="107">
        <v>160740</v>
      </c>
      <c r="G6" s="16"/>
      <c r="H6" t="s">
        <v>398</v>
      </c>
    </row>
    <row r="7" spans="1:8" x14ac:dyDescent="0.2">
      <c r="A7" s="2">
        <v>3</v>
      </c>
      <c r="B7" s="51" t="s">
        <v>357</v>
      </c>
      <c r="F7" s="106">
        <f>SUM(F5:F6)</f>
        <v>89894506</v>
      </c>
      <c r="G7" s="13" t="s">
        <v>370</v>
      </c>
      <c r="H7" s="12" t="s">
        <v>358</v>
      </c>
    </row>
    <row r="8" spans="1:8" x14ac:dyDescent="0.2">
      <c r="A8" s="2"/>
      <c r="G8" s="16"/>
    </row>
    <row r="9" spans="1:8" x14ac:dyDescent="0.2">
      <c r="A9" s="2"/>
      <c r="G9" s="16"/>
    </row>
    <row r="10" spans="1:8" x14ac:dyDescent="0.2">
      <c r="A10" s="2">
        <v>4</v>
      </c>
      <c r="B10" s="550" t="s">
        <v>2925</v>
      </c>
      <c r="C10" s="14"/>
      <c r="D10" s="14"/>
      <c r="E10" s="36"/>
      <c r="F10" s="105">
        <v>179763</v>
      </c>
      <c r="G10" s="16"/>
      <c r="H10" s="12" t="s">
        <v>397</v>
      </c>
    </row>
    <row r="11" spans="1:8" x14ac:dyDescent="0.2">
      <c r="B11" s="14"/>
      <c r="C11" s="14"/>
      <c r="D11" s="14"/>
    </row>
    <row r="12" spans="1:8" x14ac:dyDescent="0.2">
      <c r="B12" s="14"/>
      <c r="C12" s="14"/>
      <c r="D12" s="14"/>
    </row>
    <row r="13" spans="1:8" x14ac:dyDescent="0.2">
      <c r="B13" s="1114" t="s">
        <v>258</v>
      </c>
      <c r="C13" s="14"/>
      <c r="D13" s="14"/>
    </row>
    <row r="14" spans="1:8" x14ac:dyDescent="0.2">
      <c r="B14" s="15" t="s">
        <v>1390</v>
      </c>
      <c r="C14" s="14"/>
      <c r="D14" s="14"/>
    </row>
    <row r="15" spans="1:8" x14ac:dyDescent="0.2">
      <c r="B15" s="15" t="s">
        <v>1391</v>
      </c>
      <c r="C15" s="14"/>
      <c r="D15" s="14"/>
    </row>
    <row r="16" spans="1:8" x14ac:dyDescent="0.2">
      <c r="B16" s="550" t="s">
        <v>2278</v>
      </c>
      <c r="C16" s="14"/>
      <c r="D16" s="14"/>
      <c r="E16" s="14"/>
      <c r="F16" s="14"/>
      <c r="G16" s="14"/>
      <c r="H16" s="14"/>
    </row>
    <row r="18" spans="2:2" ht="15.75" x14ac:dyDescent="0.25">
      <c r="B18" s="710"/>
    </row>
  </sheetData>
  <pageMargins left="0.7" right="0.7" top="0.75" bottom="0.75" header="0.3" footer="0.3"/>
  <pageSetup orientation="landscape" cellComments="asDisplayed" r:id="rId1"/>
  <headerFooter>
    <oddHeader>&amp;CSchedule 32 
Gross Load
&amp;RTO8 Annual Update (Revised)
Attachment  1</oddHeader>
    <oddFooter>&amp;R&amp;A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3"/>
  <sheetViews>
    <sheetView view="pageLayout" zoomScale="75" zoomScaleNormal="80" zoomScalePageLayoutView="75" workbookViewId="0">
      <selection sqref="A1:B1"/>
    </sheetView>
  </sheetViews>
  <sheetFormatPr defaultColWidth="9.140625" defaultRowHeight="12.75" x14ac:dyDescent="0.2"/>
  <cols>
    <col min="1" max="1" width="5.42578125" style="899" customWidth="1"/>
    <col min="2" max="2" width="18.5703125" style="899" customWidth="1"/>
    <col min="3" max="12" width="15.85546875" style="899" customWidth="1"/>
    <col min="13" max="13" width="8.7109375" style="898" customWidth="1"/>
    <col min="14" max="16384" width="9.140625" style="899"/>
  </cols>
  <sheetData>
    <row r="1" spans="1:13" ht="15.75" x14ac:dyDescent="0.25">
      <c r="A1" s="895" t="s">
        <v>414</v>
      </c>
      <c r="B1" s="896"/>
      <c r="C1" s="896"/>
      <c r="D1" s="896"/>
      <c r="E1" s="896"/>
      <c r="F1" s="896"/>
      <c r="G1" s="896"/>
      <c r="H1" s="896"/>
      <c r="I1" s="896"/>
      <c r="J1" s="896"/>
      <c r="K1" s="897"/>
      <c r="L1" s="897"/>
    </row>
    <row r="2" spans="1:13" ht="14.25" customHeight="1" x14ac:dyDescent="0.25">
      <c r="A2" s="895"/>
      <c r="B2" s="896"/>
      <c r="C2" s="896"/>
      <c r="D2" s="896"/>
      <c r="E2" s="896"/>
      <c r="F2" s="896"/>
      <c r="G2" s="896"/>
      <c r="H2" s="896"/>
      <c r="I2" s="896"/>
      <c r="J2" s="896"/>
      <c r="K2" s="897"/>
      <c r="L2" s="897"/>
    </row>
    <row r="3" spans="1:13" x14ac:dyDescent="0.2">
      <c r="E3" s="900" t="s">
        <v>200</v>
      </c>
      <c r="K3" s="901"/>
      <c r="L3" s="901"/>
    </row>
    <row r="4" spans="1:13" x14ac:dyDescent="0.2">
      <c r="C4" s="902" t="s">
        <v>1294</v>
      </c>
      <c r="D4" s="903">
        <f>'1-BaseTRR'!K152</f>
        <v>840039217.61447549</v>
      </c>
      <c r="E4" s="904" t="s">
        <v>2913</v>
      </c>
      <c r="G4" s="905" t="s">
        <v>499</v>
      </c>
      <c r="H4" s="906"/>
      <c r="J4" s="907"/>
      <c r="K4" s="901"/>
      <c r="L4" s="901"/>
    </row>
    <row r="5" spans="1:13" x14ac:dyDescent="0.2">
      <c r="C5" s="902"/>
      <c r="D5" s="908"/>
      <c r="E5" s="904"/>
      <c r="K5" s="901"/>
      <c r="L5" s="901"/>
    </row>
    <row r="6" spans="1:13" ht="15.75" x14ac:dyDescent="0.25">
      <c r="B6" s="895" t="s">
        <v>1295</v>
      </c>
      <c r="D6" s="902"/>
      <c r="E6" s="908"/>
      <c r="F6" s="904"/>
      <c r="K6" s="901"/>
      <c r="L6" s="901"/>
    </row>
    <row r="7" spans="1:13" x14ac:dyDescent="0.2">
      <c r="C7" s="909" t="s">
        <v>396</v>
      </c>
      <c r="D7" s="909" t="s">
        <v>380</v>
      </c>
      <c r="E7" s="909" t="s">
        <v>381</v>
      </c>
      <c r="F7" s="909" t="s">
        <v>382</v>
      </c>
      <c r="G7" s="909" t="s">
        <v>383</v>
      </c>
      <c r="H7" s="909" t="s">
        <v>384</v>
      </c>
      <c r="I7" s="909" t="s">
        <v>385</v>
      </c>
      <c r="J7" s="909" t="s">
        <v>599</v>
      </c>
      <c r="K7" s="909" t="s">
        <v>1048</v>
      </c>
      <c r="L7" s="909" t="s">
        <v>1064</v>
      </c>
      <c r="M7" s="909" t="s">
        <v>1067</v>
      </c>
    </row>
    <row r="8" spans="1:13" x14ac:dyDescent="0.2">
      <c r="C8" s="910" t="s">
        <v>397</v>
      </c>
      <c r="E8" s="910" t="s">
        <v>398</v>
      </c>
      <c r="F8" s="910" t="s">
        <v>1296</v>
      </c>
      <c r="G8" s="910" t="s">
        <v>1311</v>
      </c>
      <c r="H8" s="910"/>
      <c r="I8" s="910"/>
    </row>
    <row r="9" spans="1:13" s="913" customFormat="1" x14ac:dyDescent="0.2">
      <c r="A9" s="911"/>
      <c r="B9" s="911"/>
      <c r="C9" s="909"/>
      <c r="D9" s="912"/>
      <c r="E9" s="1454" t="s">
        <v>2790</v>
      </c>
      <c r="F9" s="1455"/>
      <c r="G9" s="1456"/>
      <c r="H9" s="909"/>
      <c r="I9" s="911"/>
      <c r="J9" s="910" t="s">
        <v>1313</v>
      </c>
      <c r="K9" s="910" t="s">
        <v>1313</v>
      </c>
      <c r="L9" s="910" t="s">
        <v>1313</v>
      </c>
      <c r="M9" s="898"/>
    </row>
    <row r="10" spans="1:13" s="919" customFormat="1" ht="53.25" customHeight="1" x14ac:dyDescent="0.2">
      <c r="A10" s="914"/>
      <c r="B10" s="914"/>
      <c r="C10" s="915"/>
      <c r="D10" s="916" t="s">
        <v>2791</v>
      </c>
      <c r="E10" s="917" t="s">
        <v>1673</v>
      </c>
      <c r="F10" s="917" t="s">
        <v>2792</v>
      </c>
      <c r="G10" s="917" t="s">
        <v>2793</v>
      </c>
      <c r="H10" s="916" t="s">
        <v>2794</v>
      </c>
      <c r="I10" s="916" t="s">
        <v>2795</v>
      </c>
      <c r="J10" s="1457" t="s">
        <v>2796</v>
      </c>
      <c r="K10" s="1458"/>
      <c r="L10" s="1459"/>
      <c r="M10" s="918"/>
    </row>
    <row r="11" spans="1:13" s="913" customFormat="1" ht="36.75" customHeight="1" x14ac:dyDescent="0.2">
      <c r="A11" s="900" t="s">
        <v>352</v>
      </c>
      <c r="B11" s="920" t="s">
        <v>1297</v>
      </c>
      <c r="C11" s="921" t="s">
        <v>1298</v>
      </c>
      <c r="D11" s="922" t="s">
        <v>1299</v>
      </c>
      <c r="E11" s="923" t="s">
        <v>2797</v>
      </c>
      <c r="F11" s="920" t="s">
        <v>2798</v>
      </c>
      <c r="G11" s="920" t="s">
        <v>2799</v>
      </c>
      <c r="H11" s="924" t="s">
        <v>2800</v>
      </c>
      <c r="I11" s="925" t="s">
        <v>2801</v>
      </c>
      <c r="J11" s="923" t="s">
        <v>2797</v>
      </c>
      <c r="K11" s="920" t="s">
        <v>2798</v>
      </c>
      <c r="L11" s="920" t="s">
        <v>2799</v>
      </c>
      <c r="M11" s="920" t="s">
        <v>189</v>
      </c>
    </row>
    <row r="12" spans="1:13" s="907" customFormat="1" x14ac:dyDescent="0.2">
      <c r="A12" s="926" t="s">
        <v>642</v>
      </c>
      <c r="B12" s="553" t="s">
        <v>2775</v>
      </c>
      <c r="C12" s="927">
        <f>K104</f>
        <v>0.39459727504757347</v>
      </c>
      <c r="D12" s="908">
        <f>$D$4*C12</f>
        <v>331477186.2037676</v>
      </c>
      <c r="E12" s="928">
        <v>29082.728088443448</v>
      </c>
      <c r="F12" s="929">
        <v>0</v>
      </c>
      <c r="G12" s="930">
        <v>1.2E-2</v>
      </c>
      <c r="H12" s="931">
        <f>D12/(E12*10^6)</f>
        <v>1.139773356872549E-2</v>
      </c>
      <c r="I12" s="932"/>
      <c r="K12" s="901"/>
      <c r="L12" s="899"/>
      <c r="M12" s="898"/>
    </row>
    <row r="13" spans="1:13" s="907" customFormat="1" ht="13.5" thickBot="1" x14ac:dyDescent="0.25">
      <c r="A13" s="926" t="s">
        <v>644</v>
      </c>
      <c r="B13" s="553" t="s">
        <v>2776</v>
      </c>
      <c r="C13" s="927">
        <f>K105</f>
        <v>6.6562631438621442E-2</v>
      </c>
      <c r="D13" s="908">
        <f t="shared" ref="D13:D26" si="0">$D$4*C13</f>
        <v>55915220.836060248</v>
      </c>
      <c r="E13" s="928">
        <v>4863.3741986090536</v>
      </c>
      <c r="F13" s="929">
        <v>0</v>
      </c>
      <c r="G13" s="930">
        <v>0.38133333333333302</v>
      </c>
      <c r="H13" s="931">
        <f>D13/(E13*10^6)</f>
        <v>1.1497207196610997E-2</v>
      </c>
      <c r="I13" s="932"/>
      <c r="J13" s="1251">
        <v>4205.8320578194462</v>
      </c>
      <c r="K13" s="1252">
        <v>22840.239631100965</v>
      </c>
      <c r="L13" s="1253">
        <v>0.3813333333333333</v>
      </c>
      <c r="M13" s="898"/>
    </row>
    <row r="14" spans="1:13" s="907" customFormat="1" ht="15" thickBot="1" x14ac:dyDescent="0.3">
      <c r="A14" s="926" t="s">
        <v>2802</v>
      </c>
      <c r="B14" s="553" t="s">
        <v>2777</v>
      </c>
      <c r="C14" s="933"/>
      <c r="D14" s="933"/>
      <c r="E14" s="934"/>
      <c r="F14" s="1254"/>
      <c r="G14" s="1254"/>
      <c r="H14" s="935"/>
      <c r="I14" s="936">
        <f>K14</f>
        <v>2.11707565561349</v>
      </c>
      <c r="J14" s="937">
        <f>H13*J13*10^6</f>
        <v>48355322.60289897</v>
      </c>
      <c r="K14" s="1460">
        <f>J14/((K13+L13)*10^3)</f>
        <v>2.11707565561349</v>
      </c>
      <c r="L14" s="1460"/>
      <c r="M14" s="938" t="s">
        <v>1314</v>
      </c>
    </row>
    <row r="15" spans="1:13" s="907" customFormat="1" x14ac:dyDescent="0.2">
      <c r="A15" s="926" t="s">
        <v>647</v>
      </c>
      <c r="B15" s="553" t="s">
        <v>2778</v>
      </c>
      <c r="C15" s="927">
        <f t="shared" ref="C15:C23" si="1">K106</f>
        <v>4.9576035348194221E-4</v>
      </c>
      <c r="D15" s="908">
        <f t="shared" si="0"/>
        <v>416458.13946324657</v>
      </c>
      <c r="E15" s="928">
        <v>60.660444580498144</v>
      </c>
      <c r="F15" s="929">
        <v>0</v>
      </c>
      <c r="G15" s="930">
        <v>0</v>
      </c>
      <c r="H15" s="931">
        <f>D15/(E15*10^6)</f>
        <v>6.8653987346003493E-3</v>
      </c>
      <c r="I15" s="932"/>
      <c r="K15" s="901"/>
      <c r="L15" s="899"/>
      <c r="M15" s="898"/>
    </row>
    <row r="16" spans="1:13" s="907" customFormat="1" x14ac:dyDescent="0.2">
      <c r="A16" s="926" t="s">
        <v>1300</v>
      </c>
      <c r="B16" s="553" t="s">
        <v>2779</v>
      </c>
      <c r="C16" s="927">
        <f t="shared" si="1"/>
        <v>0.19120152949656771</v>
      </c>
      <c r="D16" s="908">
        <f t="shared" si="0"/>
        <v>160616783.24498779</v>
      </c>
      <c r="E16" s="928">
        <v>15175.755505652023</v>
      </c>
      <c r="F16" s="929">
        <v>52804.128605337952</v>
      </c>
      <c r="G16" s="930">
        <v>36.151920000000011</v>
      </c>
      <c r="H16" s="932"/>
      <c r="I16" s="939">
        <f>D16/((G16+F16)*10^3)</f>
        <v>3.039665604499751</v>
      </c>
      <c r="K16" s="901"/>
      <c r="L16" s="940"/>
      <c r="M16" s="898"/>
    </row>
    <row r="17" spans="1:13" s="907" customFormat="1" x14ac:dyDescent="0.2">
      <c r="A17" s="926" t="s">
        <v>1301</v>
      </c>
      <c r="B17" s="553" t="s">
        <v>2780</v>
      </c>
      <c r="C17" s="927">
        <f t="shared" si="1"/>
        <v>9.8884225300739231E-2</v>
      </c>
      <c r="D17" s="908">
        <f t="shared" si="0"/>
        <v>83066627.256046504</v>
      </c>
      <c r="E17" s="928">
        <v>8526.0524452159534</v>
      </c>
      <c r="F17" s="929">
        <v>24151.463022252043</v>
      </c>
      <c r="G17" s="930">
        <v>84.075999999999993</v>
      </c>
      <c r="H17" s="932"/>
      <c r="I17" s="939">
        <f>D17/((G17+F17)*10^3)</f>
        <v>3.427471828861667</v>
      </c>
      <c r="K17" s="901"/>
      <c r="L17" s="940"/>
      <c r="M17" s="898"/>
    </row>
    <row r="18" spans="1:13" s="907" customFormat="1" x14ac:dyDescent="0.2">
      <c r="A18" s="926" t="s">
        <v>1302</v>
      </c>
      <c r="B18" s="553" t="s">
        <v>2781</v>
      </c>
      <c r="C18" s="927">
        <f t="shared" si="1"/>
        <v>9.1079247089914508E-2</v>
      </c>
      <c r="D18" s="908">
        <f t="shared" si="0"/>
        <v>76510139.46632728</v>
      </c>
      <c r="E18" s="941">
        <v>8540.7330605523057</v>
      </c>
      <c r="F18" s="942">
        <v>21401.731882731172</v>
      </c>
      <c r="G18" s="943">
        <v>0</v>
      </c>
      <c r="H18" s="932"/>
      <c r="I18" s="939">
        <f t="shared" ref="I18:I25" si="2">D18/((G18+F18)*10^3)</f>
        <v>3.5749508444250013</v>
      </c>
      <c r="K18" s="901"/>
      <c r="L18" s="940"/>
      <c r="M18" s="898"/>
    </row>
    <row r="19" spans="1:13" s="907" customFormat="1" x14ac:dyDescent="0.2">
      <c r="A19" s="926" t="s">
        <v>1303</v>
      </c>
      <c r="B19" s="553" t="s">
        <v>2782</v>
      </c>
      <c r="C19" s="927">
        <f t="shared" si="1"/>
        <v>5.383719284939207E-2</v>
      </c>
      <c r="D19" s="908">
        <f t="shared" si="0"/>
        <v>45225353.359762952</v>
      </c>
      <c r="E19" s="941">
        <v>5651.4643951083772</v>
      </c>
      <c r="F19" s="942">
        <v>12926.610330381047</v>
      </c>
      <c r="G19" s="943">
        <v>0</v>
      </c>
      <c r="H19" s="932"/>
      <c r="I19" s="939">
        <f t="shared" si="2"/>
        <v>3.4986243263998671</v>
      </c>
      <c r="K19" s="901"/>
      <c r="L19" s="940"/>
      <c r="M19" s="898"/>
    </row>
    <row r="20" spans="1:13" s="907" customFormat="1" x14ac:dyDescent="0.2">
      <c r="A20" s="926" t="s">
        <v>1304</v>
      </c>
      <c r="B20" s="553" t="s">
        <v>2783</v>
      </c>
      <c r="C20" s="927">
        <f t="shared" si="1"/>
        <v>5.0505444903231403E-2</v>
      </c>
      <c r="D20" s="908">
        <f t="shared" si="0"/>
        <v>42426554.42178151</v>
      </c>
      <c r="E20" s="941">
        <v>6254.9122730401341</v>
      </c>
      <c r="F20" s="942">
        <v>12504.574338221802</v>
      </c>
      <c r="G20" s="943">
        <v>0</v>
      </c>
      <c r="H20" s="932"/>
      <c r="I20" s="939">
        <f t="shared" si="2"/>
        <v>3.3928827382871733</v>
      </c>
      <c r="K20" s="944"/>
      <c r="L20" s="945"/>
      <c r="M20" s="898"/>
    </row>
    <row r="21" spans="1:13" s="907" customFormat="1" x14ac:dyDescent="0.2">
      <c r="A21" s="926" t="s">
        <v>1305</v>
      </c>
      <c r="B21" s="553" t="s">
        <v>2784</v>
      </c>
      <c r="C21" s="927">
        <f t="shared" si="1"/>
        <v>2.4045326333020298E-3</v>
      </c>
      <c r="D21" s="908">
        <f t="shared" si="0"/>
        <v>2019901.7120075116</v>
      </c>
      <c r="E21" s="942">
        <v>241.19008557006194</v>
      </c>
      <c r="F21" s="942">
        <v>298.83463532562598</v>
      </c>
      <c r="G21" s="943">
        <v>457.54399999999998</v>
      </c>
      <c r="H21" s="932"/>
      <c r="I21" s="939">
        <f t="shared" si="2"/>
        <v>2.6704901720788699</v>
      </c>
      <c r="K21" s="946"/>
      <c r="L21" s="947"/>
      <c r="M21" s="898"/>
    </row>
    <row r="22" spans="1:13" s="907" customFormat="1" x14ac:dyDescent="0.2">
      <c r="A22" s="926" t="s">
        <v>1306</v>
      </c>
      <c r="B22" s="553" t="s">
        <v>2785</v>
      </c>
      <c r="C22" s="927">
        <f t="shared" si="1"/>
        <v>6.8966619864640425E-3</v>
      </c>
      <c r="D22" s="908">
        <f t="shared" si="0"/>
        <v>5793466.5392607488</v>
      </c>
      <c r="E22" s="942">
        <v>680.12914040292469</v>
      </c>
      <c r="F22" s="942">
        <v>997.53309923197048</v>
      </c>
      <c r="G22" s="943">
        <v>1462.0316666666668</v>
      </c>
      <c r="H22" s="932"/>
      <c r="I22" s="939">
        <f t="shared" si="2"/>
        <v>2.3554844416321044</v>
      </c>
      <c r="K22" s="946"/>
      <c r="L22" s="947"/>
      <c r="M22" s="898"/>
    </row>
    <row r="23" spans="1:13" s="907" customFormat="1" x14ac:dyDescent="0.2">
      <c r="A23" s="926" t="s">
        <v>1307</v>
      </c>
      <c r="B23" s="553" t="s">
        <v>2786</v>
      </c>
      <c r="C23" s="927">
        <f t="shared" si="1"/>
        <v>1.5502574297597008E-2</v>
      </c>
      <c r="D23" s="908">
        <f t="shared" si="0"/>
        <v>13022770.383963667</v>
      </c>
      <c r="E23" s="942">
        <v>1955.9088324913332</v>
      </c>
      <c r="F23" s="942">
        <v>2530.1166226867699</v>
      </c>
      <c r="G23" s="943">
        <v>8697.6773333333331</v>
      </c>
      <c r="H23" s="932"/>
      <c r="I23" s="939">
        <f t="shared" si="2"/>
        <v>1.1598690210182505</v>
      </c>
      <c r="K23" s="944"/>
      <c r="L23" s="945"/>
      <c r="M23" s="898"/>
    </row>
    <row r="24" spans="1:13" s="907" customFormat="1" x14ac:dyDescent="0.2">
      <c r="A24" s="926" t="s">
        <v>1308</v>
      </c>
      <c r="B24" s="553" t="s">
        <v>2787</v>
      </c>
      <c r="C24" s="927">
        <f>K115</f>
        <v>1.474443153472964E-2</v>
      </c>
      <c r="D24" s="908">
        <f t="shared" si="0"/>
        <v>12385900.730604487</v>
      </c>
      <c r="E24" s="928">
        <v>1735.6192584643015</v>
      </c>
      <c r="F24" s="928">
        <v>9824.3202331342382</v>
      </c>
      <c r="G24" s="928">
        <v>5.14</v>
      </c>
      <c r="H24" s="932"/>
      <c r="I24" s="939">
        <f t="shared" si="2"/>
        <v>1.2600794384266101</v>
      </c>
      <c r="K24" s="948"/>
      <c r="L24" s="948"/>
      <c r="M24" s="949"/>
    </row>
    <row r="25" spans="1:13" s="907" customFormat="1" x14ac:dyDescent="0.2">
      <c r="A25" s="926" t="s">
        <v>1309</v>
      </c>
      <c r="B25" s="553" t="s">
        <v>2788</v>
      </c>
      <c r="C25" s="927">
        <f>K116</f>
        <v>9.1988715814148719E-3</v>
      </c>
      <c r="D25" s="908">
        <f t="shared" si="0"/>
        <v>7727412.8861877816</v>
      </c>
      <c r="E25" s="928">
        <v>1183.4826816780969</v>
      </c>
      <c r="F25" s="928">
        <v>4577.2696098021834</v>
      </c>
      <c r="G25" s="928">
        <v>6.016</v>
      </c>
      <c r="H25" s="932"/>
      <c r="I25" s="939">
        <f t="shared" si="2"/>
        <v>1.6859985486528084</v>
      </c>
      <c r="J25" s="940"/>
      <c r="K25" s="899"/>
      <c r="L25" s="950"/>
      <c r="M25" s="898"/>
    </row>
    <row r="26" spans="1:13" s="907" customFormat="1" x14ac:dyDescent="0.2">
      <c r="A26" s="926" t="s">
        <v>1310</v>
      </c>
      <c r="B26" s="553" t="s">
        <v>2789</v>
      </c>
      <c r="C26" s="927">
        <f>K117</f>
        <v>4.0896214869704265E-3</v>
      </c>
      <c r="D26" s="951">
        <f t="shared" si="0"/>
        <v>3435442.4342539851</v>
      </c>
      <c r="E26" s="928">
        <v>746.25587973925087</v>
      </c>
      <c r="F26" s="929">
        <v>0</v>
      </c>
      <c r="G26" s="930">
        <v>0</v>
      </c>
      <c r="H26" s="931">
        <f>D26/(E26*10^6)</f>
        <v>4.6035716803388702E-3</v>
      </c>
      <c r="I26" s="932"/>
      <c r="J26" s="899"/>
      <c r="K26" s="899"/>
      <c r="L26" s="950"/>
      <c r="M26" s="898"/>
    </row>
    <row r="27" spans="1:13" s="907" customFormat="1" x14ac:dyDescent="0.2">
      <c r="A27" s="926" t="s">
        <v>1312</v>
      </c>
      <c r="B27" s="952" t="s">
        <v>88</v>
      </c>
      <c r="C27" s="927"/>
      <c r="D27" s="951"/>
      <c r="E27" s="953"/>
      <c r="F27" s="954"/>
      <c r="G27" s="955"/>
      <c r="H27" s="931"/>
      <c r="I27" s="932"/>
      <c r="J27" s="899"/>
      <c r="K27" s="899"/>
      <c r="L27" s="950"/>
      <c r="M27" s="898"/>
    </row>
    <row r="28" spans="1:13" s="907" customFormat="1" x14ac:dyDescent="0.2">
      <c r="A28" s="926">
        <v>2</v>
      </c>
      <c r="B28" s="556" t="s">
        <v>218</v>
      </c>
      <c r="C28" s="956">
        <f>SUM(C12:C27)</f>
        <v>0.99999999999999978</v>
      </c>
      <c r="D28" s="957">
        <f>SUM(D12:D27)</f>
        <v>840039217.61447537</v>
      </c>
      <c r="E28" s="958">
        <f>SUM(E12:E27)</f>
        <v>84698.266289547755</v>
      </c>
      <c r="F28" s="958">
        <f>SUM(F12:F27)</f>
        <v>142016.58237910477</v>
      </c>
      <c r="G28" s="958">
        <f>SUM(G12:G27)</f>
        <v>10749.030253333332</v>
      </c>
      <c r="H28" s="959"/>
      <c r="I28" s="899"/>
      <c r="J28" s="899"/>
      <c r="K28" s="899"/>
      <c r="L28" s="899"/>
      <c r="M28" s="898"/>
    </row>
    <row r="29" spans="1:13" s="907" customFormat="1" x14ac:dyDescent="0.2">
      <c r="A29" s="926">
        <f>A28+1</f>
        <v>3</v>
      </c>
      <c r="B29" s="899"/>
      <c r="C29" s="899"/>
      <c r="D29" s="899"/>
      <c r="E29" s="899"/>
      <c r="F29" s="899"/>
      <c r="G29" s="899"/>
      <c r="H29" s="899"/>
      <c r="I29" s="899"/>
      <c r="J29" s="960"/>
      <c r="K29" s="960"/>
      <c r="M29" s="898"/>
    </row>
    <row r="30" spans="1:13" s="907" customFormat="1" x14ac:dyDescent="0.2">
      <c r="A30" s="926">
        <f t="shared" ref="A30:A34" si="3">A29+1</f>
        <v>4</v>
      </c>
      <c r="B30" s="899"/>
      <c r="C30" s="899"/>
      <c r="D30" s="899"/>
      <c r="E30" s="899"/>
      <c r="F30" s="899"/>
      <c r="G30" s="961"/>
      <c r="H30" s="899"/>
      <c r="I30" s="909"/>
      <c r="J30" s="962"/>
      <c r="K30" s="962"/>
      <c r="L30" s="962"/>
      <c r="M30" s="898"/>
    </row>
    <row r="31" spans="1:13" s="907" customFormat="1" ht="15.75" x14ac:dyDescent="0.25">
      <c r="A31" s="926">
        <f t="shared" si="3"/>
        <v>5</v>
      </c>
      <c r="B31" s="895" t="s">
        <v>2803</v>
      </c>
      <c r="C31" s="899"/>
      <c r="D31" s="899"/>
      <c r="E31" s="899"/>
      <c r="F31" s="899"/>
      <c r="G31" s="899"/>
      <c r="H31" s="899"/>
      <c r="I31" s="899"/>
      <c r="J31" s="899"/>
      <c r="K31" s="899"/>
      <c r="L31" s="899"/>
      <c r="M31" s="898"/>
    </row>
    <row r="32" spans="1:13" s="907" customFormat="1" x14ac:dyDescent="0.2">
      <c r="A32" s="926">
        <f t="shared" si="3"/>
        <v>6</v>
      </c>
      <c r="B32" s="899"/>
      <c r="C32" s="909" t="s">
        <v>396</v>
      </c>
      <c r="D32" s="909" t="s">
        <v>380</v>
      </c>
      <c r="E32" s="909" t="s">
        <v>381</v>
      </c>
      <c r="F32" s="909" t="s">
        <v>382</v>
      </c>
      <c r="G32" s="909" t="s">
        <v>383</v>
      </c>
      <c r="H32" s="909" t="s">
        <v>384</v>
      </c>
      <c r="I32" s="909" t="s">
        <v>385</v>
      </c>
      <c r="K32" s="899"/>
      <c r="M32" s="898"/>
    </row>
    <row r="33" spans="1:13" s="919" customFormat="1" ht="25.5" x14ac:dyDescent="0.2">
      <c r="A33" s="926">
        <f t="shared" si="3"/>
        <v>7</v>
      </c>
      <c r="B33" s="914"/>
      <c r="C33" s="963" t="s">
        <v>2804</v>
      </c>
      <c r="D33" s="964" t="s">
        <v>2805</v>
      </c>
      <c r="E33" s="964" t="s">
        <v>2806</v>
      </c>
      <c r="F33" s="964" t="s">
        <v>2807</v>
      </c>
      <c r="G33" s="964" t="s">
        <v>2808</v>
      </c>
      <c r="H33" s="964" t="s">
        <v>2809</v>
      </c>
      <c r="I33" s="964" t="s">
        <v>2810</v>
      </c>
      <c r="K33" s="914"/>
      <c r="M33" s="918"/>
    </row>
    <row r="34" spans="1:13" s="907" customFormat="1" x14ac:dyDescent="0.2">
      <c r="A34" s="926">
        <f t="shared" si="3"/>
        <v>8</v>
      </c>
      <c r="B34" s="899"/>
      <c r="C34" s="909"/>
      <c r="D34" s="909"/>
      <c r="E34" s="909"/>
      <c r="F34" s="909"/>
      <c r="G34" s="909"/>
      <c r="H34" s="909"/>
      <c r="I34" s="965"/>
      <c r="K34" s="899"/>
      <c r="M34" s="898"/>
    </row>
    <row r="35" spans="1:13" s="969" customFormat="1" ht="51" x14ac:dyDescent="0.2">
      <c r="A35" s="926">
        <v>9</v>
      </c>
      <c r="B35" s="966" t="s">
        <v>1297</v>
      </c>
      <c r="C35" s="925" t="s">
        <v>1299</v>
      </c>
      <c r="D35" s="967" t="s">
        <v>2811</v>
      </c>
      <c r="E35" s="967" t="s">
        <v>2812</v>
      </c>
      <c r="F35" s="968" t="s">
        <v>2813</v>
      </c>
      <c r="G35" s="968" t="s">
        <v>2814</v>
      </c>
      <c r="H35" s="968" t="s">
        <v>2799</v>
      </c>
      <c r="I35" s="968" t="s">
        <v>2815</v>
      </c>
      <c r="M35" s="970"/>
    </row>
    <row r="36" spans="1:13" s="975" customFormat="1" ht="15" x14ac:dyDescent="0.25">
      <c r="A36" s="971" t="s">
        <v>2816</v>
      </c>
      <c r="B36" s="972" t="s">
        <v>2784</v>
      </c>
      <c r="C36" s="973">
        <f>D21</f>
        <v>2019901.7120075116</v>
      </c>
      <c r="D36" s="974">
        <f t="shared" ref="D36:E38" si="4">E127</f>
        <v>228.414784</v>
      </c>
      <c r="E36" s="974">
        <f t="shared" si="4"/>
        <v>441.94085271064904</v>
      </c>
      <c r="F36" s="975">
        <f>D36/E36</f>
        <v>0.51684469222298735</v>
      </c>
      <c r="G36" s="973">
        <f>C36*F36</f>
        <v>1043975.4786632076</v>
      </c>
      <c r="H36" s="976">
        <f>G21</f>
        <v>457.54399999999998</v>
      </c>
      <c r="I36" s="975">
        <f>G36/H36/10^3</f>
        <v>2.2816941729390128</v>
      </c>
      <c r="M36" s="977"/>
    </row>
    <row r="37" spans="1:13" s="975" customFormat="1" ht="15" x14ac:dyDescent="0.25">
      <c r="A37" s="971" t="s">
        <v>2817</v>
      </c>
      <c r="B37" s="972" t="s">
        <v>2785</v>
      </c>
      <c r="C37" s="973">
        <f>D22</f>
        <v>5793466.5392607488</v>
      </c>
      <c r="D37" s="974">
        <f t="shared" si="4"/>
        <v>515.81599999999992</v>
      </c>
      <c r="E37" s="974">
        <f t="shared" si="4"/>
        <v>1267.5713512648317</v>
      </c>
      <c r="F37" s="975">
        <f>D37/E37</f>
        <v>0.40693251664712898</v>
      </c>
      <c r="G37" s="973">
        <f>C37*F37</f>
        <v>2357549.9189323094</v>
      </c>
      <c r="H37" s="976">
        <f>G22</f>
        <v>1462.0316666666668</v>
      </c>
      <c r="I37" s="975">
        <f>G37/H37/10^3</f>
        <v>1.612516317315728</v>
      </c>
      <c r="M37" s="977"/>
    </row>
    <row r="38" spans="1:13" s="975" customFormat="1" ht="15" x14ac:dyDescent="0.25">
      <c r="A38" s="971" t="s">
        <v>2818</v>
      </c>
      <c r="B38" s="972" t="s">
        <v>2786</v>
      </c>
      <c r="C38" s="973">
        <f>D23</f>
        <v>13022770.383963667</v>
      </c>
      <c r="D38" s="974">
        <f t="shared" si="4"/>
        <v>943.57678799999974</v>
      </c>
      <c r="E38" s="974">
        <f t="shared" si="4"/>
        <v>2849.2942076987988</v>
      </c>
      <c r="F38" s="975">
        <f>D38/E38</f>
        <v>0.33116158571847487</v>
      </c>
      <c r="G38" s="973">
        <f>C38*F38</f>
        <v>4312641.2908009999</v>
      </c>
      <c r="H38" s="976">
        <f>G23</f>
        <v>8697.6773333333331</v>
      </c>
      <c r="I38" s="975">
        <f>G38/H38/10^3</f>
        <v>0.49583827101438427</v>
      </c>
      <c r="M38" s="977"/>
    </row>
    <row r="39" spans="1:13" s="907" customFormat="1" x14ac:dyDescent="0.2">
      <c r="A39" s="971" t="s">
        <v>2819</v>
      </c>
      <c r="B39" s="952" t="s">
        <v>88</v>
      </c>
      <c r="C39" s="909"/>
      <c r="D39" s="909"/>
      <c r="E39" s="909"/>
      <c r="F39" s="909"/>
      <c r="G39" s="909"/>
      <c r="H39" s="909"/>
      <c r="I39" s="965"/>
      <c r="K39" s="899"/>
      <c r="M39" s="898"/>
    </row>
    <row r="40" spans="1:13" s="907" customFormat="1" x14ac:dyDescent="0.2">
      <c r="A40" s="926">
        <v>10</v>
      </c>
      <c r="B40" s="899"/>
      <c r="C40" s="909"/>
      <c r="D40" s="909"/>
      <c r="E40" s="909"/>
      <c r="F40" s="909"/>
      <c r="G40" s="909"/>
      <c r="H40" s="909"/>
      <c r="I40" s="965"/>
      <c r="K40" s="899"/>
      <c r="M40" s="898"/>
    </row>
    <row r="41" spans="1:13" s="907" customFormat="1" ht="15.75" x14ac:dyDescent="0.25">
      <c r="A41" s="926">
        <v>11</v>
      </c>
      <c r="B41" s="978" t="s">
        <v>1898</v>
      </c>
      <c r="C41" s="899"/>
      <c r="D41" s="899"/>
      <c r="E41" s="899"/>
      <c r="G41" s="899"/>
      <c r="H41" s="899"/>
      <c r="I41" s="899"/>
      <c r="J41" s="899"/>
      <c r="K41" s="899"/>
      <c r="L41" s="899"/>
      <c r="M41" s="898"/>
    </row>
    <row r="42" spans="1:13" s="907" customFormat="1" x14ac:dyDescent="0.2">
      <c r="A42" s="926">
        <v>12</v>
      </c>
      <c r="B42" s="899"/>
      <c r="C42" s="909" t="s">
        <v>396</v>
      </c>
      <c r="D42" s="909" t="s">
        <v>380</v>
      </c>
      <c r="E42" s="909" t="s">
        <v>381</v>
      </c>
      <c r="F42" s="909" t="s">
        <v>382</v>
      </c>
      <c r="G42" s="909" t="s">
        <v>383</v>
      </c>
      <c r="H42" s="909" t="s">
        <v>384</v>
      </c>
      <c r="I42" s="909" t="s">
        <v>385</v>
      </c>
      <c r="J42" s="909" t="s">
        <v>599</v>
      </c>
      <c r="K42" s="909" t="s">
        <v>1048</v>
      </c>
      <c r="L42" s="909" t="s">
        <v>1064</v>
      </c>
      <c r="M42" s="898"/>
    </row>
    <row r="43" spans="1:13" s="919" customFormat="1" ht="38.25" x14ac:dyDescent="0.2">
      <c r="A43" s="979">
        <v>13</v>
      </c>
      <c r="B43" s="914"/>
      <c r="C43" s="964" t="s">
        <v>2804</v>
      </c>
      <c r="D43" s="964" t="s">
        <v>2820</v>
      </c>
      <c r="E43" s="964" t="s">
        <v>2821</v>
      </c>
      <c r="G43" s="964" t="s">
        <v>2822</v>
      </c>
      <c r="H43" s="964" t="s">
        <v>2823</v>
      </c>
      <c r="I43" s="964" t="s">
        <v>2824</v>
      </c>
      <c r="J43" s="964" t="s">
        <v>2825</v>
      </c>
      <c r="K43" s="964" t="s">
        <v>2826</v>
      </c>
      <c r="L43" s="915"/>
      <c r="M43" s="915"/>
    </row>
    <row r="44" spans="1:13" s="907" customFormat="1" x14ac:dyDescent="0.2">
      <c r="A44" s="926">
        <v>14</v>
      </c>
      <c r="B44" s="899"/>
      <c r="C44" s="910"/>
      <c r="D44" s="980"/>
      <c r="E44" s="959" t="s">
        <v>1315</v>
      </c>
      <c r="G44" s="959"/>
      <c r="H44" s="959" t="s">
        <v>1317</v>
      </c>
      <c r="I44" s="910" t="s">
        <v>1318</v>
      </c>
      <c r="J44" s="981"/>
      <c r="K44" s="981"/>
      <c r="L44" s="910"/>
      <c r="M44" s="959"/>
    </row>
    <row r="45" spans="1:13" s="913" customFormat="1" ht="63.75" x14ac:dyDescent="0.2">
      <c r="A45" s="926">
        <v>15</v>
      </c>
      <c r="B45" s="923" t="str">
        <f>B11</f>
        <v>CPUC Rate Group</v>
      </c>
      <c r="C45" s="925" t="s">
        <v>1299</v>
      </c>
      <c r="D45" s="925" t="s">
        <v>2827</v>
      </c>
      <c r="E45" s="925" t="s">
        <v>2828</v>
      </c>
      <c r="G45" s="925" t="s">
        <v>1321</v>
      </c>
      <c r="H45" s="925" t="s">
        <v>2829</v>
      </c>
      <c r="I45" s="968" t="s">
        <v>2830</v>
      </c>
      <c r="J45" s="925" t="s">
        <v>2831</v>
      </c>
      <c r="K45" s="968" t="s">
        <v>2832</v>
      </c>
      <c r="L45" s="982" t="s">
        <v>189</v>
      </c>
      <c r="M45" s="898"/>
    </row>
    <row r="46" spans="1:13" s="907" customFormat="1" ht="13.5" thickBot="1" x14ac:dyDescent="0.25">
      <c r="A46" s="926" t="s">
        <v>2833</v>
      </c>
      <c r="B46" s="553" t="str">
        <f>B12</f>
        <v>Domestic</v>
      </c>
      <c r="C46" s="973">
        <f>D12</f>
        <v>331477186.2037676</v>
      </c>
      <c r="D46" s="973">
        <f>C46-E46</f>
        <v>331477186.2037676</v>
      </c>
      <c r="E46" s="983"/>
      <c r="G46" s="983">
        <f>D46/(E12*10^6)</f>
        <v>1.139773356872549E-2</v>
      </c>
      <c r="H46" s="983"/>
      <c r="I46" s="984"/>
      <c r="J46" s="985"/>
      <c r="K46" s="983"/>
      <c r="L46" s="983"/>
      <c r="M46" s="959"/>
    </row>
    <row r="47" spans="1:13" s="907" customFormat="1" ht="13.5" thickBot="1" x14ac:dyDescent="0.25">
      <c r="A47" s="926" t="s">
        <v>2834</v>
      </c>
      <c r="B47" s="553" t="str">
        <f>B13</f>
        <v>GS-1</v>
      </c>
      <c r="C47" s="973">
        <f>D13</f>
        <v>55915220.836060248</v>
      </c>
      <c r="D47" s="973">
        <f>C47-E47</f>
        <v>55914413.524543576</v>
      </c>
      <c r="E47" s="973">
        <f>I47*L13*10^3</f>
        <v>807.31151667394408</v>
      </c>
      <c r="G47" s="983">
        <f>D47/(E13*10^6)</f>
        <v>1.1497041198379377E-2</v>
      </c>
      <c r="H47" s="986">
        <f>(J14-E47)/K13/10^3</f>
        <v>2.11707565561349</v>
      </c>
      <c r="I47" s="987">
        <f>MIN($I$54,I14)</f>
        <v>2.11707565561349</v>
      </c>
      <c r="J47" s="987"/>
      <c r="K47" s="987"/>
      <c r="L47" s="988" t="s">
        <v>1319</v>
      </c>
      <c r="M47" s="959"/>
    </row>
    <row r="48" spans="1:13" s="907" customFormat="1" x14ac:dyDescent="0.2">
      <c r="A48" s="926" t="s">
        <v>2835</v>
      </c>
      <c r="B48" s="553" t="str">
        <f t="shared" ref="B48:B59" si="5">B15</f>
        <v>TC-1</v>
      </c>
      <c r="C48" s="973">
        <f t="shared" ref="C48:C59" si="6">D15</f>
        <v>416458.13946324657</v>
      </c>
      <c r="D48" s="973">
        <f t="shared" ref="D48:D58" si="7">C48-E48</f>
        <v>416458.13946324657</v>
      </c>
      <c r="E48" s="983"/>
      <c r="G48" s="983">
        <f>D48/(E15*10^6)</f>
        <v>6.8653987346003493E-3</v>
      </c>
      <c r="H48" s="983"/>
      <c r="I48" s="984"/>
      <c r="J48" s="985"/>
      <c r="K48" s="983"/>
      <c r="L48" s="983"/>
      <c r="M48" s="959"/>
    </row>
    <row r="49" spans="1:13" s="907" customFormat="1" x14ac:dyDescent="0.2">
      <c r="A49" s="926" t="s">
        <v>2836</v>
      </c>
      <c r="B49" s="553" t="str">
        <f t="shared" si="5"/>
        <v>GS-2</v>
      </c>
      <c r="C49" s="973">
        <f t="shared" si="6"/>
        <v>160616783.24498779</v>
      </c>
      <c r="D49" s="973">
        <f>C49-E49</f>
        <v>160534295.61978322</v>
      </c>
      <c r="E49" s="973">
        <f>I49*G16*10^3</f>
        <v>82487.625204557378</v>
      </c>
      <c r="G49" s="973"/>
      <c r="H49" s="989">
        <f t="shared" ref="H49:H58" si="8">D49/F16/10^3</f>
        <v>3.0401845435160704</v>
      </c>
      <c r="I49" s="990">
        <f>MIN($I$54,I16)</f>
        <v>2.2816941729390128</v>
      </c>
      <c r="J49" s="985"/>
      <c r="K49" s="983"/>
      <c r="L49" s="983"/>
      <c r="M49" s="959"/>
    </row>
    <row r="50" spans="1:13" s="907" customFormat="1" x14ac:dyDescent="0.2">
      <c r="A50" s="926" t="s">
        <v>2837</v>
      </c>
      <c r="B50" s="553" t="str">
        <f t="shared" si="5"/>
        <v>TOU-GS-3</v>
      </c>
      <c r="C50" s="973">
        <f t="shared" si="6"/>
        <v>83066627.256046504</v>
      </c>
      <c r="D50" s="973">
        <f>C50-E50</f>
        <v>82874791.536762476</v>
      </c>
      <c r="E50" s="973">
        <f>I50*G17*10^3</f>
        <v>191835.71928402042</v>
      </c>
      <c r="G50" s="973"/>
      <c r="H50" s="989">
        <f t="shared" si="8"/>
        <v>3.4314605065707808</v>
      </c>
      <c r="I50" s="990">
        <f>MIN($I$54,I17)</f>
        <v>2.2816941729390128</v>
      </c>
      <c r="J50" s="985"/>
      <c r="K50" s="983"/>
      <c r="L50" s="983"/>
      <c r="M50" s="959"/>
    </row>
    <row r="51" spans="1:13" s="907" customFormat="1" x14ac:dyDescent="0.2">
      <c r="A51" s="926" t="s">
        <v>2838</v>
      </c>
      <c r="B51" s="553" t="str">
        <f t="shared" si="5"/>
        <v>TOU-8-SEC</v>
      </c>
      <c r="C51" s="973">
        <f t="shared" si="6"/>
        <v>76510139.46632728</v>
      </c>
      <c r="D51" s="973">
        <f>C51-E51</f>
        <v>76510139.46632728</v>
      </c>
      <c r="E51" s="983"/>
      <c r="G51" s="973"/>
      <c r="H51" s="989">
        <f t="shared" si="8"/>
        <v>3.5749508444250013</v>
      </c>
      <c r="I51" s="984"/>
      <c r="J51" s="985"/>
      <c r="K51" s="983"/>
      <c r="L51" s="983"/>
      <c r="M51" s="959"/>
    </row>
    <row r="52" spans="1:13" s="907" customFormat="1" x14ac:dyDescent="0.2">
      <c r="A52" s="926" t="s">
        <v>2839</v>
      </c>
      <c r="B52" s="553" t="str">
        <f t="shared" si="5"/>
        <v>TOU-8-PRI</v>
      </c>
      <c r="C52" s="973">
        <f t="shared" si="6"/>
        <v>45225353.359762952</v>
      </c>
      <c r="D52" s="973">
        <f t="shared" si="7"/>
        <v>45225353.359762952</v>
      </c>
      <c r="E52" s="983"/>
      <c r="G52" s="973"/>
      <c r="H52" s="989">
        <f t="shared" si="8"/>
        <v>3.4986243263998666</v>
      </c>
      <c r="I52" s="984"/>
      <c r="J52" s="985"/>
      <c r="K52" s="983"/>
      <c r="L52" s="983"/>
      <c r="M52" s="959"/>
    </row>
    <row r="53" spans="1:13" s="907" customFormat="1" x14ac:dyDescent="0.2">
      <c r="A53" s="926" t="s">
        <v>2840</v>
      </c>
      <c r="B53" s="553" t="str">
        <f t="shared" si="5"/>
        <v>TOU-8-SUB</v>
      </c>
      <c r="C53" s="973">
        <f t="shared" si="6"/>
        <v>42426554.42178151</v>
      </c>
      <c r="D53" s="973">
        <f t="shared" si="7"/>
        <v>42426554.42178151</v>
      </c>
      <c r="E53" s="983"/>
      <c r="G53" s="973"/>
      <c r="H53" s="989">
        <f t="shared" si="8"/>
        <v>3.3928827382871738</v>
      </c>
      <c r="I53" s="984"/>
      <c r="J53" s="991"/>
      <c r="K53" s="992"/>
      <c r="L53" s="992"/>
      <c r="M53" s="959"/>
    </row>
    <row r="54" spans="1:13" s="907" customFormat="1" x14ac:dyDescent="0.2">
      <c r="A54" s="926" t="s">
        <v>2841</v>
      </c>
      <c r="B54" s="553" t="str">
        <f t="shared" si="5"/>
        <v>TOU-8-Standby-SEC</v>
      </c>
      <c r="C54" s="973">
        <f t="shared" si="6"/>
        <v>2019901.7120075116</v>
      </c>
      <c r="D54" s="973">
        <f t="shared" si="7"/>
        <v>975926.23334430391</v>
      </c>
      <c r="E54" s="973">
        <f>I54*G21*10^3</f>
        <v>1043975.4786632077</v>
      </c>
      <c r="G54" s="973"/>
      <c r="H54" s="989">
        <f t="shared" si="8"/>
        <v>3.2657735013911062</v>
      </c>
      <c r="I54" s="990">
        <f>I36</f>
        <v>2.2816941729390128</v>
      </c>
      <c r="J54" s="991"/>
      <c r="K54" s="992"/>
      <c r="L54" s="992"/>
      <c r="M54" s="959"/>
    </row>
    <row r="55" spans="1:13" s="907" customFormat="1" x14ac:dyDescent="0.2">
      <c r="A55" s="926" t="s">
        <v>2842</v>
      </c>
      <c r="B55" s="553" t="str">
        <f t="shared" si="5"/>
        <v>TOU-8-Standby-PRI</v>
      </c>
      <c r="C55" s="973">
        <f t="shared" si="6"/>
        <v>5793466.5392607488</v>
      </c>
      <c r="D55" s="973">
        <f t="shared" si="7"/>
        <v>3435916.6203284394</v>
      </c>
      <c r="E55" s="973">
        <f>I55*G22*10^3</f>
        <v>2357549.9189323094</v>
      </c>
      <c r="G55" s="973"/>
      <c r="H55" s="989">
        <f t="shared" si="8"/>
        <v>3.4444136469996343</v>
      </c>
      <c r="I55" s="990">
        <f>I37</f>
        <v>1.612516317315728</v>
      </c>
      <c r="J55" s="991"/>
      <c r="K55" s="992"/>
      <c r="L55" s="992"/>
      <c r="M55" s="959"/>
    </row>
    <row r="56" spans="1:13" s="907" customFormat="1" ht="13.5" thickBot="1" x14ac:dyDescent="0.25">
      <c r="A56" s="926" t="s">
        <v>2843</v>
      </c>
      <c r="B56" s="553" t="str">
        <f t="shared" si="5"/>
        <v>TOU-8-Standby-SUB</v>
      </c>
      <c r="C56" s="973">
        <f t="shared" si="6"/>
        <v>13022770.383963667</v>
      </c>
      <c r="D56" s="973">
        <f t="shared" si="7"/>
        <v>8710129.093162667</v>
      </c>
      <c r="E56" s="973">
        <f>I56*G23*10^3</f>
        <v>4312641.2908010008</v>
      </c>
      <c r="G56" s="973"/>
      <c r="H56" s="989">
        <f t="shared" si="8"/>
        <v>3.4425800830924729</v>
      </c>
      <c r="I56" s="990">
        <f>I38</f>
        <v>0.49583827101438427</v>
      </c>
      <c r="J56" s="991"/>
      <c r="K56" s="992"/>
      <c r="L56" s="992"/>
      <c r="M56" s="959"/>
    </row>
    <row r="57" spans="1:13" s="907" customFormat="1" ht="13.5" thickBot="1" x14ac:dyDescent="0.25">
      <c r="A57" s="926" t="s">
        <v>2844</v>
      </c>
      <c r="B57" s="553" t="str">
        <f t="shared" si="5"/>
        <v>TOU-PA-2</v>
      </c>
      <c r="C57" s="973">
        <f t="shared" si="6"/>
        <v>12385900.730604487</v>
      </c>
      <c r="D57" s="973">
        <f t="shared" si="7"/>
        <v>12379423.922290973</v>
      </c>
      <c r="E57" s="973">
        <f>I57*G24*10^3</f>
        <v>6476.8083135127754</v>
      </c>
      <c r="G57" s="973"/>
      <c r="H57" s="989">
        <f t="shared" si="8"/>
        <v>1.2600794384266101</v>
      </c>
      <c r="I57" s="990">
        <f>MIN($I$54,I24)</f>
        <v>1.2600794384266101</v>
      </c>
      <c r="J57" s="993">
        <f>H57*0.746</f>
        <v>0.94001926106625111</v>
      </c>
      <c r="K57" s="987">
        <f>I57*0.746</f>
        <v>0.94001926106625111</v>
      </c>
      <c r="L57" s="988" t="s">
        <v>1320</v>
      </c>
      <c r="M57" s="910"/>
    </row>
    <row r="58" spans="1:13" s="907" customFormat="1" x14ac:dyDescent="0.2">
      <c r="A58" s="926" t="s">
        <v>2845</v>
      </c>
      <c r="B58" s="553" t="str">
        <f t="shared" si="5"/>
        <v>TOU-PA-3</v>
      </c>
      <c r="C58" s="973">
        <f t="shared" si="6"/>
        <v>7727412.8861877816</v>
      </c>
      <c r="D58" s="973">
        <f t="shared" si="7"/>
        <v>7717269.9189190865</v>
      </c>
      <c r="E58" s="973">
        <f>I58*G25*10^3</f>
        <v>10142.967268695296</v>
      </c>
      <c r="G58" s="973"/>
      <c r="H58" s="989">
        <f t="shared" si="8"/>
        <v>1.685998548652808</v>
      </c>
      <c r="I58" s="990">
        <f>MIN($I$54,I25)</f>
        <v>1.6859985486528084</v>
      </c>
      <c r="J58" s="985"/>
      <c r="K58" s="983"/>
      <c r="L58" s="983"/>
      <c r="M58" s="910"/>
    </row>
    <row r="59" spans="1:13" s="907" customFormat="1" x14ac:dyDescent="0.2">
      <c r="A59" s="926" t="s">
        <v>2846</v>
      </c>
      <c r="B59" s="553" t="str">
        <f t="shared" si="5"/>
        <v>Street Lighting</v>
      </c>
      <c r="C59" s="973">
        <f t="shared" si="6"/>
        <v>3435442.4342539851</v>
      </c>
      <c r="D59" s="973">
        <f>C59-E59</f>
        <v>3435442.4342539851</v>
      </c>
      <c r="E59" s="983"/>
      <c r="G59" s="983">
        <f>D59/(E26*10^6)</f>
        <v>4.6035716803388702E-3</v>
      </c>
      <c r="H59" s="983"/>
      <c r="I59" s="984"/>
      <c r="J59" s="985"/>
      <c r="K59" s="983"/>
      <c r="L59" s="983"/>
      <c r="M59" s="910"/>
    </row>
    <row r="60" spans="1:13" s="907" customFormat="1" x14ac:dyDescent="0.2">
      <c r="A60" s="926" t="s">
        <v>2847</v>
      </c>
      <c r="B60" s="952" t="s">
        <v>88</v>
      </c>
      <c r="C60" s="973"/>
      <c r="D60" s="973"/>
      <c r="E60" s="983"/>
      <c r="G60" s="983"/>
      <c r="H60" s="983"/>
      <c r="I60" s="984"/>
      <c r="J60" s="985"/>
      <c r="K60" s="983"/>
      <c r="L60" s="983"/>
      <c r="M60" s="910"/>
    </row>
    <row r="61" spans="1:13" s="907" customFormat="1" x14ac:dyDescent="0.2">
      <c r="A61" s="926">
        <v>17</v>
      </c>
      <c r="B61" s="554" t="s">
        <v>218</v>
      </c>
      <c r="C61" s="957">
        <f>SUM(C46:C60)</f>
        <v>840039217.61447537</v>
      </c>
      <c r="D61" s="957">
        <f>SUM(D46:D60)</f>
        <v>832033300.49449122</v>
      </c>
      <c r="E61" s="957">
        <f>SUM(E46:E59)</f>
        <v>8005917.1199839776</v>
      </c>
      <c r="G61" s="994"/>
      <c r="H61" s="994"/>
      <c r="I61" s="994"/>
      <c r="J61" s="994"/>
      <c r="K61" s="896"/>
      <c r="L61" s="896"/>
      <c r="M61" s="910"/>
    </row>
    <row r="62" spans="1:13" s="907" customFormat="1" x14ac:dyDescent="0.2">
      <c r="A62" s="926">
        <v>18</v>
      </c>
      <c r="B62" s="899"/>
      <c r="C62" s="899"/>
      <c r="D62" s="899"/>
      <c r="E62" s="899"/>
      <c r="F62" s="899"/>
      <c r="G62" s="899"/>
      <c r="H62" s="899"/>
      <c r="I62" s="896"/>
      <c r="J62" s="896"/>
      <c r="K62" s="896"/>
      <c r="L62" s="896"/>
      <c r="M62" s="898"/>
    </row>
    <row r="63" spans="1:13" s="907" customFormat="1" x14ac:dyDescent="0.2">
      <c r="A63" s="926">
        <v>19</v>
      </c>
      <c r="B63" s="995" t="s">
        <v>258</v>
      </c>
      <c r="C63" s="899"/>
      <c r="D63" s="899"/>
      <c r="E63" s="899"/>
      <c r="F63" s="899"/>
      <c r="G63" s="899"/>
      <c r="H63" s="899"/>
      <c r="I63" s="896"/>
      <c r="J63" s="896"/>
      <c r="K63" s="896"/>
      <c r="L63" s="896"/>
      <c r="M63" s="898"/>
    </row>
    <row r="64" spans="1:13" s="907" customFormat="1" x14ac:dyDescent="0.2">
      <c r="A64" s="899"/>
      <c r="B64" s="996" t="s">
        <v>2848</v>
      </c>
      <c r="I64" s="996"/>
      <c r="J64" s="996"/>
      <c r="K64" s="996"/>
      <c r="L64" s="996"/>
      <c r="M64" s="898"/>
    </row>
    <row r="65" spans="1:13" s="907" customFormat="1" x14ac:dyDescent="0.2">
      <c r="A65" s="899"/>
      <c r="B65" s="996" t="s">
        <v>2849</v>
      </c>
      <c r="I65" s="996"/>
      <c r="J65" s="996"/>
      <c r="K65" s="996"/>
      <c r="L65" s="996"/>
      <c r="M65" s="898"/>
    </row>
    <row r="66" spans="1:13" s="907" customFormat="1" x14ac:dyDescent="0.2">
      <c r="A66" s="899"/>
      <c r="B66" s="996" t="s">
        <v>2850</v>
      </c>
      <c r="I66" s="996"/>
      <c r="J66" s="996"/>
      <c r="K66" s="996"/>
      <c r="L66" s="996"/>
      <c r="M66" s="898"/>
    </row>
    <row r="67" spans="1:13" s="907" customFormat="1" x14ac:dyDescent="0.2">
      <c r="A67" s="899"/>
      <c r="B67" s="996" t="s">
        <v>2851</v>
      </c>
      <c r="I67" s="996"/>
      <c r="J67" s="996"/>
      <c r="K67" s="996"/>
      <c r="L67" s="996"/>
      <c r="M67" s="898"/>
    </row>
    <row r="68" spans="1:13" s="907" customFormat="1" x14ac:dyDescent="0.2">
      <c r="A68" s="899"/>
      <c r="B68" s="996" t="s">
        <v>2852</v>
      </c>
      <c r="I68" s="996"/>
      <c r="J68" s="996"/>
      <c r="K68" s="996"/>
      <c r="L68" s="996"/>
      <c r="M68" s="898"/>
    </row>
    <row r="69" spans="1:13" s="907" customFormat="1" ht="15.75" x14ac:dyDescent="0.3">
      <c r="A69" s="899"/>
      <c r="B69" s="996" t="s">
        <v>2853</v>
      </c>
      <c r="I69" s="996"/>
      <c r="J69" s="996"/>
      <c r="K69" s="996"/>
      <c r="L69" s="996"/>
      <c r="M69" s="898"/>
    </row>
    <row r="70" spans="1:13" s="907" customFormat="1" x14ac:dyDescent="0.2">
      <c r="A70" s="899"/>
      <c r="B70" s="996" t="s">
        <v>2854</v>
      </c>
      <c r="I70" s="996"/>
      <c r="J70" s="996"/>
      <c r="K70" s="996"/>
      <c r="L70" s="996"/>
      <c r="M70" s="898"/>
    </row>
    <row r="71" spans="1:13" s="907" customFormat="1" ht="15.75" x14ac:dyDescent="0.3">
      <c r="A71" s="899"/>
      <c r="B71" s="996" t="s">
        <v>2855</v>
      </c>
      <c r="I71" s="996"/>
      <c r="J71" s="996"/>
      <c r="K71" s="996"/>
      <c r="L71" s="996"/>
      <c r="M71" s="898"/>
    </row>
    <row r="72" spans="1:13" s="907" customFormat="1" x14ac:dyDescent="0.2">
      <c r="A72" s="899"/>
      <c r="B72" s="996" t="s">
        <v>2856</v>
      </c>
      <c r="I72" s="996"/>
      <c r="J72" s="996"/>
      <c r="K72" s="996"/>
      <c r="L72" s="996"/>
      <c r="M72" s="898"/>
    </row>
    <row r="73" spans="1:13" s="907" customFormat="1" x14ac:dyDescent="0.2">
      <c r="A73" s="899"/>
      <c r="B73" s="996" t="s">
        <v>2857</v>
      </c>
      <c r="I73" s="996"/>
      <c r="J73" s="996"/>
      <c r="K73" s="996"/>
      <c r="L73" s="996"/>
      <c r="M73" s="898"/>
    </row>
    <row r="74" spans="1:13" s="907" customFormat="1" x14ac:dyDescent="0.2">
      <c r="A74" s="899"/>
      <c r="B74" s="996" t="s">
        <v>2858</v>
      </c>
      <c r="I74" s="996"/>
      <c r="J74" s="996"/>
      <c r="K74" s="996"/>
      <c r="L74" s="996"/>
      <c r="M74" s="898"/>
    </row>
    <row r="75" spans="1:13" x14ac:dyDescent="0.2">
      <c r="A75" s="926">
        <v>20</v>
      </c>
    </row>
    <row r="76" spans="1:13" s="907" customFormat="1" x14ac:dyDescent="0.2">
      <c r="A76" s="926">
        <v>21</v>
      </c>
      <c r="B76" s="997"/>
      <c r="C76" s="899"/>
      <c r="D76" s="899"/>
      <c r="E76" s="899"/>
      <c r="F76" s="899"/>
      <c r="G76" s="899"/>
      <c r="H76" s="899"/>
      <c r="I76" s="899"/>
      <c r="J76" s="899"/>
      <c r="K76" s="899"/>
      <c r="L76" s="899"/>
      <c r="M76" s="898"/>
    </row>
    <row r="77" spans="1:13" s="907" customFormat="1" ht="15.75" x14ac:dyDescent="0.25">
      <c r="A77" s="926">
        <v>22</v>
      </c>
      <c r="B77" s="895" t="s">
        <v>1322</v>
      </c>
      <c r="C77" s="899"/>
      <c r="D77" s="899"/>
      <c r="E77" s="899"/>
      <c r="F77" s="899"/>
      <c r="G77" s="899"/>
      <c r="H77" s="899"/>
      <c r="I77" s="899"/>
      <c r="J77" s="899"/>
      <c r="K77" s="899"/>
      <c r="L77" s="899"/>
      <c r="M77" s="898"/>
    </row>
    <row r="78" spans="1:13" x14ac:dyDescent="0.2">
      <c r="A78" s="926">
        <v>23</v>
      </c>
    </row>
    <row r="79" spans="1:13" x14ac:dyDescent="0.2">
      <c r="A79" s="926">
        <v>24</v>
      </c>
    </row>
    <row r="80" spans="1:13" s="907" customFormat="1" ht="25.5" customHeight="1" x14ac:dyDescent="0.2">
      <c r="A80" s="926">
        <v>25</v>
      </c>
      <c r="B80" s="923" t="str">
        <f>B11</f>
        <v>CPUC Rate Group</v>
      </c>
      <c r="C80" s="998" t="s">
        <v>1323</v>
      </c>
      <c r="D80" s="999"/>
      <c r="E80" s="999"/>
      <c r="F80" s="999"/>
      <c r="G80" s="999"/>
      <c r="H80" s="999"/>
      <c r="I80" s="999"/>
      <c r="J80" s="1000"/>
      <c r="K80" s="899"/>
      <c r="L80" s="899"/>
      <c r="M80" s="898"/>
    </row>
    <row r="81" spans="1:13" s="907" customFormat="1" x14ac:dyDescent="0.2">
      <c r="A81" s="926" t="s">
        <v>2859</v>
      </c>
      <c r="B81" s="1001" t="s">
        <v>2775</v>
      </c>
      <c r="C81" s="1002" t="s">
        <v>2860</v>
      </c>
      <c r="D81" s="1003"/>
      <c r="E81" s="1003"/>
      <c r="F81" s="1003"/>
      <c r="G81" s="1003"/>
      <c r="H81" s="1003"/>
      <c r="I81" s="1004"/>
      <c r="J81" s="1004"/>
      <c r="K81" s="899"/>
      <c r="L81" s="899"/>
      <c r="M81" s="898"/>
    </row>
    <row r="82" spans="1:13" s="907" customFormat="1" x14ac:dyDescent="0.2">
      <c r="A82" s="926" t="s">
        <v>2861</v>
      </c>
      <c r="B82" s="1001" t="s">
        <v>2776</v>
      </c>
      <c r="C82" s="1002" t="s">
        <v>2862</v>
      </c>
      <c r="D82" s="1003"/>
      <c r="E82" s="1003"/>
      <c r="F82" s="1003"/>
      <c r="G82" s="1003"/>
      <c r="H82" s="1003"/>
      <c r="I82" s="1004"/>
      <c r="J82" s="1001"/>
      <c r="K82" s="899"/>
      <c r="L82" s="899"/>
      <c r="M82" s="898"/>
    </row>
    <row r="83" spans="1:13" s="907" customFormat="1" x14ac:dyDescent="0.2">
      <c r="A83" s="926" t="s">
        <v>2863</v>
      </c>
      <c r="B83" s="1001" t="s">
        <v>2778</v>
      </c>
      <c r="C83" s="1002" t="s">
        <v>2864</v>
      </c>
      <c r="D83" s="1003"/>
      <c r="E83" s="1003"/>
      <c r="F83" s="1003"/>
      <c r="G83" s="1003"/>
      <c r="H83" s="1003"/>
      <c r="I83" s="1004"/>
      <c r="J83" s="1001"/>
      <c r="K83" s="899"/>
      <c r="L83" s="899"/>
      <c r="M83" s="898"/>
    </row>
    <row r="84" spans="1:13" s="907" customFormat="1" x14ac:dyDescent="0.2">
      <c r="A84" s="926" t="s">
        <v>2865</v>
      </c>
      <c r="B84" s="1001" t="s">
        <v>2779</v>
      </c>
      <c r="C84" s="1002" t="s">
        <v>2866</v>
      </c>
      <c r="D84" s="1003"/>
      <c r="E84" s="1003"/>
      <c r="F84" s="1003"/>
      <c r="G84" s="1003"/>
      <c r="H84" s="1003"/>
      <c r="I84" s="1004"/>
      <c r="J84" s="1001"/>
      <c r="K84" s="899"/>
      <c r="L84" s="899"/>
      <c r="M84" s="898"/>
    </row>
    <row r="85" spans="1:13" s="907" customFormat="1" x14ac:dyDescent="0.2">
      <c r="A85" s="926" t="s">
        <v>2867</v>
      </c>
      <c r="B85" s="1001" t="s">
        <v>2780</v>
      </c>
      <c r="C85" s="1002" t="s">
        <v>2868</v>
      </c>
      <c r="D85" s="1003"/>
      <c r="E85" s="1003"/>
      <c r="F85" s="1003"/>
      <c r="G85" s="1003"/>
      <c r="H85" s="1003"/>
      <c r="I85" s="1004"/>
      <c r="J85" s="1001"/>
      <c r="K85" s="899"/>
      <c r="L85" s="899"/>
      <c r="M85" s="898"/>
    </row>
    <row r="86" spans="1:13" s="907" customFormat="1" x14ac:dyDescent="0.2">
      <c r="A86" s="926" t="s">
        <v>2869</v>
      </c>
      <c r="B86" s="1001" t="s">
        <v>2781</v>
      </c>
      <c r="C86" s="1002" t="s">
        <v>2870</v>
      </c>
      <c r="D86" s="1003"/>
      <c r="E86" s="1003"/>
      <c r="F86" s="1003"/>
      <c r="G86" s="1003"/>
      <c r="H86" s="1003"/>
      <c r="I86" s="1004"/>
      <c r="J86" s="1001"/>
      <c r="K86" s="899"/>
      <c r="L86" s="899"/>
      <c r="M86" s="898"/>
    </row>
    <row r="87" spans="1:13" x14ac:dyDescent="0.2">
      <c r="A87" s="926" t="s">
        <v>2871</v>
      </c>
      <c r="B87" s="1001" t="s">
        <v>2782</v>
      </c>
      <c r="C87" s="1002" t="s">
        <v>2870</v>
      </c>
      <c r="D87" s="1003"/>
      <c r="E87" s="1003"/>
      <c r="F87" s="1003"/>
      <c r="G87" s="1003"/>
      <c r="H87" s="1003"/>
      <c r="I87" s="1004"/>
      <c r="J87" s="1001"/>
    </row>
    <row r="88" spans="1:13" x14ac:dyDescent="0.2">
      <c r="A88" s="926" t="s">
        <v>2872</v>
      </c>
      <c r="B88" s="1001" t="s">
        <v>2783</v>
      </c>
      <c r="C88" s="1002" t="s">
        <v>2870</v>
      </c>
      <c r="D88" s="1003"/>
      <c r="E88" s="1003"/>
      <c r="F88" s="1003"/>
      <c r="G88" s="1003"/>
      <c r="H88" s="1003"/>
      <c r="I88" s="1004"/>
      <c r="J88" s="1001"/>
    </row>
    <row r="89" spans="1:13" x14ac:dyDescent="0.2">
      <c r="A89" s="926" t="s">
        <v>2873</v>
      </c>
      <c r="B89" s="1001" t="s">
        <v>2784</v>
      </c>
      <c r="C89" s="1002" t="s">
        <v>2874</v>
      </c>
      <c r="D89" s="1003"/>
      <c r="E89" s="1003"/>
      <c r="F89" s="1003"/>
      <c r="G89" s="1003"/>
      <c r="H89" s="1003"/>
      <c r="I89" s="1004"/>
      <c r="J89" s="1001"/>
    </row>
    <row r="90" spans="1:13" x14ac:dyDescent="0.2">
      <c r="A90" s="926" t="s">
        <v>2875</v>
      </c>
      <c r="B90" s="1001" t="s">
        <v>2785</v>
      </c>
      <c r="C90" s="1002" t="s">
        <v>2874</v>
      </c>
      <c r="D90" s="1003"/>
      <c r="E90" s="1003"/>
      <c r="F90" s="1003"/>
      <c r="G90" s="1003"/>
      <c r="H90" s="1003"/>
      <c r="I90" s="1004"/>
      <c r="J90" s="1001"/>
    </row>
    <row r="91" spans="1:13" x14ac:dyDescent="0.2">
      <c r="A91" s="926" t="s">
        <v>2876</v>
      </c>
      <c r="B91" s="1001" t="s">
        <v>2786</v>
      </c>
      <c r="C91" s="1002" t="s">
        <v>2874</v>
      </c>
      <c r="D91" s="1003"/>
      <c r="E91" s="1003"/>
      <c r="F91" s="1003"/>
      <c r="G91" s="1003"/>
      <c r="H91" s="1003"/>
      <c r="I91" s="1004"/>
      <c r="J91" s="1001"/>
    </row>
    <row r="92" spans="1:13" x14ac:dyDescent="0.2">
      <c r="A92" s="926" t="s">
        <v>2877</v>
      </c>
      <c r="B92" s="1001" t="s">
        <v>2787</v>
      </c>
      <c r="C92" s="1002" t="s">
        <v>2878</v>
      </c>
      <c r="D92" s="1003"/>
      <c r="E92" s="1003"/>
      <c r="F92" s="1003"/>
      <c r="G92" s="1003"/>
      <c r="H92" s="1003"/>
      <c r="I92" s="1004"/>
      <c r="J92" s="1001"/>
    </row>
    <row r="93" spans="1:13" x14ac:dyDescent="0.2">
      <c r="A93" s="926" t="s">
        <v>2879</v>
      </c>
      <c r="B93" s="1001" t="s">
        <v>2788</v>
      </c>
      <c r="C93" s="1002" t="s">
        <v>2880</v>
      </c>
      <c r="D93" s="1003"/>
      <c r="E93" s="1003"/>
      <c r="F93" s="1003"/>
      <c r="G93" s="1003"/>
      <c r="H93" s="1003"/>
      <c r="I93" s="1004"/>
      <c r="J93" s="1001"/>
    </row>
    <row r="94" spans="1:13" x14ac:dyDescent="0.2">
      <c r="A94" s="926" t="s">
        <v>2881</v>
      </c>
      <c r="B94" s="1001" t="s">
        <v>2789</v>
      </c>
      <c r="C94" s="1002" t="s">
        <v>2882</v>
      </c>
      <c r="D94" s="1003"/>
      <c r="E94" s="1003"/>
      <c r="F94" s="1003"/>
      <c r="G94" s="1003"/>
      <c r="H94" s="1003"/>
      <c r="I94" s="1004"/>
      <c r="J94" s="1001"/>
    </row>
    <row r="95" spans="1:13" x14ac:dyDescent="0.2">
      <c r="A95" s="926" t="s">
        <v>2883</v>
      </c>
      <c r="B95" s="1005" t="s">
        <v>88</v>
      </c>
      <c r="C95" s="1002"/>
      <c r="D95" s="1003"/>
      <c r="E95" s="1003"/>
      <c r="F95" s="1003"/>
      <c r="G95" s="1003"/>
      <c r="H95" s="1003"/>
      <c r="I95" s="1004"/>
      <c r="J95" s="1001"/>
    </row>
    <row r="96" spans="1:13" x14ac:dyDescent="0.2">
      <c r="A96" s="926">
        <v>27</v>
      </c>
    </row>
    <row r="97" spans="1:13" x14ac:dyDescent="0.2">
      <c r="A97" s="926">
        <f t="shared" ref="A97:A103" si="9">A96+1</f>
        <v>28</v>
      </c>
    </row>
    <row r="98" spans="1:13" ht="15.75" x14ac:dyDescent="0.25">
      <c r="A98" s="926">
        <f t="shared" si="9"/>
        <v>29</v>
      </c>
      <c r="B98" s="895" t="s">
        <v>1324</v>
      </c>
    </row>
    <row r="99" spans="1:13" x14ac:dyDescent="0.2">
      <c r="A99" s="926">
        <f t="shared" si="9"/>
        <v>30</v>
      </c>
      <c r="C99" s="909" t="s">
        <v>396</v>
      </c>
      <c r="D99" s="909" t="s">
        <v>380</v>
      </c>
      <c r="E99" s="909" t="s">
        <v>381</v>
      </c>
      <c r="F99" s="909" t="s">
        <v>382</v>
      </c>
      <c r="G99" s="1006" t="s">
        <v>383</v>
      </c>
      <c r="H99" s="1006" t="s">
        <v>384</v>
      </c>
      <c r="I99" s="1006" t="s">
        <v>385</v>
      </c>
      <c r="J99" s="1006" t="s">
        <v>599</v>
      </c>
      <c r="K99" s="1006" t="s">
        <v>1048</v>
      </c>
      <c r="L99" s="1007"/>
    </row>
    <row r="100" spans="1:13" s="914" customFormat="1" ht="38.25" x14ac:dyDescent="0.2">
      <c r="A100" s="1008">
        <f t="shared" si="9"/>
        <v>31</v>
      </c>
      <c r="C100" s="915"/>
      <c r="D100" s="915"/>
      <c r="E100" s="915"/>
      <c r="F100" s="964" t="s">
        <v>2884</v>
      </c>
      <c r="G100" s="1009"/>
      <c r="H100" s="964"/>
      <c r="I100" s="964" t="s">
        <v>2885</v>
      </c>
      <c r="J100" s="964" t="s">
        <v>2886</v>
      </c>
      <c r="K100" s="964" t="s">
        <v>2887</v>
      </c>
      <c r="L100" s="1010"/>
      <c r="M100" s="918"/>
    </row>
    <row r="101" spans="1:13" s="1011" customFormat="1" x14ac:dyDescent="0.2">
      <c r="A101" s="926">
        <f t="shared" si="9"/>
        <v>32</v>
      </c>
      <c r="C101" s="1012"/>
      <c r="D101" s="1012"/>
      <c r="E101" s="1012"/>
      <c r="F101" s="1013"/>
      <c r="G101" s="1014"/>
      <c r="H101" s="1013"/>
      <c r="I101" s="1013"/>
      <c r="J101" s="1013"/>
      <c r="K101" s="1013"/>
      <c r="L101" s="1015"/>
      <c r="M101" s="1016"/>
    </row>
    <row r="102" spans="1:13" ht="21.75" customHeight="1" x14ac:dyDescent="0.2">
      <c r="A102" s="926">
        <f t="shared" si="9"/>
        <v>33</v>
      </c>
      <c r="B102" s="1017"/>
      <c r="C102" s="1454" t="s">
        <v>1674</v>
      </c>
      <c r="D102" s="1455"/>
      <c r="E102" s="1455"/>
      <c r="F102" s="1456"/>
      <c r="G102" s="1017"/>
      <c r="H102" s="1018"/>
      <c r="I102" s="1017"/>
      <c r="J102" s="1019"/>
      <c r="K102" s="1020"/>
      <c r="L102" s="1021"/>
    </row>
    <row r="103" spans="1:13" s="959" customFormat="1" ht="47.25" customHeight="1" x14ac:dyDescent="0.2">
      <c r="A103" s="926">
        <f t="shared" si="9"/>
        <v>34</v>
      </c>
      <c r="B103" s="1022" t="str">
        <f>B11</f>
        <v>CPUC Rate Group</v>
      </c>
      <c r="C103" s="1023">
        <v>2009</v>
      </c>
      <c r="D103" s="1024">
        <v>2010</v>
      </c>
      <c r="E103" s="1024">
        <v>2011</v>
      </c>
      <c r="F103" s="1022" t="s">
        <v>2888</v>
      </c>
      <c r="G103" s="1022" t="s">
        <v>1325</v>
      </c>
      <c r="H103" s="1025" t="s">
        <v>2889</v>
      </c>
      <c r="I103" s="1022" t="s">
        <v>1693</v>
      </c>
      <c r="J103" s="1022" t="s">
        <v>1675</v>
      </c>
      <c r="K103" s="1022" t="s">
        <v>2890</v>
      </c>
      <c r="L103" s="1026"/>
      <c r="M103" s="898"/>
    </row>
    <row r="104" spans="1:13" x14ac:dyDescent="0.2">
      <c r="A104" s="926" t="s">
        <v>2891</v>
      </c>
      <c r="B104" s="553" t="str">
        <f>B12</f>
        <v>Domestic</v>
      </c>
      <c r="C104" s="1027">
        <v>68372.98</v>
      </c>
      <c r="D104" s="1027">
        <v>63487.76</v>
      </c>
      <c r="E104" s="1027">
        <v>66305.25</v>
      </c>
      <c r="F104" s="1028">
        <f>(C104+D104+E104)/3</f>
        <v>66055.33</v>
      </c>
      <c r="G104" s="1029">
        <v>1.0951</v>
      </c>
      <c r="H104" s="1030">
        <v>29007.428653333332</v>
      </c>
      <c r="I104" s="960">
        <f>E12</f>
        <v>29082.728088443448</v>
      </c>
      <c r="J104" s="1028">
        <f>F104*G104/H104*I104</f>
        <v>72524.969633014931</v>
      </c>
      <c r="K104" s="927">
        <f t="shared" ref="K104:K117" si="10">J104/$J$119</f>
        <v>0.39459727504757347</v>
      </c>
      <c r="L104" s="1031"/>
      <c r="M104" s="1032"/>
    </row>
    <row r="105" spans="1:13" x14ac:dyDescent="0.2">
      <c r="A105" s="926" t="s">
        <v>2892</v>
      </c>
      <c r="B105" s="553" t="str">
        <f>B13</f>
        <v>GS-1</v>
      </c>
      <c r="C105" s="1027">
        <v>10674.88</v>
      </c>
      <c r="D105" s="1027">
        <v>10675.43</v>
      </c>
      <c r="E105" s="1027">
        <v>11305.81</v>
      </c>
      <c r="F105" s="1028">
        <f t="shared" ref="F105:F117" si="11">(C105+D105+E105)/3</f>
        <v>10885.373333333331</v>
      </c>
      <c r="G105" s="1029">
        <v>1.0952999999999999</v>
      </c>
      <c r="H105" s="1030">
        <v>4739.6922766666667</v>
      </c>
      <c r="I105" s="960">
        <f>E13</f>
        <v>4863.3741986090536</v>
      </c>
      <c r="J105" s="1028">
        <f t="shared" ref="J105:J117" si="12">F105*G105/H105*I105</f>
        <v>12233.872682464867</v>
      </c>
      <c r="K105" s="927">
        <f t="shared" si="10"/>
        <v>6.6562631438621442E-2</v>
      </c>
      <c r="L105" s="1031"/>
      <c r="M105" s="1032"/>
    </row>
    <row r="106" spans="1:13" x14ac:dyDescent="0.2">
      <c r="A106" s="926" t="s">
        <v>2893</v>
      </c>
      <c r="B106" s="553" t="str">
        <f t="shared" ref="B106:B117" si="13">B15</f>
        <v>TC-1</v>
      </c>
      <c r="C106" s="1027">
        <v>92.98</v>
      </c>
      <c r="D106" s="1027">
        <v>90.64</v>
      </c>
      <c r="E106" s="1027">
        <v>87.56</v>
      </c>
      <c r="F106" s="1028">
        <f t="shared" si="11"/>
        <v>90.393333333333331</v>
      </c>
      <c r="G106" s="1029">
        <v>1.0964</v>
      </c>
      <c r="H106" s="1030">
        <v>65.979003333333338</v>
      </c>
      <c r="I106" s="960">
        <f t="shared" ref="I106:I117" si="14">E15</f>
        <v>60.660444580498144</v>
      </c>
      <c r="J106" s="1028">
        <f t="shared" si="12"/>
        <v>91.118228267531236</v>
      </c>
      <c r="K106" s="927">
        <f t="shared" si="10"/>
        <v>4.9576035348194221E-4</v>
      </c>
      <c r="L106" s="1031"/>
      <c r="M106" s="1032"/>
    </row>
    <row r="107" spans="1:13" x14ac:dyDescent="0.2">
      <c r="A107" s="926" t="s">
        <v>2894</v>
      </c>
      <c r="B107" s="553" t="str">
        <f t="shared" si="13"/>
        <v>GS-2</v>
      </c>
      <c r="C107" s="1027">
        <v>32332.23</v>
      </c>
      <c r="D107" s="1027">
        <v>33001.040000000001</v>
      </c>
      <c r="E107" s="1027">
        <v>31688.97</v>
      </c>
      <c r="F107" s="1028">
        <f t="shared" si="11"/>
        <v>32340.74666666667</v>
      </c>
      <c r="G107" s="1029">
        <v>1.095</v>
      </c>
      <c r="H107" s="1030">
        <v>15292.892893333332</v>
      </c>
      <c r="I107" s="960">
        <f t="shared" si="14"/>
        <v>15175.755505652023</v>
      </c>
      <c r="J107" s="1028">
        <f t="shared" si="12"/>
        <v>35141.867411154228</v>
      </c>
      <c r="K107" s="927">
        <f t="shared" si="10"/>
        <v>0.19120152949656771</v>
      </c>
      <c r="L107" s="1031"/>
      <c r="M107" s="1032"/>
    </row>
    <row r="108" spans="1:13" x14ac:dyDescent="0.2">
      <c r="A108" s="926" t="s">
        <v>2895</v>
      </c>
      <c r="B108" s="553" t="str">
        <f t="shared" si="13"/>
        <v>TOU-GS-3</v>
      </c>
      <c r="C108" s="1027">
        <v>15963.6</v>
      </c>
      <c r="D108" s="1027">
        <v>16556.07</v>
      </c>
      <c r="E108" s="1027">
        <v>16003.05</v>
      </c>
      <c r="F108" s="1028">
        <f t="shared" si="11"/>
        <v>16174.24</v>
      </c>
      <c r="G108" s="1029">
        <v>1.0945</v>
      </c>
      <c r="H108" s="1030">
        <v>8304.7614000000012</v>
      </c>
      <c r="I108" s="960">
        <f t="shared" si="14"/>
        <v>8526.0524452159534</v>
      </c>
      <c r="J108" s="1028">
        <f t="shared" si="12"/>
        <v>18174.417033811751</v>
      </c>
      <c r="K108" s="927">
        <f t="shared" si="10"/>
        <v>9.8884225300739231E-2</v>
      </c>
      <c r="L108" s="1031"/>
      <c r="M108" s="1032"/>
    </row>
    <row r="109" spans="1:13" x14ac:dyDescent="0.2">
      <c r="A109" s="926" t="s">
        <v>2896</v>
      </c>
      <c r="B109" s="553" t="str">
        <f t="shared" si="13"/>
        <v>TOU-8-SEC</v>
      </c>
      <c r="C109" s="1027">
        <v>15834</v>
      </c>
      <c r="D109" s="1027">
        <v>15647.35</v>
      </c>
      <c r="E109" s="1027">
        <v>15151.84</v>
      </c>
      <c r="F109" s="1028">
        <f t="shared" si="11"/>
        <v>15544.396666666667</v>
      </c>
      <c r="G109" s="1029">
        <v>1.0954999999999999</v>
      </c>
      <c r="H109" s="1033">
        <v>8688.1736933333341</v>
      </c>
      <c r="I109" s="960">
        <f t="shared" si="14"/>
        <v>8540.7330605523057</v>
      </c>
      <c r="J109" s="1028">
        <f t="shared" si="12"/>
        <v>16739.901786188308</v>
      </c>
      <c r="K109" s="927">
        <f t="shared" si="10"/>
        <v>9.1079247089914508E-2</v>
      </c>
      <c r="L109" s="1031"/>
      <c r="M109" s="1032"/>
    </row>
    <row r="110" spans="1:13" x14ac:dyDescent="0.2">
      <c r="A110" s="926" t="s">
        <v>2897</v>
      </c>
      <c r="B110" s="553" t="str">
        <f t="shared" si="13"/>
        <v>TOU-8-PRI</v>
      </c>
      <c r="C110" s="1027">
        <v>9521.08</v>
      </c>
      <c r="D110" s="1027">
        <v>9421.32</v>
      </c>
      <c r="E110" s="1027">
        <v>9160.68</v>
      </c>
      <c r="F110" s="1028">
        <f t="shared" si="11"/>
        <v>9367.6933333333345</v>
      </c>
      <c r="G110" s="1029">
        <v>1.0674999999999999</v>
      </c>
      <c r="H110" s="1033">
        <v>5711.4405900000002</v>
      </c>
      <c r="I110" s="960">
        <f t="shared" si="14"/>
        <v>5651.4643951083772</v>
      </c>
      <c r="J110" s="1028">
        <f t="shared" si="12"/>
        <v>9895.001875160413</v>
      </c>
      <c r="K110" s="927">
        <f t="shared" si="10"/>
        <v>5.383719284939207E-2</v>
      </c>
      <c r="L110" s="1031"/>
      <c r="M110" s="1032"/>
    </row>
    <row r="111" spans="1:13" x14ac:dyDescent="0.2">
      <c r="A111" s="926" t="s">
        <v>2898</v>
      </c>
      <c r="B111" s="553" t="str">
        <f t="shared" si="13"/>
        <v>TOU-8-SUB</v>
      </c>
      <c r="C111" s="1027">
        <v>8382.02</v>
      </c>
      <c r="D111" s="1027">
        <v>8120.79</v>
      </c>
      <c r="E111" s="1027">
        <v>8580.5499999999993</v>
      </c>
      <c r="F111" s="1028">
        <f t="shared" si="11"/>
        <v>8361.1200000000008</v>
      </c>
      <c r="G111" s="1029">
        <v>1.0330999999999999</v>
      </c>
      <c r="H111" s="1033">
        <v>5820.4473633333337</v>
      </c>
      <c r="I111" s="960">
        <f t="shared" si="14"/>
        <v>6254.9122730401341</v>
      </c>
      <c r="J111" s="1028">
        <f t="shared" si="12"/>
        <v>9282.6435698704681</v>
      </c>
      <c r="K111" s="927">
        <f t="shared" si="10"/>
        <v>5.0505444903231403E-2</v>
      </c>
      <c r="L111" s="1031"/>
      <c r="M111" s="1032"/>
    </row>
    <row r="112" spans="1:13" x14ac:dyDescent="0.2">
      <c r="A112" s="926" t="s">
        <v>2899</v>
      </c>
      <c r="B112" s="553" t="str">
        <f t="shared" si="13"/>
        <v>TOU-8-Standby-SEC</v>
      </c>
      <c r="C112" s="1027">
        <v>382.99</v>
      </c>
      <c r="D112" s="1027">
        <v>422.64</v>
      </c>
      <c r="E112" s="1027">
        <v>421.56</v>
      </c>
      <c r="F112" s="1028">
        <f t="shared" si="11"/>
        <v>409.06333333333333</v>
      </c>
      <c r="G112" s="1029">
        <v>1.0959000000000001</v>
      </c>
      <c r="H112" s="1033">
        <v>244.65651333333332</v>
      </c>
      <c r="I112" s="960">
        <f t="shared" si="14"/>
        <v>241.19008557006194</v>
      </c>
      <c r="J112" s="1028">
        <f t="shared" si="12"/>
        <v>441.94085271064904</v>
      </c>
      <c r="K112" s="927">
        <f t="shared" si="10"/>
        <v>2.4045326333020298E-3</v>
      </c>
      <c r="L112" s="1031"/>
      <c r="M112" s="1032"/>
    </row>
    <row r="113" spans="1:13" x14ac:dyDescent="0.2">
      <c r="A113" s="926" t="s">
        <v>2900</v>
      </c>
      <c r="B113" s="553" t="str">
        <f t="shared" si="13"/>
        <v>TOU-8-Standby-PRI</v>
      </c>
      <c r="C113" s="1027">
        <v>1247.5899999999999</v>
      </c>
      <c r="D113" s="1027">
        <v>1180.5899999999999</v>
      </c>
      <c r="E113" s="1027">
        <v>1147.6099999999999</v>
      </c>
      <c r="F113" s="1028">
        <f t="shared" si="11"/>
        <v>1191.93</v>
      </c>
      <c r="G113" s="1029">
        <v>1.0674999999999999</v>
      </c>
      <c r="H113" s="1033">
        <v>682.7121033333334</v>
      </c>
      <c r="I113" s="960">
        <f t="shared" si="14"/>
        <v>680.12914040292469</v>
      </c>
      <c r="J113" s="1028">
        <f t="shared" si="12"/>
        <v>1267.5713512648317</v>
      </c>
      <c r="K113" s="927">
        <f t="shared" si="10"/>
        <v>6.8966619864640425E-3</v>
      </c>
      <c r="L113" s="1031"/>
      <c r="M113" s="1032"/>
    </row>
    <row r="114" spans="1:13" x14ac:dyDescent="0.2">
      <c r="A114" s="926" t="s">
        <v>2901</v>
      </c>
      <c r="B114" s="553" t="str">
        <f t="shared" si="13"/>
        <v>TOU-8-Standby-SUB</v>
      </c>
      <c r="C114" s="1034">
        <v>2669.12</v>
      </c>
      <c r="D114" s="1034">
        <v>3137.55</v>
      </c>
      <c r="E114" s="1034">
        <v>2568.81</v>
      </c>
      <c r="F114" s="1028">
        <f t="shared" si="11"/>
        <v>2791.8266666666664</v>
      </c>
      <c r="G114" s="1029">
        <v>1.0331999999999999</v>
      </c>
      <c r="H114" s="1033">
        <v>1980.0864933333335</v>
      </c>
      <c r="I114" s="960">
        <f t="shared" si="14"/>
        <v>1955.9088324913332</v>
      </c>
      <c r="J114" s="1028">
        <f t="shared" si="12"/>
        <v>2849.2942076987988</v>
      </c>
      <c r="K114" s="927">
        <f t="shared" si="10"/>
        <v>1.5502574297597008E-2</v>
      </c>
      <c r="L114" s="1031"/>
      <c r="M114" s="1032"/>
    </row>
    <row r="115" spans="1:13" x14ac:dyDescent="0.2">
      <c r="A115" s="926" t="s">
        <v>2902</v>
      </c>
      <c r="B115" s="553" t="str">
        <f t="shared" si="13"/>
        <v>TOU-PA-2</v>
      </c>
      <c r="C115" s="1027">
        <v>2841.51</v>
      </c>
      <c r="D115" s="1027">
        <v>2568.85</v>
      </c>
      <c r="E115" s="1027">
        <v>2335.92</v>
      </c>
      <c r="F115" s="1028">
        <f t="shared" si="11"/>
        <v>2582.0933333333337</v>
      </c>
      <c r="G115" s="1029">
        <v>1.0955999999999999</v>
      </c>
      <c r="H115" s="1030">
        <v>1811.8277766666665</v>
      </c>
      <c r="I115" s="960">
        <f t="shared" si="14"/>
        <v>1735.6192584643015</v>
      </c>
      <c r="J115" s="1028">
        <f t="shared" si="12"/>
        <v>2709.9514287913244</v>
      </c>
      <c r="K115" s="927">
        <f t="shared" si="10"/>
        <v>1.474443153472964E-2</v>
      </c>
      <c r="L115" s="1031"/>
      <c r="M115" s="1032"/>
    </row>
    <row r="116" spans="1:13" x14ac:dyDescent="0.2">
      <c r="A116" s="926" t="s">
        <v>2903</v>
      </c>
      <c r="B116" s="553" t="str">
        <f t="shared" si="13"/>
        <v>TOU-PA-3</v>
      </c>
      <c r="C116" s="1027">
        <v>1608.68</v>
      </c>
      <c r="D116" s="1027">
        <v>1539.22</v>
      </c>
      <c r="E116" s="1027">
        <v>1517.87</v>
      </c>
      <c r="F116" s="1028">
        <f t="shared" si="11"/>
        <v>1555.2566666666669</v>
      </c>
      <c r="G116" s="1029">
        <v>1.0942000000000001</v>
      </c>
      <c r="H116" s="1030">
        <v>1191.2218733333334</v>
      </c>
      <c r="I116" s="960">
        <f t="shared" si="14"/>
        <v>1183.4826816780969</v>
      </c>
      <c r="J116" s="1028">
        <f t="shared" si="12"/>
        <v>1690.7057506154467</v>
      </c>
      <c r="K116" s="927">
        <f t="shared" si="10"/>
        <v>9.1988715814148719E-3</v>
      </c>
      <c r="L116" s="1031"/>
      <c r="M116" s="1032"/>
    </row>
    <row r="117" spans="1:13" x14ac:dyDescent="0.2">
      <c r="A117" s="926" t="s">
        <v>2904</v>
      </c>
      <c r="B117" s="553" t="str">
        <f t="shared" si="13"/>
        <v>Street Lighting</v>
      </c>
      <c r="C117" s="1027">
        <v>790.24</v>
      </c>
      <c r="D117" s="1027">
        <v>471.52</v>
      </c>
      <c r="E117" s="1027">
        <v>709.7</v>
      </c>
      <c r="F117" s="1028">
        <f t="shared" si="11"/>
        <v>657.15333333333331</v>
      </c>
      <c r="G117" s="1029">
        <v>1.0992999999999999</v>
      </c>
      <c r="H117" s="1030">
        <v>717.22285666666653</v>
      </c>
      <c r="I117" s="960">
        <f t="shared" si="14"/>
        <v>746.25587973925087</v>
      </c>
      <c r="J117" s="1028">
        <f t="shared" si="12"/>
        <v>751.65160255426724</v>
      </c>
      <c r="K117" s="927">
        <f t="shared" si="10"/>
        <v>4.0896214869704265E-3</v>
      </c>
      <c r="L117" s="1035"/>
      <c r="M117" s="1032"/>
    </row>
    <row r="118" spans="1:13" x14ac:dyDescent="0.2">
      <c r="A118" s="926" t="s">
        <v>2905</v>
      </c>
      <c r="B118" s="952" t="s">
        <v>88</v>
      </c>
      <c r="C118" s="1027"/>
      <c r="D118" s="1027"/>
      <c r="E118" s="1027"/>
      <c r="F118" s="1028"/>
      <c r="G118" s="1029"/>
      <c r="H118" s="1030"/>
      <c r="I118" s="960"/>
      <c r="J118" s="1028"/>
      <c r="K118" s="927"/>
      <c r="L118" s="1035"/>
      <c r="M118" s="1032"/>
    </row>
    <row r="119" spans="1:13" x14ac:dyDescent="0.2">
      <c r="A119" s="926">
        <v>36</v>
      </c>
      <c r="B119" s="556" t="s">
        <v>218</v>
      </c>
      <c r="C119" s="958">
        <f>SUM(C104:C118)</f>
        <v>170713.89999999994</v>
      </c>
      <c r="D119" s="958">
        <f>SUM(D104:D118)</f>
        <v>166320.77000000002</v>
      </c>
      <c r="E119" s="958">
        <f>SUM(E104:E118)</f>
        <v>166985.18</v>
      </c>
      <c r="F119" s="958">
        <f>SUM(F104:F118)</f>
        <v>168006.61666666661</v>
      </c>
      <c r="G119" s="956"/>
      <c r="H119" s="958">
        <f>SUM(H104:H118)</f>
        <v>84258.543490000011</v>
      </c>
      <c r="I119" s="958">
        <f>SUM(I104:I118)</f>
        <v>84698.266289547755</v>
      </c>
      <c r="J119" s="958">
        <f>SUM(J104:J118)</f>
        <v>183794.90741356785</v>
      </c>
      <c r="K119" s="1036">
        <f>SUM(K104:K118)</f>
        <v>0.99999999999999978</v>
      </c>
    </row>
    <row r="120" spans="1:13" x14ac:dyDescent="0.2">
      <c r="A120" s="926">
        <f t="shared" ref="A120:A126" si="15">A119+1</f>
        <v>37</v>
      </c>
    </row>
    <row r="121" spans="1:13" s="975" customFormat="1" ht="15.75" x14ac:dyDescent="0.25">
      <c r="A121" s="926">
        <f t="shared" si="15"/>
        <v>38</v>
      </c>
      <c r="B121" s="1037"/>
      <c r="M121" s="977"/>
    </row>
    <row r="122" spans="1:13" s="975" customFormat="1" ht="15.75" x14ac:dyDescent="0.25">
      <c r="A122" s="926">
        <f t="shared" si="15"/>
        <v>39</v>
      </c>
      <c r="B122" s="1037" t="s">
        <v>1676</v>
      </c>
      <c r="M122" s="977"/>
    </row>
    <row r="123" spans="1:13" s="975" customFormat="1" x14ac:dyDescent="0.2">
      <c r="A123" s="926">
        <f t="shared" si="15"/>
        <v>40</v>
      </c>
      <c r="C123" s="1038" t="s">
        <v>396</v>
      </c>
      <c r="D123" s="1038" t="s">
        <v>380</v>
      </c>
      <c r="E123" s="1038" t="s">
        <v>381</v>
      </c>
      <c r="F123" s="1039" t="s">
        <v>382</v>
      </c>
      <c r="G123" s="1040"/>
      <c r="H123" s="1040"/>
      <c r="I123" s="1040"/>
      <c r="J123" s="1041"/>
      <c r="K123" s="1040"/>
      <c r="M123" s="977"/>
    </row>
    <row r="124" spans="1:13" s="1042" customFormat="1" ht="25.5" x14ac:dyDescent="0.2">
      <c r="A124" s="926">
        <f t="shared" si="15"/>
        <v>41</v>
      </c>
      <c r="C124" s="1043"/>
      <c r="D124" s="1043"/>
      <c r="E124" s="1044" t="s">
        <v>2906</v>
      </c>
      <c r="F124" s="1044" t="s">
        <v>2907</v>
      </c>
      <c r="G124" s="1045"/>
      <c r="H124" s="1045"/>
      <c r="I124" s="1045"/>
      <c r="J124" s="1046"/>
      <c r="K124" s="1045"/>
      <c r="M124" s="970"/>
    </row>
    <row r="125" spans="1:13" s="1042" customFormat="1" x14ac:dyDescent="0.2">
      <c r="A125" s="926">
        <f t="shared" si="15"/>
        <v>42</v>
      </c>
      <c r="C125" s="1043"/>
      <c r="D125" s="1043"/>
      <c r="E125" s="1044"/>
      <c r="G125" s="1046"/>
      <c r="H125" s="1045"/>
      <c r="I125" s="1045"/>
      <c r="J125" s="1045"/>
      <c r="K125" s="1045"/>
      <c r="M125" s="970"/>
    </row>
    <row r="126" spans="1:13" s="969" customFormat="1" ht="25.5" x14ac:dyDescent="0.2">
      <c r="A126" s="926">
        <f t="shared" si="15"/>
        <v>43</v>
      </c>
      <c r="B126" s="967" t="s">
        <v>1297</v>
      </c>
      <c r="C126" s="967" t="s">
        <v>2908</v>
      </c>
      <c r="D126" s="967" t="s">
        <v>1325</v>
      </c>
      <c r="E126" s="967" t="s">
        <v>2811</v>
      </c>
      <c r="F126" s="967" t="s">
        <v>2812</v>
      </c>
      <c r="G126" s="1047"/>
      <c r="H126" s="1047"/>
      <c r="I126" s="1047"/>
      <c r="J126" s="1047"/>
      <c r="M126" s="970"/>
    </row>
    <row r="127" spans="1:13" s="975" customFormat="1" ht="15" x14ac:dyDescent="0.25">
      <c r="A127" s="971" t="s">
        <v>2909</v>
      </c>
      <c r="B127" s="972" t="s">
        <v>2784</v>
      </c>
      <c r="C127" s="1027">
        <v>208.42666666666665</v>
      </c>
      <c r="D127" s="1048">
        <v>1.0959000000000001</v>
      </c>
      <c r="E127" s="1028">
        <f>C127*$D127</f>
        <v>228.414784</v>
      </c>
      <c r="F127" s="976">
        <f>J112</f>
        <v>441.94085271064904</v>
      </c>
      <c r="G127" s="1041"/>
      <c r="H127" s="994"/>
      <c r="I127" s="994"/>
      <c r="J127" s="1041"/>
      <c r="M127" s="977"/>
    </row>
    <row r="128" spans="1:13" s="975" customFormat="1" ht="15" x14ac:dyDescent="0.25">
      <c r="A128" s="971" t="s">
        <v>2910</v>
      </c>
      <c r="B128" s="972" t="s">
        <v>2785</v>
      </c>
      <c r="C128" s="1027">
        <v>483.2</v>
      </c>
      <c r="D128" s="1048">
        <v>1.0674999999999999</v>
      </c>
      <c r="E128" s="1028">
        <f>C128*$D128</f>
        <v>515.81599999999992</v>
      </c>
      <c r="F128" s="976">
        <f>J113</f>
        <v>1267.5713512648317</v>
      </c>
      <c r="G128" s="1041"/>
      <c r="H128" s="994"/>
      <c r="I128" s="994"/>
      <c r="J128" s="1041"/>
      <c r="M128" s="977"/>
    </row>
    <row r="129" spans="1:13" s="975" customFormat="1" ht="15" x14ac:dyDescent="0.25">
      <c r="A129" s="971" t="s">
        <v>2911</v>
      </c>
      <c r="B129" s="972" t="s">
        <v>2786</v>
      </c>
      <c r="C129" s="1034">
        <v>913.25666666666655</v>
      </c>
      <c r="D129" s="1049">
        <v>1.0331999999999999</v>
      </c>
      <c r="E129" s="1050">
        <f>C129*$D129</f>
        <v>943.57678799999974</v>
      </c>
      <c r="F129" s="976">
        <f>J114</f>
        <v>2849.2942076987988</v>
      </c>
      <c r="G129" s="1041"/>
      <c r="H129" s="994"/>
      <c r="I129" s="994"/>
      <c r="J129" s="1041"/>
      <c r="M129" s="977"/>
    </row>
    <row r="130" spans="1:13" x14ac:dyDescent="0.2">
      <c r="A130" s="971" t="s">
        <v>2912</v>
      </c>
      <c r="B130" s="952" t="s">
        <v>88</v>
      </c>
      <c r="C130" s="1027"/>
      <c r="D130" s="1027"/>
      <c r="E130" s="901"/>
    </row>
    <row r="145" spans="13:13" x14ac:dyDescent="0.2">
      <c r="M145" s="899"/>
    </row>
    <row r="146" spans="13:13" x14ac:dyDescent="0.2">
      <c r="M146" s="899"/>
    </row>
    <row r="147" spans="13:13" x14ac:dyDescent="0.2">
      <c r="M147" s="899"/>
    </row>
    <row r="148" spans="13:13" x14ac:dyDescent="0.2">
      <c r="M148" s="899"/>
    </row>
    <row r="149" spans="13:13" x14ac:dyDescent="0.2">
      <c r="M149" s="899"/>
    </row>
    <row r="150" spans="13:13" x14ac:dyDescent="0.2">
      <c r="M150" s="899"/>
    </row>
    <row r="151" spans="13:13" x14ac:dyDescent="0.2">
      <c r="M151" s="899"/>
    </row>
    <row r="152" spans="13:13" x14ac:dyDescent="0.2">
      <c r="M152" s="899"/>
    </row>
    <row r="153" spans="13:13" x14ac:dyDescent="0.2">
      <c r="M153" s="899"/>
    </row>
    <row r="154" spans="13:13" x14ac:dyDescent="0.2">
      <c r="M154" s="899"/>
    </row>
    <row r="155" spans="13:13" x14ac:dyDescent="0.2">
      <c r="M155" s="899"/>
    </row>
    <row r="156" spans="13:13" x14ac:dyDescent="0.2">
      <c r="M156" s="899"/>
    </row>
    <row r="157" spans="13:13" x14ac:dyDescent="0.2">
      <c r="M157" s="899"/>
    </row>
    <row r="158" spans="13:13" x14ac:dyDescent="0.2">
      <c r="M158" s="899"/>
    </row>
    <row r="159" spans="13:13" x14ac:dyDescent="0.2">
      <c r="M159" s="899"/>
    </row>
    <row r="160" spans="13:13" x14ac:dyDescent="0.2">
      <c r="M160" s="899"/>
    </row>
    <row r="161" spans="13:13" x14ac:dyDescent="0.2">
      <c r="M161" s="899"/>
    </row>
    <row r="162" spans="13:13" x14ac:dyDescent="0.2">
      <c r="M162" s="899"/>
    </row>
    <row r="163" spans="13:13" x14ac:dyDescent="0.2">
      <c r="M163" s="899"/>
    </row>
    <row r="164" spans="13:13" x14ac:dyDescent="0.2">
      <c r="M164" s="899"/>
    </row>
    <row r="165" spans="13:13" x14ac:dyDescent="0.2">
      <c r="M165" s="899"/>
    </row>
    <row r="166" spans="13:13" x14ac:dyDescent="0.2">
      <c r="M166" s="899"/>
    </row>
    <row r="167" spans="13:13" x14ac:dyDescent="0.2">
      <c r="M167" s="899"/>
    </row>
    <row r="168" spans="13:13" x14ac:dyDescent="0.2">
      <c r="M168" s="899"/>
    </row>
    <row r="169" spans="13:13" x14ac:dyDescent="0.2">
      <c r="M169" s="899"/>
    </row>
    <row r="170" spans="13:13" x14ac:dyDescent="0.2">
      <c r="M170" s="899"/>
    </row>
    <row r="171" spans="13:13" x14ac:dyDescent="0.2">
      <c r="M171" s="899"/>
    </row>
    <row r="172" spans="13:13" x14ac:dyDescent="0.2">
      <c r="M172" s="899"/>
    </row>
    <row r="173" spans="13:13" x14ac:dyDescent="0.2">
      <c r="M173" s="899"/>
    </row>
    <row r="174" spans="13:13" x14ac:dyDescent="0.2">
      <c r="M174" s="899"/>
    </row>
    <row r="175" spans="13:13" x14ac:dyDescent="0.2">
      <c r="M175" s="899"/>
    </row>
    <row r="176" spans="13:13" x14ac:dyDescent="0.2">
      <c r="M176" s="899"/>
    </row>
    <row r="177" spans="13:13" x14ac:dyDescent="0.2">
      <c r="M177" s="899"/>
    </row>
    <row r="178" spans="13:13" x14ac:dyDescent="0.2">
      <c r="M178" s="899"/>
    </row>
    <row r="179" spans="13:13" x14ac:dyDescent="0.2">
      <c r="M179" s="899"/>
    </row>
    <row r="180" spans="13:13" x14ac:dyDescent="0.2">
      <c r="M180" s="899"/>
    </row>
    <row r="181" spans="13:13" x14ac:dyDescent="0.2">
      <c r="M181" s="899"/>
    </row>
    <row r="182" spans="13:13" x14ac:dyDescent="0.2">
      <c r="M182" s="899"/>
    </row>
    <row r="183" spans="13:13" x14ac:dyDescent="0.2">
      <c r="M183" s="899"/>
    </row>
    <row r="184" spans="13:13" x14ac:dyDescent="0.2">
      <c r="M184" s="899"/>
    </row>
    <row r="185" spans="13:13" x14ac:dyDescent="0.2">
      <c r="M185" s="899"/>
    </row>
    <row r="186" spans="13:13" x14ac:dyDescent="0.2">
      <c r="M186" s="899"/>
    </row>
    <row r="187" spans="13:13" x14ac:dyDescent="0.2">
      <c r="M187" s="899"/>
    </row>
    <row r="188" spans="13:13" x14ac:dyDescent="0.2">
      <c r="M188" s="899"/>
    </row>
    <row r="189" spans="13:13" x14ac:dyDescent="0.2">
      <c r="M189" s="899"/>
    </row>
    <row r="190" spans="13:13" x14ac:dyDescent="0.2">
      <c r="M190" s="899"/>
    </row>
    <row r="191" spans="13:13" x14ac:dyDescent="0.2">
      <c r="M191" s="899"/>
    </row>
    <row r="192" spans="13:13" x14ac:dyDescent="0.2">
      <c r="M192" s="899"/>
    </row>
    <row r="193" spans="13:13" x14ac:dyDescent="0.2">
      <c r="M193" s="899"/>
    </row>
    <row r="194" spans="13:13" x14ac:dyDescent="0.2">
      <c r="M194" s="899"/>
    </row>
    <row r="195" spans="13:13" x14ac:dyDescent="0.2">
      <c r="M195" s="899"/>
    </row>
    <row r="196" spans="13:13" x14ac:dyDescent="0.2">
      <c r="M196" s="899"/>
    </row>
    <row r="197" spans="13:13" x14ac:dyDescent="0.2">
      <c r="M197" s="899"/>
    </row>
    <row r="198" spans="13:13" x14ac:dyDescent="0.2">
      <c r="M198" s="899"/>
    </row>
    <row r="199" spans="13:13" x14ac:dyDescent="0.2">
      <c r="M199" s="899"/>
    </row>
    <row r="200" spans="13:13" x14ac:dyDescent="0.2">
      <c r="M200" s="899"/>
    </row>
    <row r="201" spans="13:13" x14ac:dyDescent="0.2">
      <c r="M201" s="899"/>
    </row>
    <row r="202" spans="13:13" x14ac:dyDescent="0.2">
      <c r="M202" s="899"/>
    </row>
    <row r="203" spans="13:13" x14ac:dyDescent="0.2">
      <c r="M203" s="899"/>
    </row>
    <row r="204" spans="13:13" x14ac:dyDescent="0.2">
      <c r="M204" s="899"/>
    </row>
    <row r="205" spans="13:13" x14ac:dyDescent="0.2">
      <c r="M205" s="899"/>
    </row>
    <row r="206" spans="13:13" x14ac:dyDescent="0.2">
      <c r="M206" s="899"/>
    </row>
    <row r="207" spans="13:13" x14ac:dyDescent="0.2">
      <c r="M207" s="899"/>
    </row>
    <row r="208" spans="13:13" x14ac:dyDescent="0.2">
      <c r="M208" s="899"/>
    </row>
    <row r="209" spans="13:13" x14ac:dyDescent="0.2">
      <c r="M209" s="899"/>
    </row>
    <row r="210" spans="13:13" x14ac:dyDescent="0.2">
      <c r="M210" s="899"/>
    </row>
    <row r="211" spans="13:13" x14ac:dyDescent="0.2">
      <c r="M211" s="899"/>
    </row>
    <row r="212" spans="13:13" x14ac:dyDescent="0.2">
      <c r="M212" s="899"/>
    </row>
    <row r="213" spans="13:13" x14ac:dyDescent="0.2">
      <c r="M213" s="899"/>
    </row>
    <row r="214" spans="13:13" x14ac:dyDescent="0.2">
      <c r="M214" s="899"/>
    </row>
    <row r="215" spans="13:13" x14ac:dyDescent="0.2">
      <c r="M215" s="899"/>
    </row>
    <row r="216" spans="13:13" x14ac:dyDescent="0.2">
      <c r="M216" s="899"/>
    </row>
    <row r="217" spans="13:13" x14ac:dyDescent="0.2">
      <c r="M217" s="899"/>
    </row>
    <row r="218" spans="13:13" x14ac:dyDescent="0.2">
      <c r="M218" s="899"/>
    </row>
    <row r="219" spans="13:13" x14ac:dyDescent="0.2">
      <c r="M219" s="899"/>
    </row>
    <row r="220" spans="13:13" x14ac:dyDescent="0.2">
      <c r="M220" s="899"/>
    </row>
    <row r="221" spans="13:13" x14ac:dyDescent="0.2">
      <c r="M221" s="899"/>
    </row>
    <row r="222" spans="13:13" x14ac:dyDescent="0.2">
      <c r="M222" s="899"/>
    </row>
    <row r="223" spans="13:13" x14ac:dyDescent="0.2">
      <c r="M223" s="899"/>
    </row>
    <row r="224" spans="13:13" x14ac:dyDescent="0.2">
      <c r="M224" s="899"/>
    </row>
    <row r="225" spans="13:13" x14ac:dyDescent="0.2">
      <c r="M225" s="899"/>
    </row>
    <row r="226" spans="13:13" x14ac:dyDescent="0.2">
      <c r="M226" s="899"/>
    </row>
    <row r="227" spans="13:13" x14ac:dyDescent="0.2">
      <c r="M227" s="899"/>
    </row>
    <row r="228" spans="13:13" x14ac:dyDescent="0.2">
      <c r="M228" s="899"/>
    </row>
    <row r="229" spans="13:13" x14ac:dyDescent="0.2">
      <c r="M229" s="899"/>
    </row>
    <row r="230" spans="13:13" x14ac:dyDescent="0.2">
      <c r="M230" s="899"/>
    </row>
    <row r="231" spans="13:13" x14ac:dyDescent="0.2">
      <c r="M231" s="899"/>
    </row>
    <row r="232" spans="13:13" x14ac:dyDescent="0.2">
      <c r="M232" s="899"/>
    </row>
    <row r="233" spans="13:13" x14ac:dyDescent="0.2">
      <c r="M233" s="899"/>
    </row>
    <row r="234" spans="13:13" x14ac:dyDescent="0.2">
      <c r="M234" s="899"/>
    </row>
    <row r="235" spans="13:13" x14ac:dyDescent="0.2">
      <c r="M235" s="899"/>
    </row>
    <row r="236" spans="13:13" x14ac:dyDescent="0.2">
      <c r="M236" s="899"/>
    </row>
    <row r="237" spans="13:13" x14ac:dyDescent="0.2">
      <c r="M237" s="899"/>
    </row>
    <row r="238" spans="13:13" x14ac:dyDescent="0.2">
      <c r="M238" s="899"/>
    </row>
    <row r="239" spans="13:13" x14ac:dyDescent="0.2">
      <c r="M239" s="899"/>
    </row>
    <row r="240" spans="13:13" x14ac:dyDescent="0.2">
      <c r="M240" s="899"/>
    </row>
    <row r="241" spans="13:13" x14ac:dyDescent="0.2">
      <c r="M241" s="899"/>
    </row>
    <row r="242" spans="13:13" x14ac:dyDescent="0.2">
      <c r="M242" s="899"/>
    </row>
    <row r="243" spans="13:13" x14ac:dyDescent="0.2">
      <c r="M243" s="899"/>
    </row>
    <row r="244" spans="13:13" x14ac:dyDescent="0.2">
      <c r="M244" s="899"/>
    </row>
    <row r="245" spans="13:13" x14ac:dyDescent="0.2">
      <c r="M245" s="899"/>
    </row>
    <row r="246" spans="13:13" x14ac:dyDescent="0.2">
      <c r="M246" s="899"/>
    </row>
    <row r="247" spans="13:13" x14ac:dyDescent="0.2">
      <c r="M247" s="899"/>
    </row>
    <row r="248" spans="13:13" x14ac:dyDescent="0.2">
      <c r="M248" s="899"/>
    </row>
    <row r="249" spans="13:13" x14ac:dyDescent="0.2">
      <c r="M249" s="899"/>
    </row>
    <row r="250" spans="13:13" x14ac:dyDescent="0.2">
      <c r="M250" s="899"/>
    </row>
    <row r="251" spans="13:13" x14ac:dyDescent="0.2">
      <c r="M251" s="899"/>
    </row>
    <row r="252" spans="13:13" x14ac:dyDescent="0.2">
      <c r="M252" s="899"/>
    </row>
    <row r="253" spans="13:13" x14ac:dyDescent="0.2">
      <c r="M253" s="899"/>
    </row>
  </sheetData>
  <mergeCells count="4">
    <mergeCell ref="E9:G9"/>
    <mergeCell ref="J10:L10"/>
    <mergeCell ref="K14:L14"/>
    <mergeCell ref="C102:F102"/>
  </mergeCells>
  <pageMargins left="0.7" right="0.7" top="0.75" bottom="0.75" header="0.3" footer="0.3"/>
  <pageSetup scale="55" orientation="landscape" cellComments="asDisplayed" r:id="rId1"/>
  <headerFooter>
    <oddHeader>&amp;CSchedule 33
Retail Transmission Rates
&amp;RTO8 Annual Update (Revised)
Attachment  1</oddHeader>
    <oddFooter>&amp;R33-RetailRates</oddFooter>
  </headerFooter>
  <rowBreaks count="4" manualBreakCount="4">
    <brk id="40" max="16383" man="1"/>
    <brk id="96" max="16383" man="1"/>
    <brk id="181" max="16383" man="1"/>
    <brk id="228"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Layout" zoomScaleNormal="90" workbookViewId="0">
      <selection activeCell="K10" sqref="K10"/>
    </sheetView>
  </sheetViews>
  <sheetFormatPr defaultRowHeight="12.75" x14ac:dyDescent="0.2"/>
  <cols>
    <col min="1" max="1" width="4.85546875" customWidth="1"/>
    <col min="2" max="2" width="1.7109375" customWidth="1"/>
    <col min="3" max="3" width="46" customWidth="1"/>
    <col min="4" max="4" width="1.7109375" customWidth="1"/>
    <col min="5" max="5" width="34" customWidth="1"/>
    <col min="6" max="6" width="1.7109375" customWidth="1"/>
    <col min="7" max="7" width="16.7109375" customWidth="1"/>
    <col min="8" max="8" width="1.7109375" customWidth="1"/>
    <col min="9" max="9" width="16.7109375" customWidth="1"/>
    <col min="10" max="10" width="1.7109375" customWidth="1"/>
    <col min="11" max="11" width="16.7109375" customWidth="1"/>
    <col min="12" max="12" width="2.85546875" customWidth="1"/>
    <col min="13" max="13" width="35.42578125" bestFit="1" customWidth="1"/>
    <col min="14" max="14" width="20.140625" customWidth="1"/>
    <col min="257" max="257" width="4.85546875" customWidth="1"/>
    <col min="258" max="258" width="1.7109375" customWidth="1"/>
    <col min="259" max="259" width="46" customWidth="1"/>
    <col min="260" max="260" width="1.7109375" customWidth="1"/>
    <col min="261" max="261" width="34" customWidth="1"/>
    <col min="262" max="262" width="1.7109375" customWidth="1"/>
    <col min="263" max="263" width="16" customWidth="1"/>
    <col min="264" max="264" width="1.7109375" customWidth="1"/>
    <col min="265" max="265" width="14" customWidth="1"/>
    <col min="266" max="266" width="1.7109375" customWidth="1"/>
    <col min="267" max="267" width="11.5703125" customWidth="1"/>
    <col min="268" max="268" width="2.85546875" customWidth="1"/>
    <col min="269" max="269" width="35.42578125" bestFit="1" customWidth="1"/>
    <col min="270" max="270" width="20.140625" customWidth="1"/>
    <col min="513" max="513" width="4.85546875" customWidth="1"/>
    <col min="514" max="514" width="1.7109375" customWidth="1"/>
    <col min="515" max="515" width="46" customWidth="1"/>
    <col min="516" max="516" width="1.7109375" customWidth="1"/>
    <col min="517" max="517" width="34" customWidth="1"/>
    <col min="518" max="518" width="1.7109375" customWidth="1"/>
    <col min="519" max="519" width="16" customWidth="1"/>
    <col min="520" max="520" width="1.7109375" customWidth="1"/>
    <col min="521" max="521" width="14" customWidth="1"/>
    <col min="522" max="522" width="1.7109375" customWidth="1"/>
    <col min="523" max="523" width="11.5703125" customWidth="1"/>
    <col min="524" max="524" width="2.85546875" customWidth="1"/>
    <col min="525" max="525" width="35.42578125" bestFit="1" customWidth="1"/>
    <col min="526" max="526" width="20.140625" customWidth="1"/>
    <col min="769" max="769" width="4.85546875" customWidth="1"/>
    <col min="770" max="770" width="1.7109375" customWidth="1"/>
    <col min="771" max="771" width="46" customWidth="1"/>
    <col min="772" max="772" width="1.7109375" customWidth="1"/>
    <col min="773" max="773" width="34" customWidth="1"/>
    <col min="774" max="774" width="1.7109375" customWidth="1"/>
    <col min="775" max="775" width="16" customWidth="1"/>
    <col min="776" max="776" width="1.7109375" customWidth="1"/>
    <col min="777" max="777" width="14" customWidth="1"/>
    <col min="778" max="778" width="1.7109375" customWidth="1"/>
    <col min="779" max="779" width="11.5703125" customWidth="1"/>
    <col min="780" max="780" width="2.85546875" customWidth="1"/>
    <col min="781" max="781" width="35.42578125" bestFit="1" customWidth="1"/>
    <col min="782" max="782" width="20.140625" customWidth="1"/>
    <col min="1025" max="1025" width="4.85546875" customWidth="1"/>
    <col min="1026" max="1026" width="1.7109375" customWidth="1"/>
    <col min="1027" max="1027" width="46" customWidth="1"/>
    <col min="1028" max="1028" width="1.7109375" customWidth="1"/>
    <col min="1029" max="1029" width="34" customWidth="1"/>
    <col min="1030" max="1030" width="1.7109375" customWidth="1"/>
    <col min="1031" max="1031" width="16" customWidth="1"/>
    <col min="1032" max="1032" width="1.7109375" customWidth="1"/>
    <col min="1033" max="1033" width="14" customWidth="1"/>
    <col min="1034" max="1034" width="1.7109375" customWidth="1"/>
    <col min="1035" max="1035" width="11.5703125" customWidth="1"/>
    <col min="1036" max="1036" width="2.85546875" customWidth="1"/>
    <col min="1037" max="1037" width="35.42578125" bestFit="1" customWidth="1"/>
    <col min="1038" max="1038" width="20.140625" customWidth="1"/>
    <col min="1281" max="1281" width="4.85546875" customWidth="1"/>
    <col min="1282" max="1282" width="1.7109375" customWidth="1"/>
    <col min="1283" max="1283" width="46" customWidth="1"/>
    <col min="1284" max="1284" width="1.7109375" customWidth="1"/>
    <col min="1285" max="1285" width="34" customWidth="1"/>
    <col min="1286" max="1286" width="1.7109375" customWidth="1"/>
    <col min="1287" max="1287" width="16" customWidth="1"/>
    <col min="1288" max="1288" width="1.7109375" customWidth="1"/>
    <col min="1289" max="1289" width="14" customWidth="1"/>
    <col min="1290" max="1290" width="1.7109375" customWidth="1"/>
    <col min="1291" max="1291" width="11.5703125" customWidth="1"/>
    <col min="1292" max="1292" width="2.85546875" customWidth="1"/>
    <col min="1293" max="1293" width="35.42578125" bestFit="1" customWidth="1"/>
    <col min="1294" max="1294" width="20.140625" customWidth="1"/>
    <col min="1537" max="1537" width="4.85546875" customWidth="1"/>
    <col min="1538" max="1538" width="1.7109375" customWidth="1"/>
    <col min="1539" max="1539" width="46" customWidth="1"/>
    <col min="1540" max="1540" width="1.7109375" customWidth="1"/>
    <col min="1541" max="1541" width="34" customWidth="1"/>
    <col min="1542" max="1542" width="1.7109375" customWidth="1"/>
    <col min="1543" max="1543" width="16" customWidth="1"/>
    <col min="1544" max="1544" width="1.7109375" customWidth="1"/>
    <col min="1545" max="1545" width="14" customWidth="1"/>
    <col min="1546" max="1546" width="1.7109375" customWidth="1"/>
    <col min="1547" max="1547" width="11.5703125" customWidth="1"/>
    <col min="1548" max="1548" width="2.85546875" customWidth="1"/>
    <col min="1549" max="1549" width="35.42578125" bestFit="1" customWidth="1"/>
    <col min="1550" max="1550" width="20.140625" customWidth="1"/>
    <col min="1793" max="1793" width="4.85546875" customWidth="1"/>
    <col min="1794" max="1794" width="1.7109375" customWidth="1"/>
    <col min="1795" max="1795" width="46" customWidth="1"/>
    <col min="1796" max="1796" width="1.7109375" customWidth="1"/>
    <col min="1797" max="1797" width="34" customWidth="1"/>
    <col min="1798" max="1798" width="1.7109375" customWidth="1"/>
    <col min="1799" max="1799" width="16" customWidth="1"/>
    <col min="1800" max="1800" width="1.7109375" customWidth="1"/>
    <col min="1801" max="1801" width="14" customWidth="1"/>
    <col min="1802" max="1802" width="1.7109375" customWidth="1"/>
    <col min="1803" max="1803" width="11.5703125" customWidth="1"/>
    <col min="1804" max="1804" width="2.85546875" customWidth="1"/>
    <col min="1805" max="1805" width="35.42578125" bestFit="1" customWidth="1"/>
    <col min="1806" max="1806" width="20.140625" customWidth="1"/>
    <col min="2049" max="2049" width="4.85546875" customWidth="1"/>
    <col min="2050" max="2050" width="1.7109375" customWidth="1"/>
    <col min="2051" max="2051" width="46" customWidth="1"/>
    <col min="2052" max="2052" width="1.7109375" customWidth="1"/>
    <col min="2053" max="2053" width="34" customWidth="1"/>
    <col min="2054" max="2054" width="1.7109375" customWidth="1"/>
    <col min="2055" max="2055" width="16" customWidth="1"/>
    <col min="2056" max="2056" width="1.7109375" customWidth="1"/>
    <col min="2057" max="2057" width="14" customWidth="1"/>
    <col min="2058" max="2058" width="1.7109375" customWidth="1"/>
    <col min="2059" max="2059" width="11.5703125" customWidth="1"/>
    <col min="2060" max="2060" width="2.85546875" customWidth="1"/>
    <col min="2061" max="2061" width="35.42578125" bestFit="1" customWidth="1"/>
    <col min="2062" max="2062" width="20.140625" customWidth="1"/>
    <col min="2305" max="2305" width="4.85546875" customWidth="1"/>
    <col min="2306" max="2306" width="1.7109375" customWidth="1"/>
    <col min="2307" max="2307" width="46" customWidth="1"/>
    <col min="2308" max="2308" width="1.7109375" customWidth="1"/>
    <col min="2309" max="2309" width="34" customWidth="1"/>
    <col min="2310" max="2310" width="1.7109375" customWidth="1"/>
    <col min="2311" max="2311" width="16" customWidth="1"/>
    <col min="2312" max="2312" width="1.7109375" customWidth="1"/>
    <col min="2313" max="2313" width="14" customWidth="1"/>
    <col min="2314" max="2314" width="1.7109375" customWidth="1"/>
    <col min="2315" max="2315" width="11.5703125" customWidth="1"/>
    <col min="2316" max="2316" width="2.85546875" customWidth="1"/>
    <col min="2317" max="2317" width="35.42578125" bestFit="1" customWidth="1"/>
    <col min="2318" max="2318" width="20.140625" customWidth="1"/>
    <col min="2561" max="2561" width="4.85546875" customWidth="1"/>
    <col min="2562" max="2562" width="1.7109375" customWidth="1"/>
    <col min="2563" max="2563" width="46" customWidth="1"/>
    <col min="2564" max="2564" width="1.7109375" customWidth="1"/>
    <col min="2565" max="2565" width="34" customWidth="1"/>
    <col min="2566" max="2566" width="1.7109375" customWidth="1"/>
    <col min="2567" max="2567" width="16" customWidth="1"/>
    <col min="2568" max="2568" width="1.7109375" customWidth="1"/>
    <col min="2569" max="2569" width="14" customWidth="1"/>
    <col min="2570" max="2570" width="1.7109375" customWidth="1"/>
    <col min="2571" max="2571" width="11.5703125" customWidth="1"/>
    <col min="2572" max="2572" width="2.85546875" customWidth="1"/>
    <col min="2573" max="2573" width="35.42578125" bestFit="1" customWidth="1"/>
    <col min="2574" max="2574" width="20.140625" customWidth="1"/>
    <col min="2817" max="2817" width="4.85546875" customWidth="1"/>
    <col min="2818" max="2818" width="1.7109375" customWidth="1"/>
    <col min="2819" max="2819" width="46" customWidth="1"/>
    <col min="2820" max="2820" width="1.7109375" customWidth="1"/>
    <col min="2821" max="2821" width="34" customWidth="1"/>
    <col min="2822" max="2822" width="1.7109375" customWidth="1"/>
    <col min="2823" max="2823" width="16" customWidth="1"/>
    <col min="2824" max="2824" width="1.7109375" customWidth="1"/>
    <col min="2825" max="2825" width="14" customWidth="1"/>
    <col min="2826" max="2826" width="1.7109375" customWidth="1"/>
    <col min="2827" max="2827" width="11.5703125" customWidth="1"/>
    <col min="2828" max="2828" width="2.85546875" customWidth="1"/>
    <col min="2829" max="2829" width="35.42578125" bestFit="1" customWidth="1"/>
    <col min="2830" max="2830" width="20.140625" customWidth="1"/>
    <col min="3073" max="3073" width="4.85546875" customWidth="1"/>
    <col min="3074" max="3074" width="1.7109375" customWidth="1"/>
    <col min="3075" max="3075" width="46" customWidth="1"/>
    <col min="3076" max="3076" width="1.7109375" customWidth="1"/>
    <col min="3077" max="3077" width="34" customWidth="1"/>
    <col min="3078" max="3078" width="1.7109375" customWidth="1"/>
    <col min="3079" max="3079" width="16" customWidth="1"/>
    <col min="3080" max="3080" width="1.7109375" customWidth="1"/>
    <col min="3081" max="3081" width="14" customWidth="1"/>
    <col min="3082" max="3082" width="1.7109375" customWidth="1"/>
    <col min="3083" max="3083" width="11.5703125" customWidth="1"/>
    <col min="3084" max="3084" width="2.85546875" customWidth="1"/>
    <col min="3085" max="3085" width="35.42578125" bestFit="1" customWidth="1"/>
    <col min="3086" max="3086" width="20.140625" customWidth="1"/>
    <col min="3329" max="3329" width="4.85546875" customWidth="1"/>
    <col min="3330" max="3330" width="1.7109375" customWidth="1"/>
    <col min="3331" max="3331" width="46" customWidth="1"/>
    <col min="3332" max="3332" width="1.7109375" customWidth="1"/>
    <col min="3333" max="3333" width="34" customWidth="1"/>
    <col min="3334" max="3334" width="1.7109375" customWidth="1"/>
    <col min="3335" max="3335" width="16" customWidth="1"/>
    <col min="3336" max="3336" width="1.7109375" customWidth="1"/>
    <col min="3337" max="3337" width="14" customWidth="1"/>
    <col min="3338" max="3338" width="1.7109375" customWidth="1"/>
    <col min="3339" max="3339" width="11.5703125" customWidth="1"/>
    <col min="3340" max="3340" width="2.85546875" customWidth="1"/>
    <col min="3341" max="3341" width="35.42578125" bestFit="1" customWidth="1"/>
    <col min="3342" max="3342" width="20.140625" customWidth="1"/>
    <col min="3585" max="3585" width="4.85546875" customWidth="1"/>
    <col min="3586" max="3586" width="1.7109375" customWidth="1"/>
    <col min="3587" max="3587" width="46" customWidth="1"/>
    <col min="3588" max="3588" width="1.7109375" customWidth="1"/>
    <col min="3589" max="3589" width="34" customWidth="1"/>
    <col min="3590" max="3590" width="1.7109375" customWidth="1"/>
    <col min="3591" max="3591" width="16" customWidth="1"/>
    <col min="3592" max="3592" width="1.7109375" customWidth="1"/>
    <col min="3593" max="3593" width="14" customWidth="1"/>
    <col min="3594" max="3594" width="1.7109375" customWidth="1"/>
    <col min="3595" max="3595" width="11.5703125" customWidth="1"/>
    <col min="3596" max="3596" width="2.85546875" customWidth="1"/>
    <col min="3597" max="3597" width="35.42578125" bestFit="1" customWidth="1"/>
    <col min="3598" max="3598" width="20.140625" customWidth="1"/>
    <col min="3841" max="3841" width="4.85546875" customWidth="1"/>
    <col min="3842" max="3842" width="1.7109375" customWidth="1"/>
    <col min="3843" max="3843" width="46" customWidth="1"/>
    <col min="3844" max="3844" width="1.7109375" customWidth="1"/>
    <col min="3845" max="3845" width="34" customWidth="1"/>
    <col min="3846" max="3846" width="1.7109375" customWidth="1"/>
    <col min="3847" max="3847" width="16" customWidth="1"/>
    <col min="3848" max="3848" width="1.7109375" customWidth="1"/>
    <col min="3849" max="3849" width="14" customWidth="1"/>
    <col min="3850" max="3850" width="1.7109375" customWidth="1"/>
    <col min="3851" max="3851" width="11.5703125" customWidth="1"/>
    <col min="3852" max="3852" width="2.85546875" customWidth="1"/>
    <col min="3853" max="3853" width="35.42578125" bestFit="1" customWidth="1"/>
    <col min="3854" max="3854" width="20.140625" customWidth="1"/>
    <col min="4097" max="4097" width="4.85546875" customWidth="1"/>
    <col min="4098" max="4098" width="1.7109375" customWidth="1"/>
    <col min="4099" max="4099" width="46" customWidth="1"/>
    <col min="4100" max="4100" width="1.7109375" customWidth="1"/>
    <col min="4101" max="4101" width="34" customWidth="1"/>
    <col min="4102" max="4102" width="1.7109375" customWidth="1"/>
    <col min="4103" max="4103" width="16" customWidth="1"/>
    <col min="4104" max="4104" width="1.7109375" customWidth="1"/>
    <col min="4105" max="4105" width="14" customWidth="1"/>
    <col min="4106" max="4106" width="1.7109375" customWidth="1"/>
    <col min="4107" max="4107" width="11.5703125" customWidth="1"/>
    <col min="4108" max="4108" width="2.85546875" customWidth="1"/>
    <col min="4109" max="4109" width="35.42578125" bestFit="1" customWidth="1"/>
    <col min="4110" max="4110" width="20.140625" customWidth="1"/>
    <col min="4353" max="4353" width="4.85546875" customWidth="1"/>
    <col min="4354" max="4354" width="1.7109375" customWidth="1"/>
    <col min="4355" max="4355" width="46" customWidth="1"/>
    <col min="4356" max="4356" width="1.7109375" customWidth="1"/>
    <col min="4357" max="4357" width="34" customWidth="1"/>
    <col min="4358" max="4358" width="1.7109375" customWidth="1"/>
    <col min="4359" max="4359" width="16" customWidth="1"/>
    <col min="4360" max="4360" width="1.7109375" customWidth="1"/>
    <col min="4361" max="4361" width="14" customWidth="1"/>
    <col min="4362" max="4362" width="1.7109375" customWidth="1"/>
    <col min="4363" max="4363" width="11.5703125" customWidth="1"/>
    <col min="4364" max="4364" width="2.85546875" customWidth="1"/>
    <col min="4365" max="4365" width="35.42578125" bestFit="1" customWidth="1"/>
    <col min="4366" max="4366" width="20.140625" customWidth="1"/>
    <col min="4609" max="4609" width="4.85546875" customWidth="1"/>
    <col min="4610" max="4610" width="1.7109375" customWidth="1"/>
    <col min="4611" max="4611" width="46" customWidth="1"/>
    <col min="4612" max="4612" width="1.7109375" customWidth="1"/>
    <col min="4613" max="4613" width="34" customWidth="1"/>
    <col min="4614" max="4614" width="1.7109375" customWidth="1"/>
    <col min="4615" max="4615" width="16" customWidth="1"/>
    <col min="4616" max="4616" width="1.7109375" customWidth="1"/>
    <col min="4617" max="4617" width="14" customWidth="1"/>
    <col min="4618" max="4618" width="1.7109375" customWidth="1"/>
    <col min="4619" max="4619" width="11.5703125" customWidth="1"/>
    <col min="4620" max="4620" width="2.85546875" customWidth="1"/>
    <col min="4621" max="4621" width="35.42578125" bestFit="1" customWidth="1"/>
    <col min="4622" max="4622" width="20.140625" customWidth="1"/>
    <col min="4865" max="4865" width="4.85546875" customWidth="1"/>
    <col min="4866" max="4866" width="1.7109375" customWidth="1"/>
    <col min="4867" max="4867" width="46" customWidth="1"/>
    <col min="4868" max="4868" width="1.7109375" customWidth="1"/>
    <col min="4869" max="4869" width="34" customWidth="1"/>
    <col min="4870" max="4870" width="1.7109375" customWidth="1"/>
    <col min="4871" max="4871" width="16" customWidth="1"/>
    <col min="4872" max="4872" width="1.7109375" customWidth="1"/>
    <col min="4873" max="4873" width="14" customWidth="1"/>
    <col min="4874" max="4874" width="1.7109375" customWidth="1"/>
    <col min="4875" max="4875" width="11.5703125" customWidth="1"/>
    <col min="4876" max="4876" width="2.85546875" customWidth="1"/>
    <col min="4877" max="4877" width="35.42578125" bestFit="1" customWidth="1"/>
    <col min="4878" max="4878" width="20.140625" customWidth="1"/>
    <col min="5121" max="5121" width="4.85546875" customWidth="1"/>
    <col min="5122" max="5122" width="1.7109375" customWidth="1"/>
    <col min="5123" max="5123" width="46" customWidth="1"/>
    <col min="5124" max="5124" width="1.7109375" customWidth="1"/>
    <col min="5125" max="5125" width="34" customWidth="1"/>
    <col min="5126" max="5126" width="1.7109375" customWidth="1"/>
    <col min="5127" max="5127" width="16" customWidth="1"/>
    <col min="5128" max="5128" width="1.7109375" customWidth="1"/>
    <col min="5129" max="5129" width="14" customWidth="1"/>
    <col min="5130" max="5130" width="1.7109375" customWidth="1"/>
    <col min="5131" max="5131" width="11.5703125" customWidth="1"/>
    <col min="5132" max="5132" width="2.85546875" customWidth="1"/>
    <col min="5133" max="5133" width="35.42578125" bestFit="1" customWidth="1"/>
    <col min="5134" max="5134" width="20.140625" customWidth="1"/>
    <col min="5377" max="5377" width="4.85546875" customWidth="1"/>
    <col min="5378" max="5378" width="1.7109375" customWidth="1"/>
    <col min="5379" max="5379" width="46" customWidth="1"/>
    <col min="5380" max="5380" width="1.7109375" customWidth="1"/>
    <col min="5381" max="5381" width="34" customWidth="1"/>
    <col min="5382" max="5382" width="1.7109375" customWidth="1"/>
    <col min="5383" max="5383" width="16" customWidth="1"/>
    <col min="5384" max="5384" width="1.7109375" customWidth="1"/>
    <col min="5385" max="5385" width="14" customWidth="1"/>
    <col min="5386" max="5386" width="1.7109375" customWidth="1"/>
    <col min="5387" max="5387" width="11.5703125" customWidth="1"/>
    <col min="5388" max="5388" width="2.85546875" customWidth="1"/>
    <col min="5389" max="5389" width="35.42578125" bestFit="1" customWidth="1"/>
    <col min="5390" max="5390" width="20.140625" customWidth="1"/>
    <col min="5633" max="5633" width="4.85546875" customWidth="1"/>
    <col min="5634" max="5634" width="1.7109375" customWidth="1"/>
    <col min="5635" max="5635" width="46" customWidth="1"/>
    <col min="5636" max="5636" width="1.7109375" customWidth="1"/>
    <col min="5637" max="5637" width="34" customWidth="1"/>
    <col min="5638" max="5638" width="1.7109375" customWidth="1"/>
    <col min="5639" max="5639" width="16" customWidth="1"/>
    <col min="5640" max="5640" width="1.7109375" customWidth="1"/>
    <col min="5641" max="5641" width="14" customWidth="1"/>
    <col min="5642" max="5642" width="1.7109375" customWidth="1"/>
    <col min="5643" max="5643" width="11.5703125" customWidth="1"/>
    <col min="5644" max="5644" width="2.85546875" customWidth="1"/>
    <col min="5645" max="5645" width="35.42578125" bestFit="1" customWidth="1"/>
    <col min="5646" max="5646" width="20.140625" customWidth="1"/>
    <col min="5889" max="5889" width="4.85546875" customWidth="1"/>
    <col min="5890" max="5890" width="1.7109375" customWidth="1"/>
    <col min="5891" max="5891" width="46" customWidth="1"/>
    <col min="5892" max="5892" width="1.7109375" customWidth="1"/>
    <col min="5893" max="5893" width="34" customWidth="1"/>
    <col min="5894" max="5894" width="1.7109375" customWidth="1"/>
    <col min="5895" max="5895" width="16" customWidth="1"/>
    <col min="5896" max="5896" width="1.7109375" customWidth="1"/>
    <col min="5897" max="5897" width="14" customWidth="1"/>
    <col min="5898" max="5898" width="1.7109375" customWidth="1"/>
    <col min="5899" max="5899" width="11.5703125" customWidth="1"/>
    <col min="5900" max="5900" width="2.85546875" customWidth="1"/>
    <col min="5901" max="5901" width="35.42578125" bestFit="1" customWidth="1"/>
    <col min="5902" max="5902" width="20.140625" customWidth="1"/>
    <col min="6145" max="6145" width="4.85546875" customWidth="1"/>
    <col min="6146" max="6146" width="1.7109375" customWidth="1"/>
    <col min="6147" max="6147" width="46" customWidth="1"/>
    <col min="6148" max="6148" width="1.7109375" customWidth="1"/>
    <col min="6149" max="6149" width="34" customWidth="1"/>
    <col min="6150" max="6150" width="1.7109375" customWidth="1"/>
    <col min="6151" max="6151" width="16" customWidth="1"/>
    <col min="6152" max="6152" width="1.7109375" customWidth="1"/>
    <col min="6153" max="6153" width="14" customWidth="1"/>
    <col min="6154" max="6154" width="1.7109375" customWidth="1"/>
    <col min="6155" max="6155" width="11.5703125" customWidth="1"/>
    <col min="6156" max="6156" width="2.85546875" customWidth="1"/>
    <col min="6157" max="6157" width="35.42578125" bestFit="1" customWidth="1"/>
    <col min="6158" max="6158" width="20.140625" customWidth="1"/>
    <col min="6401" max="6401" width="4.85546875" customWidth="1"/>
    <col min="6402" max="6402" width="1.7109375" customWidth="1"/>
    <col min="6403" max="6403" width="46" customWidth="1"/>
    <col min="6404" max="6404" width="1.7109375" customWidth="1"/>
    <col min="6405" max="6405" width="34" customWidth="1"/>
    <col min="6406" max="6406" width="1.7109375" customWidth="1"/>
    <col min="6407" max="6407" width="16" customWidth="1"/>
    <col min="6408" max="6408" width="1.7109375" customWidth="1"/>
    <col min="6409" max="6409" width="14" customWidth="1"/>
    <col min="6410" max="6410" width="1.7109375" customWidth="1"/>
    <col min="6411" max="6411" width="11.5703125" customWidth="1"/>
    <col min="6412" max="6412" width="2.85546875" customWidth="1"/>
    <col min="6413" max="6413" width="35.42578125" bestFit="1" customWidth="1"/>
    <col min="6414" max="6414" width="20.140625" customWidth="1"/>
    <col min="6657" max="6657" width="4.85546875" customWidth="1"/>
    <col min="6658" max="6658" width="1.7109375" customWidth="1"/>
    <col min="6659" max="6659" width="46" customWidth="1"/>
    <col min="6660" max="6660" width="1.7109375" customWidth="1"/>
    <col min="6661" max="6661" width="34" customWidth="1"/>
    <col min="6662" max="6662" width="1.7109375" customWidth="1"/>
    <col min="6663" max="6663" width="16" customWidth="1"/>
    <col min="6664" max="6664" width="1.7109375" customWidth="1"/>
    <col min="6665" max="6665" width="14" customWidth="1"/>
    <col min="6666" max="6666" width="1.7109375" customWidth="1"/>
    <col min="6667" max="6667" width="11.5703125" customWidth="1"/>
    <col min="6668" max="6668" width="2.85546875" customWidth="1"/>
    <col min="6669" max="6669" width="35.42578125" bestFit="1" customWidth="1"/>
    <col min="6670" max="6670" width="20.140625" customWidth="1"/>
    <col min="6913" max="6913" width="4.85546875" customWidth="1"/>
    <col min="6914" max="6914" width="1.7109375" customWidth="1"/>
    <col min="6915" max="6915" width="46" customWidth="1"/>
    <col min="6916" max="6916" width="1.7109375" customWidth="1"/>
    <col min="6917" max="6917" width="34" customWidth="1"/>
    <col min="6918" max="6918" width="1.7109375" customWidth="1"/>
    <col min="6919" max="6919" width="16" customWidth="1"/>
    <col min="6920" max="6920" width="1.7109375" customWidth="1"/>
    <col min="6921" max="6921" width="14" customWidth="1"/>
    <col min="6922" max="6922" width="1.7109375" customWidth="1"/>
    <col min="6923" max="6923" width="11.5703125" customWidth="1"/>
    <col min="6924" max="6924" width="2.85546875" customWidth="1"/>
    <col min="6925" max="6925" width="35.42578125" bestFit="1" customWidth="1"/>
    <col min="6926" max="6926" width="20.140625" customWidth="1"/>
    <col min="7169" max="7169" width="4.85546875" customWidth="1"/>
    <col min="7170" max="7170" width="1.7109375" customWidth="1"/>
    <col min="7171" max="7171" width="46" customWidth="1"/>
    <col min="7172" max="7172" width="1.7109375" customWidth="1"/>
    <col min="7173" max="7173" width="34" customWidth="1"/>
    <col min="7174" max="7174" width="1.7109375" customWidth="1"/>
    <col min="7175" max="7175" width="16" customWidth="1"/>
    <col min="7176" max="7176" width="1.7109375" customWidth="1"/>
    <col min="7177" max="7177" width="14" customWidth="1"/>
    <col min="7178" max="7178" width="1.7109375" customWidth="1"/>
    <col min="7179" max="7179" width="11.5703125" customWidth="1"/>
    <col min="7180" max="7180" width="2.85546875" customWidth="1"/>
    <col min="7181" max="7181" width="35.42578125" bestFit="1" customWidth="1"/>
    <col min="7182" max="7182" width="20.140625" customWidth="1"/>
    <col min="7425" max="7425" width="4.85546875" customWidth="1"/>
    <col min="7426" max="7426" width="1.7109375" customWidth="1"/>
    <col min="7427" max="7427" width="46" customWidth="1"/>
    <col min="7428" max="7428" width="1.7109375" customWidth="1"/>
    <col min="7429" max="7429" width="34" customWidth="1"/>
    <col min="7430" max="7430" width="1.7109375" customWidth="1"/>
    <col min="7431" max="7431" width="16" customWidth="1"/>
    <col min="7432" max="7432" width="1.7109375" customWidth="1"/>
    <col min="7433" max="7433" width="14" customWidth="1"/>
    <col min="7434" max="7434" width="1.7109375" customWidth="1"/>
    <col min="7435" max="7435" width="11.5703125" customWidth="1"/>
    <col min="7436" max="7436" width="2.85546875" customWidth="1"/>
    <col min="7437" max="7437" width="35.42578125" bestFit="1" customWidth="1"/>
    <col min="7438" max="7438" width="20.140625" customWidth="1"/>
    <col min="7681" max="7681" width="4.85546875" customWidth="1"/>
    <col min="7682" max="7682" width="1.7109375" customWidth="1"/>
    <col min="7683" max="7683" width="46" customWidth="1"/>
    <col min="7684" max="7684" width="1.7109375" customWidth="1"/>
    <col min="7685" max="7685" width="34" customWidth="1"/>
    <col min="7686" max="7686" width="1.7109375" customWidth="1"/>
    <col min="7687" max="7687" width="16" customWidth="1"/>
    <col min="7688" max="7688" width="1.7109375" customWidth="1"/>
    <col min="7689" max="7689" width="14" customWidth="1"/>
    <col min="7690" max="7690" width="1.7109375" customWidth="1"/>
    <col min="7691" max="7691" width="11.5703125" customWidth="1"/>
    <col min="7692" max="7692" width="2.85546875" customWidth="1"/>
    <col min="7693" max="7693" width="35.42578125" bestFit="1" customWidth="1"/>
    <col min="7694" max="7694" width="20.140625" customWidth="1"/>
    <col min="7937" max="7937" width="4.85546875" customWidth="1"/>
    <col min="7938" max="7938" width="1.7109375" customWidth="1"/>
    <col min="7939" max="7939" width="46" customWidth="1"/>
    <col min="7940" max="7940" width="1.7109375" customWidth="1"/>
    <col min="7941" max="7941" width="34" customWidth="1"/>
    <col min="7942" max="7942" width="1.7109375" customWidth="1"/>
    <col min="7943" max="7943" width="16" customWidth="1"/>
    <col min="7944" max="7944" width="1.7109375" customWidth="1"/>
    <col min="7945" max="7945" width="14" customWidth="1"/>
    <col min="7946" max="7946" width="1.7109375" customWidth="1"/>
    <col min="7947" max="7947" width="11.5703125" customWidth="1"/>
    <col min="7948" max="7948" width="2.85546875" customWidth="1"/>
    <col min="7949" max="7949" width="35.42578125" bestFit="1" customWidth="1"/>
    <col min="7950" max="7950" width="20.140625" customWidth="1"/>
    <col min="8193" max="8193" width="4.85546875" customWidth="1"/>
    <col min="8194" max="8194" width="1.7109375" customWidth="1"/>
    <col min="8195" max="8195" width="46" customWidth="1"/>
    <col min="8196" max="8196" width="1.7109375" customWidth="1"/>
    <col min="8197" max="8197" width="34" customWidth="1"/>
    <col min="8198" max="8198" width="1.7109375" customWidth="1"/>
    <col min="8199" max="8199" width="16" customWidth="1"/>
    <col min="8200" max="8200" width="1.7109375" customWidth="1"/>
    <col min="8201" max="8201" width="14" customWidth="1"/>
    <col min="8202" max="8202" width="1.7109375" customWidth="1"/>
    <col min="8203" max="8203" width="11.5703125" customWidth="1"/>
    <col min="8204" max="8204" width="2.85546875" customWidth="1"/>
    <col min="8205" max="8205" width="35.42578125" bestFit="1" customWidth="1"/>
    <col min="8206" max="8206" width="20.140625" customWidth="1"/>
    <col min="8449" max="8449" width="4.85546875" customWidth="1"/>
    <col min="8450" max="8450" width="1.7109375" customWidth="1"/>
    <col min="8451" max="8451" width="46" customWidth="1"/>
    <col min="8452" max="8452" width="1.7109375" customWidth="1"/>
    <col min="8453" max="8453" width="34" customWidth="1"/>
    <col min="8454" max="8454" width="1.7109375" customWidth="1"/>
    <col min="8455" max="8455" width="16" customWidth="1"/>
    <col min="8456" max="8456" width="1.7109375" customWidth="1"/>
    <col min="8457" max="8457" width="14" customWidth="1"/>
    <col min="8458" max="8458" width="1.7109375" customWidth="1"/>
    <col min="8459" max="8459" width="11.5703125" customWidth="1"/>
    <col min="8460" max="8460" width="2.85546875" customWidth="1"/>
    <col min="8461" max="8461" width="35.42578125" bestFit="1" customWidth="1"/>
    <col min="8462" max="8462" width="20.140625" customWidth="1"/>
    <col min="8705" max="8705" width="4.85546875" customWidth="1"/>
    <col min="8706" max="8706" width="1.7109375" customWidth="1"/>
    <col min="8707" max="8707" width="46" customWidth="1"/>
    <col min="8708" max="8708" width="1.7109375" customWidth="1"/>
    <col min="8709" max="8709" width="34" customWidth="1"/>
    <col min="8710" max="8710" width="1.7109375" customWidth="1"/>
    <col min="8711" max="8711" width="16" customWidth="1"/>
    <col min="8712" max="8712" width="1.7109375" customWidth="1"/>
    <col min="8713" max="8713" width="14" customWidth="1"/>
    <col min="8714" max="8714" width="1.7109375" customWidth="1"/>
    <col min="8715" max="8715" width="11.5703125" customWidth="1"/>
    <col min="8716" max="8716" width="2.85546875" customWidth="1"/>
    <col min="8717" max="8717" width="35.42578125" bestFit="1" customWidth="1"/>
    <col min="8718" max="8718" width="20.140625" customWidth="1"/>
    <col min="8961" max="8961" width="4.85546875" customWidth="1"/>
    <col min="8962" max="8962" width="1.7109375" customWidth="1"/>
    <col min="8963" max="8963" width="46" customWidth="1"/>
    <col min="8964" max="8964" width="1.7109375" customWidth="1"/>
    <col min="8965" max="8965" width="34" customWidth="1"/>
    <col min="8966" max="8966" width="1.7109375" customWidth="1"/>
    <col min="8967" max="8967" width="16" customWidth="1"/>
    <col min="8968" max="8968" width="1.7109375" customWidth="1"/>
    <col min="8969" max="8969" width="14" customWidth="1"/>
    <col min="8970" max="8970" width="1.7109375" customWidth="1"/>
    <col min="8971" max="8971" width="11.5703125" customWidth="1"/>
    <col min="8972" max="8972" width="2.85546875" customWidth="1"/>
    <col min="8973" max="8973" width="35.42578125" bestFit="1" customWidth="1"/>
    <col min="8974" max="8974" width="20.140625" customWidth="1"/>
    <col min="9217" max="9217" width="4.85546875" customWidth="1"/>
    <col min="9218" max="9218" width="1.7109375" customWidth="1"/>
    <col min="9219" max="9219" width="46" customWidth="1"/>
    <col min="9220" max="9220" width="1.7109375" customWidth="1"/>
    <col min="9221" max="9221" width="34" customWidth="1"/>
    <col min="9222" max="9222" width="1.7109375" customWidth="1"/>
    <col min="9223" max="9223" width="16" customWidth="1"/>
    <col min="9224" max="9224" width="1.7109375" customWidth="1"/>
    <col min="9225" max="9225" width="14" customWidth="1"/>
    <col min="9226" max="9226" width="1.7109375" customWidth="1"/>
    <col min="9227" max="9227" width="11.5703125" customWidth="1"/>
    <col min="9228" max="9228" width="2.85546875" customWidth="1"/>
    <col min="9229" max="9229" width="35.42578125" bestFit="1" customWidth="1"/>
    <col min="9230" max="9230" width="20.140625" customWidth="1"/>
    <col min="9473" max="9473" width="4.85546875" customWidth="1"/>
    <col min="9474" max="9474" width="1.7109375" customWidth="1"/>
    <col min="9475" max="9475" width="46" customWidth="1"/>
    <col min="9476" max="9476" width="1.7109375" customWidth="1"/>
    <col min="9477" max="9477" width="34" customWidth="1"/>
    <col min="9478" max="9478" width="1.7109375" customWidth="1"/>
    <col min="9479" max="9479" width="16" customWidth="1"/>
    <col min="9480" max="9480" width="1.7109375" customWidth="1"/>
    <col min="9481" max="9481" width="14" customWidth="1"/>
    <col min="9482" max="9482" width="1.7109375" customWidth="1"/>
    <col min="9483" max="9483" width="11.5703125" customWidth="1"/>
    <col min="9484" max="9484" width="2.85546875" customWidth="1"/>
    <col min="9485" max="9485" width="35.42578125" bestFit="1" customWidth="1"/>
    <col min="9486" max="9486" width="20.140625" customWidth="1"/>
    <col min="9729" max="9729" width="4.85546875" customWidth="1"/>
    <col min="9730" max="9730" width="1.7109375" customWidth="1"/>
    <col min="9731" max="9731" width="46" customWidth="1"/>
    <col min="9732" max="9732" width="1.7109375" customWidth="1"/>
    <col min="9733" max="9733" width="34" customWidth="1"/>
    <col min="9734" max="9734" width="1.7109375" customWidth="1"/>
    <col min="9735" max="9735" width="16" customWidth="1"/>
    <col min="9736" max="9736" width="1.7109375" customWidth="1"/>
    <col min="9737" max="9737" width="14" customWidth="1"/>
    <col min="9738" max="9738" width="1.7109375" customWidth="1"/>
    <col min="9739" max="9739" width="11.5703125" customWidth="1"/>
    <col min="9740" max="9740" width="2.85546875" customWidth="1"/>
    <col min="9741" max="9741" width="35.42578125" bestFit="1" customWidth="1"/>
    <col min="9742" max="9742" width="20.140625" customWidth="1"/>
    <col min="9985" max="9985" width="4.85546875" customWidth="1"/>
    <col min="9986" max="9986" width="1.7109375" customWidth="1"/>
    <col min="9987" max="9987" width="46" customWidth="1"/>
    <col min="9988" max="9988" width="1.7109375" customWidth="1"/>
    <col min="9989" max="9989" width="34" customWidth="1"/>
    <col min="9990" max="9990" width="1.7109375" customWidth="1"/>
    <col min="9991" max="9991" width="16" customWidth="1"/>
    <col min="9992" max="9992" width="1.7109375" customWidth="1"/>
    <col min="9993" max="9993" width="14" customWidth="1"/>
    <col min="9994" max="9994" width="1.7109375" customWidth="1"/>
    <col min="9995" max="9995" width="11.5703125" customWidth="1"/>
    <col min="9996" max="9996" width="2.85546875" customWidth="1"/>
    <col min="9997" max="9997" width="35.42578125" bestFit="1" customWidth="1"/>
    <col min="9998" max="9998" width="20.140625" customWidth="1"/>
    <col min="10241" max="10241" width="4.85546875" customWidth="1"/>
    <col min="10242" max="10242" width="1.7109375" customWidth="1"/>
    <col min="10243" max="10243" width="46" customWidth="1"/>
    <col min="10244" max="10244" width="1.7109375" customWidth="1"/>
    <col min="10245" max="10245" width="34" customWidth="1"/>
    <col min="10246" max="10246" width="1.7109375" customWidth="1"/>
    <col min="10247" max="10247" width="16" customWidth="1"/>
    <col min="10248" max="10248" width="1.7109375" customWidth="1"/>
    <col min="10249" max="10249" width="14" customWidth="1"/>
    <col min="10250" max="10250" width="1.7109375" customWidth="1"/>
    <col min="10251" max="10251" width="11.5703125" customWidth="1"/>
    <col min="10252" max="10252" width="2.85546875" customWidth="1"/>
    <col min="10253" max="10253" width="35.42578125" bestFit="1" customWidth="1"/>
    <col min="10254" max="10254" width="20.140625" customWidth="1"/>
    <col min="10497" max="10497" width="4.85546875" customWidth="1"/>
    <col min="10498" max="10498" width="1.7109375" customWidth="1"/>
    <col min="10499" max="10499" width="46" customWidth="1"/>
    <col min="10500" max="10500" width="1.7109375" customWidth="1"/>
    <col min="10501" max="10501" width="34" customWidth="1"/>
    <col min="10502" max="10502" width="1.7109375" customWidth="1"/>
    <col min="10503" max="10503" width="16" customWidth="1"/>
    <col min="10504" max="10504" width="1.7109375" customWidth="1"/>
    <col min="10505" max="10505" width="14" customWidth="1"/>
    <col min="10506" max="10506" width="1.7109375" customWidth="1"/>
    <col min="10507" max="10507" width="11.5703125" customWidth="1"/>
    <col min="10508" max="10508" width="2.85546875" customWidth="1"/>
    <col min="10509" max="10509" width="35.42578125" bestFit="1" customWidth="1"/>
    <col min="10510" max="10510" width="20.140625" customWidth="1"/>
    <col min="10753" max="10753" width="4.85546875" customWidth="1"/>
    <col min="10754" max="10754" width="1.7109375" customWidth="1"/>
    <col min="10755" max="10755" width="46" customWidth="1"/>
    <col min="10756" max="10756" width="1.7109375" customWidth="1"/>
    <col min="10757" max="10757" width="34" customWidth="1"/>
    <col min="10758" max="10758" width="1.7109375" customWidth="1"/>
    <col min="10759" max="10759" width="16" customWidth="1"/>
    <col min="10760" max="10760" width="1.7109375" customWidth="1"/>
    <col min="10761" max="10761" width="14" customWidth="1"/>
    <col min="10762" max="10762" width="1.7109375" customWidth="1"/>
    <col min="10763" max="10763" width="11.5703125" customWidth="1"/>
    <col min="10764" max="10764" width="2.85546875" customWidth="1"/>
    <col min="10765" max="10765" width="35.42578125" bestFit="1" customWidth="1"/>
    <col min="10766" max="10766" width="20.140625" customWidth="1"/>
    <col min="11009" max="11009" width="4.85546875" customWidth="1"/>
    <col min="11010" max="11010" width="1.7109375" customWidth="1"/>
    <col min="11011" max="11011" width="46" customWidth="1"/>
    <col min="11012" max="11012" width="1.7109375" customWidth="1"/>
    <col min="11013" max="11013" width="34" customWidth="1"/>
    <col min="11014" max="11014" width="1.7109375" customWidth="1"/>
    <col min="11015" max="11015" width="16" customWidth="1"/>
    <col min="11016" max="11016" width="1.7109375" customWidth="1"/>
    <col min="11017" max="11017" width="14" customWidth="1"/>
    <col min="11018" max="11018" width="1.7109375" customWidth="1"/>
    <col min="11019" max="11019" width="11.5703125" customWidth="1"/>
    <col min="11020" max="11020" width="2.85546875" customWidth="1"/>
    <col min="11021" max="11021" width="35.42578125" bestFit="1" customWidth="1"/>
    <col min="11022" max="11022" width="20.140625" customWidth="1"/>
    <col min="11265" max="11265" width="4.85546875" customWidth="1"/>
    <col min="11266" max="11266" width="1.7109375" customWidth="1"/>
    <col min="11267" max="11267" width="46" customWidth="1"/>
    <col min="11268" max="11268" width="1.7109375" customWidth="1"/>
    <col min="11269" max="11269" width="34" customWidth="1"/>
    <col min="11270" max="11270" width="1.7109375" customWidth="1"/>
    <col min="11271" max="11271" width="16" customWidth="1"/>
    <col min="11272" max="11272" width="1.7109375" customWidth="1"/>
    <col min="11273" max="11273" width="14" customWidth="1"/>
    <col min="11274" max="11274" width="1.7109375" customWidth="1"/>
    <col min="11275" max="11275" width="11.5703125" customWidth="1"/>
    <col min="11276" max="11276" width="2.85546875" customWidth="1"/>
    <col min="11277" max="11277" width="35.42578125" bestFit="1" customWidth="1"/>
    <col min="11278" max="11278" width="20.140625" customWidth="1"/>
    <col min="11521" max="11521" width="4.85546875" customWidth="1"/>
    <col min="11522" max="11522" width="1.7109375" customWidth="1"/>
    <col min="11523" max="11523" width="46" customWidth="1"/>
    <col min="11524" max="11524" width="1.7109375" customWidth="1"/>
    <col min="11525" max="11525" width="34" customWidth="1"/>
    <col min="11526" max="11526" width="1.7109375" customWidth="1"/>
    <col min="11527" max="11527" width="16" customWidth="1"/>
    <col min="11528" max="11528" width="1.7109375" customWidth="1"/>
    <col min="11529" max="11529" width="14" customWidth="1"/>
    <col min="11530" max="11530" width="1.7109375" customWidth="1"/>
    <col min="11531" max="11531" width="11.5703125" customWidth="1"/>
    <col min="11532" max="11532" width="2.85546875" customWidth="1"/>
    <col min="11533" max="11533" width="35.42578125" bestFit="1" customWidth="1"/>
    <col min="11534" max="11534" width="20.140625" customWidth="1"/>
    <col min="11777" max="11777" width="4.85546875" customWidth="1"/>
    <col min="11778" max="11778" width="1.7109375" customWidth="1"/>
    <col min="11779" max="11779" width="46" customWidth="1"/>
    <col min="11780" max="11780" width="1.7109375" customWidth="1"/>
    <col min="11781" max="11781" width="34" customWidth="1"/>
    <col min="11782" max="11782" width="1.7109375" customWidth="1"/>
    <col min="11783" max="11783" width="16" customWidth="1"/>
    <col min="11784" max="11784" width="1.7109375" customWidth="1"/>
    <col min="11785" max="11785" width="14" customWidth="1"/>
    <col min="11786" max="11786" width="1.7109375" customWidth="1"/>
    <col min="11787" max="11787" width="11.5703125" customWidth="1"/>
    <col min="11788" max="11788" width="2.85546875" customWidth="1"/>
    <col min="11789" max="11789" width="35.42578125" bestFit="1" customWidth="1"/>
    <col min="11790" max="11790" width="20.140625" customWidth="1"/>
    <col min="12033" max="12033" width="4.85546875" customWidth="1"/>
    <col min="12034" max="12034" width="1.7109375" customWidth="1"/>
    <col min="12035" max="12035" width="46" customWidth="1"/>
    <col min="12036" max="12036" width="1.7109375" customWidth="1"/>
    <col min="12037" max="12037" width="34" customWidth="1"/>
    <col min="12038" max="12038" width="1.7109375" customWidth="1"/>
    <col min="12039" max="12039" width="16" customWidth="1"/>
    <col min="12040" max="12040" width="1.7109375" customWidth="1"/>
    <col min="12041" max="12041" width="14" customWidth="1"/>
    <col min="12042" max="12042" width="1.7109375" customWidth="1"/>
    <col min="12043" max="12043" width="11.5703125" customWidth="1"/>
    <col min="12044" max="12044" width="2.85546875" customWidth="1"/>
    <col min="12045" max="12045" width="35.42578125" bestFit="1" customWidth="1"/>
    <col min="12046" max="12046" width="20.140625" customWidth="1"/>
    <col min="12289" max="12289" width="4.85546875" customWidth="1"/>
    <col min="12290" max="12290" width="1.7109375" customWidth="1"/>
    <col min="12291" max="12291" width="46" customWidth="1"/>
    <col min="12292" max="12292" width="1.7109375" customWidth="1"/>
    <col min="12293" max="12293" width="34" customWidth="1"/>
    <col min="12294" max="12294" width="1.7109375" customWidth="1"/>
    <col min="12295" max="12295" width="16" customWidth="1"/>
    <col min="12296" max="12296" width="1.7109375" customWidth="1"/>
    <col min="12297" max="12297" width="14" customWidth="1"/>
    <col min="12298" max="12298" width="1.7109375" customWidth="1"/>
    <col min="12299" max="12299" width="11.5703125" customWidth="1"/>
    <col min="12300" max="12300" width="2.85546875" customWidth="1"/>
    <col min="12301" max="12301" width="35.42578125" bestFit="1" customWidth="1"/>
    <col min="12302" max="12302" width="20.140625" customWidth="1"/>
    <col min="12545" max="12545" width="4.85546875" customWidth="1"/>
    <col min="12546" max="12546" width="1.7109375" customWidth="1"/>
    <col min="12547" max="12547" width="46" customWidth="1"/>
    <col min="12548" max="12548" width="1.7109375" customWidth="1"/>
    <col min="12549" max="12549" width="34" customWidth="1"/>
    <col min="12550" max="12550" width="1.7109375" customWidth="1"/>
    <col min="12551" max="12551" width="16" customWidth="1"/>
    <col min="12552" max="12552" width="1.7109375" customWidth="1"/>
    <col min="12553" max="12553" width="14" customWidth="1"/>
    <col min="12554" max="12554" width="1.7109375" customWidth="1"/>
    <col min="12555" max="12555" width="11.5703125" customWidth="1"/>
    <col min="12556" max="12556" width="2.85546875" customWidth="1"/>
    <col min="12557" max="12557" width="35.42578125" bestFit="1" customWidth="1"/>
    <col min="12558" max="12558" width="20.140625" customWidth="1"/>
    <col min="12801" max="12801" width="4.85546875" customWidth="1"/>
    <col min="12802" max="12802" width="1.7109375" customWidth="1"/>
    <col min="12803" max="12803" width="46" customWidth="1"/>
    <col min="12804" max="12804" width="1.7109375" customWidth="1"/>
    <col min="12805" max="12805" width="34" customWidth="1"/>
    <col min="12806" max="12806" width="1.7109375" customWidth="1"/>
    <col min="12807" max="12807" width="16" customWidth="1"/>
    <col min="12808" max="12808" width="1.7109375" customWidth="1"/>
    <col min="12809" max="12809" width="14" customWidth="1"/>
    <col min="12810" max="12810" width="1.7109375" customWidth="1"/>
    <col min="12811" max="12811" width="11.5703125" customWidth="1"/>
    <col min="12812" max="12812" width="2.85546875" customWidth="1"/>
    <col min="12813" max="12813" width="35.42578125" bestFit="1" customWidth="1"/>
    <col min="12814" max="12814" width="20.140625" customWidth="1"/>
    <col min="13057" max="13057" width="4.85546875" customWidth="1"/>
    <col min="13058" max="13058" width="1.7109375" customWidth="1"/>
    <col min="13059" max="13059" width="46" customWidth="1"/>
    <col min="13060" max="13060" width="1.7109375" customWidth="1"/>
    <col min="13061" max="13061" width="34" customWidth="1"/>
    <col min="13062" max="13062" width="1.7109375" customWidth="1"/>
    <col min="13063" max="13063" width="16" customWidth="1"/>
    <col min="13064" max="13064" width="1.7109375" customWidth="1"/>
    <col min="13065" max="13065" width="14" customWidth="1"/>
    <col min="13066" max="13066" width="1.7109375" customWidth="1"/>
    <col min="13067" max="13067" width="11.5703125" customWidth="1"/>
    <col min="13068" max="13068" width="2.85546875" customWidth="1"/>
    <col min="13069" max="13069" width="35.42578125" bestFit="1" customWidth="1"/>
    <col min="13070" max="13070" width="20.140625" customWidth="1"/>
    <col min="13313" max="13313" width="4.85546875" customWidth="1"/>
    <col min="13314" max="13314" width="1.7109375" customWidth="1"/>
    <col min="13315" max="13315" width="46" customWidth="1"/>
    <col min="13316" max="13316" width="1.7109375" customWidth="1"/>
    <col min="13317" max="13317" width="34" customWidth="1"/>
    <col min="13318" max="13318" width="1.7109375" customWidth="1"/>
    <col min="13319" max="13319" width="16" customWidth="1"/>
    <col min="13320" max="13320" width="1.7109375" customWidth="1"/>
    <col min="13321" max="13321" width="14" customWidth="1"/>
    <col min="13322" max="13322" width="1.7109375" customWidth="1"/>
    <col min="13323" max="13323" width="11.5703125" customWidth="1"/>
    <col min="13324" max="13324" width="2.85546875" customWidth="1"/>
    <col min="13325" max="13325" width="35.42578125" bestFit="1" customWidth="1"/>
    <col min="13326" max="13326" width="20.140625" customWidth="1"/>
    <col min="13569" max="13569" width="4.85546875" customWidth="1"/>
    <col min="13570" max="13570" width="1.7109375" customWidth="1"/>
    <col min="13571" max="13571" width="46" customWidth="1"/>
    <col min="13572" max="13572" width="1.7109375" customWidth="1"/>
    <col min="13573" max="13573" width="34" customWidth="1"/>
    <col min="13574" max="13574" width="1.7109375" customWidth="1"/>
    <col min="13575" max="13575" width="16" customWidth="1"/>
    <col min="13576" max="13576" width="1.7109375" customWidth="1"/>
    <col min="13577" max="13577" width="14" customWidth="1"/>
    <col min="13578" max="13578" width="1.7109375" customWidth="1"/>
    <col min="13579" max="13579" width="11.5703125" customWidth="1"/>
    <col min="13580" max="13580" width="2.85546875" customWidth="1"/>
    <col min="13581" max="13581" width="35.42578125" bestFit="1" customWidth="1"/>
    <col min="13582" max="13582" width="20.140625" customWidth="1"/>
    <col min="13825" max="13825" width="4.85546875" customWidth="1"/>
    <col min="13826" max="13826" width="1.7109375" customWidth="1"/>
    <col min="13827" max="13827" width="46" customWidth="1"/>
    <col min="13828" max="13828" width="1.7109375" customWidth="1"/>
    <col min="13829" max="13829" width="34" customWidth="1"/>
    <col min="13830" max="13830" width="1.7109375" customWidth="1"/>
    <col min="13831" max="13831" width="16" customWidth="1"/>
    <col min="13832" max="13832" width="1.7109375" customWidth="1"/>
    <col min="13833" max="13833" width="14" customWidth="1"/>
    <col min="13834" max="13834" width="1.7109375" customWidth="1"/>
    <col min="13835" max="13835" width="11.5703125" customWidth="1"/>
    <col min="13836" max="13836" width="2.85546875" customWidth="1"/>
    <col min="13837" max="13837" width="35.42578125" bestFit="1" customWidth="1"/>
    <col min="13838" max="13838" width="20.140625" customWidth="1"/>
    <col min="14081" max="14081" width="4.85546875" customWidth="1"/>
    <col min="14082" max="14082" width="1.7109375" customWidth="1"/>
    <col min="14083" max="14083" width="46" customWidth="1"/>
    <col min="14084" max="14084" width="1.7109375" customWidth="1"/>
    <col min="14085" max="14085" width="34" customWidth="1"/>
    <col min="14086" max="14086" width="1.7109375" customWidth="1"/>
    <col min="14087" max="14087" width="16" customWidth="1"/>
    <col min="14088" max="14088" width="1.7109375" customWidth="1"/>
    <col min="14089" max="14089" width="14" customWidth="1"/>
    <col min="14090" max="14090" width="1.7109375" customWidth="1"/>
    <col min="14091" max="14091" width="11.5703125" customWidth="1"/>
    <col min="14092" max="14092" width="2.85546875" customWidth="1"/>
    <col min="14093" max="14093" width="35.42578125" bestFit="1" customWidth="1"/>
    <col min="14094" max="14094" width="20.140625" customWidth="1"/>
    <col min="14337" max="14337" width="4.85546875" customWidth="1"/>
    <col min="14338" max="14338" width="1.7109375" customWidth="1"/>
    <col min="14339" max="14339" width="46" customWidth="1"/>
    <col min="14340" max="14340" width="1.7109375" customWidth="1"/>
    <col min="14341" max="14341" width="34" customWidth="1"/>
    <col min="14342" max="14342" width="1.7109375" customWidth="1"/>
    <col min="14343" max="14343" width="16" customWidth="1"/>
    <col min="14344" max="14344" width="1.7109375" customWidth="1"/>
    <col min="14345" max="14345" width="14" customWidth="1"/>
    <col min="14346" max="14346" width="1.7109375" customWidth="1"/>
    <col min="14347" max="14347" width="11.5703125" customWidth="1"/>
    <col min="14348" max="14348" width="2.85546875" customWidth="1"/>
    <col min="14349" max="14349" width="35.42578125" bestFit="1" customWidth="1"/>
    <col min="14350" max="14350" width="20.140625" customWidth="1"/>
    <col min="14593" max="14593" width="4.85546875" customWidth="1"/>
    <col min="14594" max="14594" width="1.7109375" customWidth="1"/>
    <col min="14595" max="14595" width="46" customWidth="1"/>
    <col min="14596" max="14596" width="1.7109375" customWidth="1"/>
    <col min="14597" max="14597" width="34" customWidth="1"/>
    <col min="14598" max="14598" width="1.7109375" customWidth="1"/>
    <col min="14599" max="14599" width="16" customWidth="1"/>
    <col min="14600" max="14600" width="1.7109375" customWidth="1"/>
    <col min="14601" max="14601" width="14" customWidth="1"/>
    <col min="14602" max="14602" width="1.7109375" customWidth="1"/>
    <col min="14603" max="14603" width="11.5703125" customWidth="1"/>
    <col min="14604" max="14604" width="2.85546875" customWidth="1"/>
    <col min="14605" max="14605" width="35.42578125" bestFit="1" customWidth="1"/>
    <col min="14606" max="14606" width="20.140625" customWidth="1"/>
    <col min="14849" max="14849" width="4.85546875" customWidth="1"/>
    <col min="14850" max="14850" width="1.7109375" customWidth="1"/>
    <col min="14851" max="14851" width="46" customWidth="1"/>
    <col min="14852" max="14852" width="1.7109375" customWidth="1"/>
    <col min="14853" max="14853" width="34" customWidth="1"/>
    <col min="14854" max="14854" width="1.7109375" customWidth="1"/>
    <col min="14855" max="14855" width="16" customWidth="1"/>
    <col min="14856" max="14856" width="1.7109375" customWidth="1"/>
    <col min="14857" max="14857" width="14" customWidth="1"/>
    <col min="14858" max="14858" width="1.7109375" customWidth="1"/>
    <col min="14859" max="14859" width="11.5703125" customWidth="1"/>
    <col min="14860" max="14860" width="2.85546875" customWidth="1"/>
    <col min="14861" max="14861" width="35.42578125" bestFit="1" customWidth="1"/>
    <col min="14862" max="14862" width="20.140625" customWidth="1"/>
    <col min="15105" max="15105" width="4.85546875" customWidth="1"/>
    <col min="15106" max="15106" width="1.7109375" customWidth="1"/>
    <col min="15107" max="15107" width="46" customWidth="1"/>
    <col min="15108" max="15108" width="1.7109375" customWidth="1"/>
    <col min="15109" max="15109" width="34" customWidth="1"/>
    <col min="15110" max="15110" width="1.7109375" customWidth="1"/>
    <col min="15111" max="15111" width="16" customWidth="1"/>
    <col min="15112" max="15112" width="1.7109375" customWidth="1"/>
    <col min="15113" max="15113" width="14" customWidth="1"/>
    <col min="15114" max="15114" width="1.7109375" customWidth="1"/>
    <col min="15115" max="15115" width="11.5703125" customWidth="1"/>
    <col min="15116" max="15116" width="2.85546875" customWidth="1"/>
    <col min="15117" max="15117" width="35.42578125" bestFit="1" customWidth="1"/>
    <col min="15118" max="15118" width="20.140625" customWidth="1"/>
    <col min="15361" max="15361" width="4.85546875" customWidth="1"/>
    <col min="15362" max="15362" width="1.7109375" customWidth="1"/>
    <col min="15363" max="15363" width="46" customWidth="1"/>
    <col min="15364" max="15364" width="1.7109375" customWidth="1"/>
    <col min="15365" max="15365" width="34" customWidth="1"/>
    <col min="15366" max="15366" width="1.7109375" customWidth="1"/>
    <col min="15367" max="15367" width="16" customWidth="1"/>
    <col min="15368" max="15368" width="1.7109375" customWidth="1"/>
    <col min="15369" max="15369" width="14" customWidth="1"/>
    <col min="15370" max="15370" width="1.7109375" customWidth="1"/>
    <col min="15371" max="15371" width="11.5703125" customWidth="1"/>
    <col min="15372" max="15372" width="2.85546875" customWidth="1"/>
    <col min="15373" max="15373" width="35.42578125" bestFit="1" customWidth="1"/>
    <col min="15374" max="15374" width="20.140625" customWidth="1"/>
    <col min="15617" max="15617" width="4.85546875" customWidth="1"/>
    <col min="15618" max="15618" width="1.7109375" customWidth="1"/>
    <col min="15619" max="15619" width="46" customWidth="1"/>
    <col min="15620" max="15620" width="1.7109375" customWidth="1"/>
    <col min="15621" max="15621" width="34" customWidth="1"/>
    <col min="15622" max="15622" width="1.7109375" customWidth="1"/>
    <col min="15623" max="15623" width="16" customWidth="1"/>
    <col min="15624" max="15624" width="1.7109375" customWidth="1"/>
    <col min="15625" max="15625" width="14" customWidth="1"/>
    <col min="15626" max="15626" width="1.7109375" customWidth="1"/>
    <col min="15627" max="15627" width="11.5703125" customWidth="1"/>
    <col min="15628" max="15628" width="2.85546875" customWidth="1"/>
    <col min="15629" max="15629" width="35.42578125" bestFit="1" customWidth="1"/>
    <col min="15630" max="15630" width="20.140625" customWidth="1"/>
    <col min="15873" max="15873" width="4.85546875" customWidth="1"/>
    <col min="15874" max="15874" width="1.7109375" customWidth="1"/>
    <col min="15875" max="15875" width="46" customWidth="1"/>
    <col min="15876" max="15876" width="1.7109375" customWidth="1"/>
    <col min="15877" max="15877" width="34" customWidth="1"/>
    <col min="15878" max="15878" width="1.7109375" customWidth="1"/>
    <col min="15879" max="15879" width="16" customWidth="1"/>
    <col min="15880" max="15880" width="1.7109375" customWidth="1"/>
    <col min="15881" max="15881" width="14" customWidth="1"/>
    <col min="15882" max="15882" width="1.7109375" customWidth="1"/>
    <col min="15883" max="15883" width="11.5703125" customWidth="1"/>
    <col min="15884" max="15884" width="2.85546875" customWidth="1"/>
    <col min="15885" max="15885" width="35.42578125" bestFit="1" customWidth="1"/>
    <col min="15886" max="15886" width="20.140625" customWidth="1"/>
    <col min="16129" max="16129" width="4.85546875" customWidth="1"/>
    <col min="16130" max="16130" width="1.7109375" customWidth="1"/>
    <col min="16131" max="16131" width="46" customWidth="1"/>
    <col min="16132" max="16132" width="1.7109375" customWidth="1"/>
    <col min="16133" max="16133" width="34" customWidth="1"/>
    <col min="16134" max="16134" width="1.7109375" customWidth="1"/>
    <col min="16135" max="16135" width="16" customWidth="1"/>
    <col min="16136" max="16136" width="1.7109375" customWidth="1"/>
    <col min="16137" max="16137" width="14" customWidth="1"/>
    <col min="16138" max="16138" width="1.7109375" customWidth="1"/>
    <col min="16139" max="16139" width="11.5703125" customWidth="1"/>
    <col min="16140" max="16140" width="2.85546875" customWidth="1"/>
    <col min="16141" max="16141" width="35.42578125" bestFit="1" customWidth="1"/>
    <col min="16142" max="16142" width="20.140625" customWidth="1"/>
  </cols>
  <sheetData>
    <row r="1" spans="1:20" x14ac:dyDescent="0.2">
      <c r="A1" s="833" t="s">
        <v>2491</v>
      </c>
      <c r="B1" s="833"/>
      <c r="C1" s="834"/>
      <c r="D1" s="834"/>
      <c r="G1" s="834"/>
      <c r="H1" s="834"/>
      <c r="I1" s="834"/>
      <c r="J1" s="834"/>
      <c r="K1" s="834"/>
      <c r="L1" s="834"/>
      <c r="M1" s="834"/>
      <c r="N1" s="14"/>
      <c r="O1" s="14"/>
      <c r="P1" s="14"/>
      <c r="Q1" s="14"/>
      <c r="R1" s="14"/>
      <c r="S1" s="14"/>
      <c r="T1" s="14"/>
    </row>
    <row r="2" spans="1:20" x14ac:dyDescent="0.2">
      <c r="A2" s="14"/>
      <c r="B2" s="14"/>
      <c r="C2" s="550"/>
      <c r="D2" s="14"/>
      <c r="E2" s="14"/>
      <c r="F2" s="14"/>
      <c r="G2" s="14"/>
      <c r="H2" s="14"/>
      <c r="I2" s="14"/>
      <c r="J2" s="14"/>
      <c r="K2" s="14"/>
      <c r="L2" s="14"/>
      <c r="M2" s="14"/>
      <c r="N2" s="14"/>
      <c r="O2" s="14"/>
      <c r="P2" s="14"/>
      <c r="Q2" s="14"/>
      <c r="R2" s="14"/>
      <c r="S2" s="14"/>
      <c r="T2" s="14"/>
    </row>
    <row r="3" spans="1:20" x14ac:dyDescent="0.2">
      <c r="A3" s="835" t="s">
        <v>362</v>
      </c>
      <c r="B3" s="835"/>
      <c r="C3" s="834"/>
      <c r="D3" s="834"/>
      <c r="E3" s="834"/>
      <c r="F3" s="834"/>
      <c r="G3" s="834"/>
      <c r="H3" s="834"/>
      <c r="I3" s="834"/>
      <c r="J3" s="834"/>
      <c r="K3" s="834"/>
      <c r="L3" s="834"/>
      <c r="M3" s="834"/>
      <c r="N3" s="14"/>
      <c r="O3" s="14"/>
      <c r="P3" s="14"/>
      <c r="Q3" s="14"/>
      <c r="R3" s="14"/>
      <c r="S3" s="14"/>
      <c r="T3" s="14"/>
    </row>
    <row r="4" spans="1:20" x14ac:dyDescent="0.2">
      <c r="A4" s="836">
        <v>1</v>
      </c>
      <c r="B4" s="836"/>
      <c r="C4" s="695"/>
      <c r="D4" s="695"/>
      <c r="E4" s="695"/>
      <c r="F4" s="695"/>
      <c r="G4" s="834"/>
      <c r="H4" s="834"/>
      <c r="I4" s="834"/>
      <c r="J4" s="834"/>
      <c r="K4" s="834"/>
      <c r="L4" s="834"/>
      <c r="M4" s="834"/>
      <c r="N4" s="14"/>
      <c r="O4" s="14"/>
      <c r="P4" s="14"/>
      <c r="Q4" s="14"/>
      <c r="R4" s="14"/>
      <c r="S4" s="14"/>
      <c r="T4" s="14"/>
    </row>
    <row r="5" spans="1:20" x14ac:dyDescent="0.2">
      <c r="A5" s="686">
        <v>2</v>
      </c>
      <c r="B5" s="686"/>
      <c r="C5" s="695"/>
      <c r="D5" s="695"/>
      <c r="E5" s="695"/>
      <c r="F5" s="695"/>
      <c r="G5" s="834"/>
      <c r="H5" s="834"/>
      <c r="I5" s="834"/>
      <c r="J5" s="834"/>
      <c r="K5" s="834"/>
      <c r="L5" s="834"/>
      <c r="M5" s="834"/>
      <c r="N5" s="14"/>
      <c r="O5" s="14"/>
    </row>
    <row r="6" spans="1:20" x14ac:dyDescent="0.2">
      <c r="A6" s="686">
        <v>3</v>
      </c>
      <c r="B6" s="686"/>
      <c r="C6" s="687"/>
      <c r="D6" s="687"/>
      <c r="E6" s="687"/>
      <c r="F6" s="687"/>
      <c r="G6" s="684"/>
      <c r="H6" s="684"/>
      <c r="I6" s="684"/>
      <c r="J6" s="684"/>
      <c r="K6" s="686" t="s">
        <v>75</v>
      </c>
      <c r="L6" s="684"/>
      <c r="M6" s="684"/>
    </row>
    <row r="7" spans="1:20" x14ac:dyDescent="0.2">
      <c r="A7" s="686">
        <v>4</v>
      </c>
      <c r="B7" s="686"/>
      <c r="C7" s="684"/>
      <c r="D7" s="684"/>
      <c r="E7" s="837" t="s">
        <v>226</v>
      </c>
      <c r="F7" s="838"/>
      <c r="G7" s="684"/>
      <c r="H7" s="684"/>
      <c r="I7" s="684"/>
      <c r="J7" s="684"/>
      <c r="K7" s="839" t="s">
        <v>196</v>
      </c>
      <c r="L7" s="684"/>
      <c r="M7" s="689"/>
    </row>
    <row r="8" spans="1:20" x14ac:dyDescent="0.2">
      <c r="A8" s="686">
        <v>5</v>
      </c>
      <c r="B8" s="686"/>
      <c r="C8" s="687"/>
      <c r="D8" s="687"/>
      <c r="E8" s="687"/>
      <c r="F8" s="687"/>
      <c r="G8" s="684"/>
      <c r="H8" s="684"/>
      <c r="I8" s="684"/>
      <c r="J8" s="684"/>
      <c r="K8" s="690"/>
      <c r="L8" s="684"/>
      <c r="M8" s="687"/>
    </row>
    <row r="9" spans="1:20" x14ac:dyDescent="0.2">
      <c r="A9" s="686">
        <v>6</v>
      </c>
      <c r="B9" s="686"/>
      <c r="C9" s="833" t="s">
        <v>2525</v>
      </c>
      <c r="D9" s="695"/>
      <c r="E9" s="695" t="s">
        <v>2526</v>
      </c>
      <c r="F9" s="695"/>
      <c r="G9" s="834"/>
      <c r="H9" s="834"/>
      <c r="I9" s="834"/>
      <c r="J9" s="834"/>
      <c r="K9" s="690">
        <f>I20</f>
        <v>-5791543.9702708973</v>
      </c>
      <c r="L9" s="684"/>
      <c r="M9" s="687"/>
      <c r="N9" s="840"/>
    </row>
    <row r="10" spans="1:20" ht="13.5" thickBot="1" x14ac:dyDescent="0.25">
      <c r="A10" s="686">
        <v>7</v>
      </c>
      <c r="B10" s="686"/>
      <c r="C10" s="833" t="s">
        <v>2524</v>
      </c>
      <c r="D10" s="835"/>
      <c r="E10" s="695" t="s">
        <v>2492</v>
      </c>
      <c r="F10" s="695"/>
      <c r="G10" s="834"/>
      <c r="H10" s="834"/>
      <c r="I10" s="834"/>
      <c r="J10" s="834"/>
      <c r="K10" s="1384">
        <f>+K20</f>
        <v>-8128032.9490774116</v>
      </c>
      <c r="L10" s="684"/>
      <c r="M10" s="687"/>
    </row>
    <row r="11" spans="1:20" ht="13.5" thickTop="1" x14ac:dyDescent="0.2">
      <c r="A11" s="686">
        <v>8</v>
      </c>
      <c r="B11" s="686"/>
      <c r="C11" s="695"/>
      <c r="D11" s="695"/>
      <c r="E11" s="695"/>
      <c r="F11" s="695"/>
      <c r="G11" s="834"/>
      <c r="H11" s="834"/>
      <c r="I11" s="834"/>
      <c r="J11" s="834"/>
      <c r="K11" s="690"/>
      <c r="L11" s="684"/>
      <c r="M11" s="684"/>
    </row>
    <row r="12" spans="1:20" x14ac:dyDescent="0.2">
      <c r="A12" s="686">
        <v>9</v>
      </c>
      <c r="B12" s="686"/>
      <c r="C12" s="834"/>
      <c r="D12" s="834"/>
      <c r="E12" s="834"/>
      <c r="F12" s="834"/>
      <c r="G12" s="841" t="s">
        <v>396</v>
      </c>
      <c r="H12" s="841"/>
      <c r="I12" s="841" t="s">
        <v>380</v>
      </c>
      <c r="J12" s="841"/>
      <c r="K12" s="841" t="s">
        <v>381</v>
      </c>
      <c r="L12" s="684"/>
      <c r="M12" s="684"/>
    </row>
    <row r="13" spans="1:20" x14ac:dyDescent="0.2">
      <c r="A13" s="686">
        <v>10</v>
      </c>
      <c r="B13" s="686"/>
      <c r="C13" s="834"/>
      <c r="D13" s="834"/>
      <c r="E13" s="834"/>
      <c r="F13" s="834"/>
      <c r="G13" s="836" t="s">
        <v>75</v>
      </c>
      <c r="H13" s="836"/>
      <c r="I13" s="836" t="s">
        <v>75</v>
      </c>
      <c r="J13" s="838"/>
      <c r="K13" s="836" t="s">
        <v>75</v>
      </c>
      <c r="L13" s="684"/>
      <c r="M13" s="684"/>
    </row>
    <row r="14" spans="1:20" ht="15" x14ac:dyDescent="0.25">
      <c r="A14" s="686">
        <v>11</v>
      </c>
      <c r="B14" s="686"/>
      <c r="C14" s="836"/>
      <c r="D14" s="836"/>
      <c r="E14" s="836"/>
      <c r="F14" s="836"/>
      <c r="G14" s="836" t="s">
        <v>425</v>
      </c>
      <c r="H14" s="836"/>
      <c r="I14" s="836" t="s">
        <v>332</v>
      </c>
      <c r="J14" s="838"/>
      <c r="K14" s="842" t="s">
        <v>257</v>
      </c>
      <c r="L14" s="684"/>
      <c r="M14" s="684"/>
    </row>
    <row r="15" spans="1:20" x14ac:dyDescent="0.2">
      <c r="A15" s="686">
        <v>12</v>
      </c>
      <c r="B15" s="686"/>
      <c r="C15" s="686" t="s">
        <v>460</v>
      </c>
      <c r="D15" s="686"/>
      <c r="E15" s="686"/>
      <c r="F15" s="686"/>
      <c r="G15" s="686" t="s">
        <v>2493</v>
      </c>
      <c r="H15" s="838"/>
      <c r="I15" s="686" t="s">
        <v>2493</v>
      </c>
      <c r="J15" s="838"/>
      <c r="K15" s="686" t="s">
        <v>2493</v>
      </c>
      <c r="L15" s="684"/>
      <c r="M15" s="684"/>
    </row>
    <row r="16" spans="1:20" x14ac:dyDescent="0.2">
      <c r="A16" s="686">
        <v>13</v>
      </c>
      <c r="B16" s="686"/>
      <c r="C16" s="688" t="s">
        <v>2490</v>
      </c>
      <c r="D16" s="688"/>
      <c r="E16" s="688"/>
      <c r="F16" s="688"/>
      <c r="G16" s="839" t="s">
        <v>2494</v>
      </c>
      <c r="H16" s="838"/>
      <c r="I16" s="839" t="s">
        <v>2494</v>
      </c>
      <c r="J16" s="838"/>
      <c r="K16" s="839" t="s">
        <v>2494</v>
      </c>
      <c r="L16" s="684"/>
      <c r="M16" s="684"/>
    </row>
    <row r="17" spans="1:14" x14ac:dyDescent="0.2">
      <c r="A17" s="686">
        <v>14</v>
      </c>
      <c r="B17" s="686"/>
      <c r="C17" s="695" t="s">
        <v>2495</v>
      </c>
      <c r="D17" s="695"/>
      <c r="E17" s="548" t="s">
        <v>2496</v>
      </c>
      <c r="F17" s="548"/>
      <c r="G17" s="1385">
        <f>+G29</f>
        <v>-7387240.7223462099</v>
      </c>
      <c r="H17" s="843"/>
      <c r="I17" s="1385">
        <f>+I29</f>
        <v>-3826972.2482949756</v>
      </c>
      <c r="J17" s="843"/>
      <c r="K17" s="1385">
        <f>(+G17+I17)/2</f>
        <v>-5607106.4853205923</v>
      </c>
      <c r="L17" s="684"/>
      <c r="M17" s="684"/>
      <c r="N17" s="684"/>
    </row>
    <row r="18" spans="1:14" x14ac:dyDescent="0.2">
      <c r="A18" s="686">
        <v>15</v>
      </c>
      <c r="B18" s="686"/>
      <c r="C18" s="695" t="s">
        <v>2497</v>
      </c>
      <c r="D18" s="695"/>
      <c r="E18" s="695" t="s">
        <v>2498</v>
      </c>
      <c r="F18" s="695"/>
      <c r="G18" s="1385">
        <f>+G36</f>
        <v>-1905465.0457414533</v>
      </c>
      <c r="H18" s="843"/>
      <c r="I18" s="1385">
        <f>+I36</f>
        <v>-1751295.5150352744</v>
      </c>
      <c r="J18" s="843"/>
      <c r="K18" s="1385">
        <f>(+G18+I18)/2</f>
        <v>-1828380.2803883639</v>
      </c>
      <c r="L18" s="684"/>
      <c r="M18" s="684"/>
      <c r="N18" s="684"/>
    </row>
    <row r="19" spans="1:14" x14ac:dyDescent="0.2">
      <c r="A19" s="686">
        <v>16</v>
      </c>
      <c r="B19" s="686"/>
      <c r="C19" s="695" t="s">
        <v>2499</v>
      </c>
      <c r="D19" s="695"/>
      <c r="E19" s="695" t="s">
        <v>2500</v>
      </c>
      <c r="F19" s="695"/>
      <c r="G19" s="1387">
        <f>+G45</f>
        <v>-1171816.1597962643</v>
      </c>
      <c r="H19" s="844"/>
      <c r="I19" s="1387">
        <f>+I45</f>
        <v>-213276.20694064745</v>
      </c>
      <c r="J19" s="844"/>
      <c r="K19" s="1385">
        <f>(+G19+I19)/2</f>
        <v>-692546.18336845585</v>
      </c>
      <c r="L19" s="684"/>
      <c r="M19" s="684"/>
    </row>
    <row r="20" spans="1:14" ht="13.5" thickBot="1" x14ac:dyDescent="0.25">
      <c r="A20" s="686">
        <v>17</v>
      </c>
      <c r="B20" s="686"/>
      <c r="C20" s="687" t="s">
        <v>218</v>
      </c>
      <c r="D20" s="687"/>
      <c r="E20" s="687" t="s">
        <v>2501</v>
      </c>
      <c r="F20" s="687"/>
      <c r="G20" s="1386">
        <f>+G17+G18+G19</f>
        <v>-10464521.927883927</v>
      </c>
      <c r="H20" s="843"/>
      <c r="I20" s="1386">
        <f>+I17+I18+I19</f>
        <v>-5791543.9702708973</v>
      </c>
      <c r="J20" s="843"/>
      <c r="K20" s="1386">
        <f>+K17+K18+K19</f>
        <v>-8128032.9490774116</v>
      </c>
      <c r="L20" s="684"/>
      <c r="M20" s="687"/>
      <c r="N20" s="548" t="s">
        <v>361</v>
      </c>
    </row>
    <row r="21" spans="1:14" ht="13.5" thickTop="1" x14ac:dyDescent="0.2">
      <c r="A21" s="686">
        <v>18</v>
      </c>
      <c r="B21" s="686"/>
      <c r="C21" s="684"/>
      <c r="D21" s="684"/>
      <c r="E21" s="684"/>
      <c r="F21" s="684"/>
      <c r="G21" s="684"/>
      <c r="H21" s="845"/>
      <c r="I21" s="684"/>
      <c r="J21" s="845"/>
      <c r="K21" s="684"/>
      <c r="L21" s="684"/>
      <c r="M21" s="684"/>
    </row>
    <row r="22" spans="1:14" x14ac:dyDescent="0.2">
      <c r="A22" s="686">
        <v>19</v>
      </c>
      <c r="B22" s="686"/>
      <c r="C22" s="685" t="s">
        <v>2502</v>
      </c>
      <c r="D22" s="685"/>
      <c r="E22" s="685"/>
      <c r="F22" s="685"/>
      <c r="G22" s="684"/>
      <c r="H22" s="845"/>
      <c r="I22" s="684"/>
      <c r="J22" s="845"/>
      <c r="K22" s="684"/>
      <c r="L22" s="684"/>
      <c r="M22" s="684"/>
    </row>
    <row r="23" spans="1:14" x14ac:dyDescent="0.2">
      <c r="A23" s="686">
        <v>20</v>
      </c>
      <c r="B23" s="686"/>
      <c r="H23" s="622"/>
      <c r="J23" s="622"/>
      <c r="K23" s="549" t="s">
        <v>257</v>
      </c>
    </row>
    <row r="24" spans="1:14" x14ac:dyDescent="0.2">
      <c r="A24" s="686">
        <v>21</v>
      </c>
      <c r="B24" s="686"/>
      <c r="C24" s="685" t="s">
        <v>120</v>
      </c>
      <c r="D24" s="685"/>
      <c r="E24" s="685"/>
      <c r="F24" s="685"/>
      <c r="G24" s="444" t="s">
        <v>425</v>
      </c>
      <c r="H24" s="846"/>
      <c r="I24" s="444" t="s">
        <v>332</v>
      </c>
      <c r="J24" s="846"/>
      <c r="K24" s="847" t="s">
        <v>2503</v>
      </c>
      <c r="M24" s="570" t="s">
        <v>361</v>
      </c>
    </row>
    <row r="25" spans="1:14" x14ac:dyDescent="0.2">
      <c r="A25" s="686">
        <v>22</v>
      </c>
      <c r="B25" s="686"/>
      <c r="C25" t="s">
        <v>2504</v>
      </c>
      <c r="E25" s="695" t="s">
        <v>2505</v>
      </c>
      <c r="F25" s="695"/>
      <c r="G25" s="848">
        <v>-330673023.22000003</v>
      </c>
      <c r="H25" s="849"/>
      <c r="I25" s="848">
        <v>-171305705.43000001</v>
      </c>
      <c r="J25" s="850"/>
      <c r="M25" s="840"/>
      <c r="N25" s="731"/>
    </row>
    <row r="26" spans="1:14" x14ac:dyDescent="0.2">
      <c r="A26" s="686">
        <v>23</v>
      </c>
      <c r="B26" s="686"/>
      <c r="C26" t="s">
        <v>1538</v>
      </c>
      <c r="E26" s="1239" t="s">
        <v>2555</v>
      </c>
      <c r="F26" s="851"/>
      <c r="G26" s="1240">
        <f>-G25*('1-BaseTRR'!K102)</f>
        <v>132057671.81714673</v>
      </c>
      <c r="H26" s="852"/>
      <c r="I26" s="1240">
        <f>-I25*('1-BaseTRR'!K102)</f>
        <v>68412694.836097822</v>
      </c>
      <c r="J26" s="852"/>
      <c r="M26" s="840"/>
    </row>
    <row r="27" spans="1:14" x14ac:dyDescent="0.2">
      <c r="A27" s="686">
        <v>24</v>
      </c>
      <c r="B27" s="686"/>
      <c r="C27" t="s">
        <v>2506</v>
      </c>
      <c r="E27" t="s">
        <v>2507</v>
      </c>
      <c r="G27" s="106">
        <f>+G25+G26</f>
        <v>-198615351.40285331</v>
      </c>
      <c r="H27" s="853"/>
      <c r="I27" s="106">
        <f>+I25+I26</f>
        <v>-102893010.59390219</v>
      </c>
      <c r="J27" s="854"/>
      <c r="M27" s="840"/>
    </row>
    <row r="28" spans="1:14" x14ac:dyDescent="0.2">
      <c r="A28" s="686">
        <v>25</v>
      </c>
      <c r="B28" s="686"/>
      <c r="C28" t="s">
        <v>221</v>
      </c>
      <c r="E28" s="855" t="s">
        <v>2508</v>
      </c>
      <c r="F28" s="855"/>
      <c r="G28" s="1388">
        <f>'27-Allocators'!G15</f>
        <v>3.7193704666678068E-2</v>
      </c>
      <c r="H28" s="856"/>
      <c r="I28" s="1388">
        <f>'27-Allocators'!G15</f>
        <v>3.7193704666678068E-2</v>
      </c>
      <c r="J28" s="856"/>
      <c r="M28" s="840"/>
    </row>
    <row r="29" spans="1:14" ht="13.5" thickBot="1" x14ac:dyDescent="0.25">
      <c r="A29" s="686">
        <v>26</v>
      </c>
      <c r="B29" s="686"/>
      <c r="C29" t="s">
        <v>2509</v>
      </c>
      <c r="E29" s="53" t="s">
        <v>2510</v>
      </c>
      <c r="F29" s="53"/>
      <c r="G29" s="1389">
        <f>+G27*G28</f>
        <v>-7387240.7223462099</v>
      </c>
      <c r="H29" s="857"/>
      <c r="I29" s="1389">
        <f>+I27*I28</f>
        <v>-3826972.2482949756</v>
      </c>
      <c r="J29" s="857"/>
      <c r="K29" s="1390">
        <f>(G29+I29)/2</f>
        <v>-5607106.4853205923</v>
      </c>
      <c r="M29" s="840"/>
    </row>
    <row r="30" spans="1:14" ht="13.5" thickTop="1" x14ac:dyDescent="0.2">
      <c r="A30" s="686">
        <v>27</v>
      </c>
      <c r="B30" s="686"/>
      <c r="H30" s="622"/>
      <c r="J30" s="622"/>
      <c r="M30" s="840"/>
    </row>
    <row r="31" spans="1:14" x14ac:dyDescent="0.2">
      <c r="A31" s="686">
        <v>28</v>
      </c>
      <c r="B31" s="686"/>
      <c r="C31" s="52" t="s">
        <v>2511</v>
      </c>
      <c r="D31" s="52"/>
      <c r="E31" s="52"/>
      <c r="F31" s="52"/>
      <c r="H31" s="622"/>
      <c r="J31" s="622"/>
      <c r="M31" s="858" t="s">
        <v>361</v>
      </c>
    </row>
    <row r="32" spans="1:14" x14ac:dyDescent="0.2">
      <c r="A32" s="686">
        <v>29</v>
      </c>
      <c r="B32" s="686"/>
      <c r="C32" s="548" t="s">
        <v>2512</v>
      </c>
      <c r="D32" s="548"/>
      <c r="E32" s="695" t="s">
        <v>2505</v>
      </c>
      <c r="F32" s="695"/>
      <c r="G32" s="848">
        <v>-85293807.390000001</v>
      </c>
      <c r="H32" s="849"/>
      <c r="I32" s="848">
        <v>-78392759.120000005</v>
      </c>
      <c r="J32" s="850"/>
      <c r="M32" s="840"/>
    </row>
    <row r="33" spans="1:13" x14ac:dyDescent="0.2">
      <c r="A33" s="686">
        <v>30</v>
      </c>
      <c r="B33" s="686"/>
      <c r="C33" t="s">
        <v>1538</v>
      </c>
      <c r="E33" s="1239" t="s">
        <v>2556</v>
      </c>
      <c r="F33" s="851"/>
      <c r="G33" s="1240">
        <f>-G32*('1-BaseTRR'!K102)</f>
        <v>34062958.975790694</v>
      </c>
      <c r="H33" s="852"/>
      <c r="I33" s="1240">
        <f>-I32*('1-BaseTRR'!K102)</f>
        <v>31306954.392291222</v>
      </c>
      <c r="J33" s="852"/>
      <c r="M33" s="840"/>
    </row>
    <row r="34" spans="1:13" x14ac:dyDescent="0.2">
      <c r="A34" s="686">
        <v>31</v>
      </c>
      <c r="B34" s="686"/>
      <c r="C34" s="548" t="s">
        <v>2513</v>
      </c>
      <c r="D34" s="548"/>
      <c r="E34" t="s">
        <v>2514</v>
      </c>
      <c r="G34" s="106">
        <f>+G32+G33</f>
        <v>-51230848.414209306</v>
      </c>
      <c r="H34" s="853"/>
      <c r="I34" s="106">
        <f>+I32+I33</f>
        <v>-47085804.727708787</v>
      </c>
      <c r="J34" s="854"/>
      <c r="M34" s="840"/>
    </row>
    <row r="35" spans="1:13" x14ac:dyDescent="0.2">
      <c r="A35" s="686">
        <v>32</v>
      </c>
      <c r="B35" s="686"/>
      <c r="C35" t="s">
        <v>221</v>
      </c>
      <c r="E35" s="855" t="s">
        <v>2508</v>
      </c>
      <c r="F35" s="855"/>
      <c r="G35" s="1388">
        <f>'27-Allocators'!G15</f>
        <v>3.7193704666678068E-2</v>
      </c>
      <c r="H35" s="856"/>
      <c r="I35" s="1388">
        <f>'27-Allocators'!G15</f>
        <v>3.7193704666678068E-2</v>
      </c>
      <c r="J35" s="856"/>
      <c r="M35" s="840"/>
    </row>
    <row r="36" spans="1:13" ht="13.5" thickBot="1" x14ac:dyDescent="0.25">
      <c r="A36" s="686">
        <v>33</v>
      </c>
      <c r="B36" s="686"/>
      <c r="C36" t="s">
        <v>2509</v>
      </c>
      <c r="E36" s="53" t="s">
        <v>2515</v>
      </c>
      <c r="F36" s="53"/>
      <c r="G36" s="1389">
        <f>+G34*G35</f>
        <v>-1905465.0457414533</v>
      </c>
      <c r="H36" s="857"/>
      <c r="I36" s="1389">
        <f>+I34*I35</f>
        <v>-1751295.5150352744</v>
      </c>
      <c r="J36" s="857"/>
      <c r="K36" s="1390">
        <f>(G36+I36)/2</f>
        <v>-1828380.2803883639</v>
      </c>
      <c r="M36" s="840"/>
    </row>
    <row r="37" spans="1:13" ht="13.5" thickTop="1" x14ac:dyDescent="0.2">
      <c r="A37" s="686">
        <f t="shared" ref="A37:A45" si="0">1+A36</f>
        <v>34</v>
      </c>
      <c r="H37" s="622"/>
      <c r="J37" s="622"/>
    </row>
    <row r="38" spans="1:13" x14ac:dyDescent="0.2">
      <c r="A38" s="686">
        <f t="shared" si="0"/>
        <v>35</v>
      </c>
      <c r="C38" s="52" t="s">
        <v>2516</v>
      </c>
      <c r="H38" s="622"/>
      <c r="J38" s="622"/>
    </row>
    <row r="39" spans="1:13" x14ac:dyDescent="0.2">
      <c r="A39" s="686">
        <f t="shared" si="0"/>
        <v>36</v>
      </c>
      <c r="C39" s="548" t="s">
        <v>2516</v>
      </c>
      <c r="E39" s="695" t="s">
        <v>2505</v>
      </c>
      <c r="F39" s="695"/>
      <c r="G39" s="114">
        <v>-104907368.47</v>
      </c>
      <c r="H39" s="859"/>
      <c r="I39" s="114">
        <v>-19093648.300000001</v>
      </c>
      <c r="J39" s="850"/>
    </row>
    <row r="40" spans="1:13" x14ac:dyDescent="0.2">
      <c r="A40" s="686">
        <f t="shared" si="0"/>
        <v>37</v>
      </c>
      <c r="C40" s="548" t="s">
        <v>2517</v>
      </c>
      <c r="E40" s="860" t="s">
        <v>2518</v>
      </c>
      <c r="G40" s="861">
        <v>0.5</v>
      </c>
      <c r="H40" s="622"/>
      <c r="I40" s="861">
        <v>0.5</v>
      </c>
      <c r="J40" s="622"/>
    </row>
    <row r="41" spans="1:13" x14ac:dyDescent="0.2">
      <c r="A41" s="686">
        <f t="shared" si="0"/>
        <v>38</v>
      </c>
      <c r="C41" s="548" t="s">
        <v>2519</v>
      </c>
      <c r="E41" t="s">
        <v>2520</v>
      </c>
      <c r="G41" s="7">
        <f>+G39*G40</f>
        <v>-52453684.234999999</v>
      </c>
      <c r="H41" s="862"/>
      <c r="I41" s="7">
        <f>+I39*I40</f>
        <v>-9546824.1500000004</v>
      </c>
      <c r="J41" s="622"/>
    </row>
    <row r="42" spans="1:13" x14ac:dyDescent="0.2">
      <c r="A42" s="686">
        <f t="shared" si="0"/>
        <v>39</v>
      </c>
      <c r="C42" t="s">
        <v>1538</v>
      </c>
      <c r="E42" s="1239" t="s">
        <v>2557</v>
      </c>
      <c r="F42" s="851"/>
      <c r="G42" s="1240">
        <f>-G41*('1-BaseTRR'!K102)</f>
        <v>20947918.130283434</v>
      </c>
      <c r="H42" s="852"/>
      <c r="I42" s="1240">
        <f>-I41*('1-BaseTRR'!K102)</f>
        <v>3812622.3851588094</v>
      </c>
      <c r="J42" s="61"/>
    </row>
    <row r="43" spans="1:13" x14ac:dyDescent="0.2">
      <c r="A43" s="686">
        <f t="shared" si="0"/>
        <v>40</v>
      </c>
      <c r="C43" s="548" t="s">
        <v>2521</v>
      </c>
      <c r="E43" t="s">
        <v>2522</v>
      </c>
      <c r="G43" s="106">
        <f>+G41+G42</f>
        <v>-31505766.104716565</v>
      </c>
      <c r="H43" s="853"/>
      <c r="I43" s="106">
        <f>+I41+I42</f>
        <v>-5734201.7648411915</v>
      </c>
      <c r="J43" s="854"/>
    </row>
    <row r="44" spans="1:13" x14ac:dyDescent="0.2">
      <c r="A44" s="686">
        <f t="shared" si="0"/>
        <v>41</v>
      </c>
      <c r="C44" t="s">
        <v>221</v>
      </c>
      <c r="E44" s="855" t="s">
        <v>2508</v>
      </c>
      <c r="F44" s="855"/>
      <c r="G44" s="1388">
        <f>'27-Allocators'!G15</f>
        <v>3.7193704666678068E-2</v>
      </c>
      <c r="H44" s="856"/>
      <c r="I44" s="1388">
        <f>'27-Allocators'!G15</f>
        <v>3.7193704666678068E-2</v>
      </c>
      <c r="J44" s="856"/>
    </row>
    <row r="45" spans="1:13" ht="13.5" thickBot="1" x14ac:dyDescent="0.25">
      <c r="A45" s="686">
        <f t="shared" si="0"/>
        <v>42</v>
      </c>
      <c r="C45" t="s">
        <v>2509</v>
      </c>
      <c r="E45" s="53" t="s">
        <v>2523</v>
      </c>
      <c r="F45" s="53"/>
      <c r="G45" s="1389">
        <f>+G43*G44</f>
        <v>-1171816.1597962643</v>
      </c>
      <c r="H45" s="857"/>
      <c r="I45" s="1389">
        <f>+I43*I44</f>
        <v>-213276.20694064745</v>
      </c>
      <c r="J45" s="857"/>
      <c r="K45" s="1390">
        <f>(G45+I45)/2</f>
        <v>-692546.18336845585</v>
      </c>
    </row>
    <row r="46" spans="1:13" ht="13.5" thickTop="1" x14ac:dyDescent="0.2">
      <c r="H46" s="622"/>
      <c r="J46" s="622"/>
    </row>
    <row r="47" spans="1:13" x14ac:dyDescent="0.2">
      <c r="H47" s="61"/>
      <c r="J47" s="61"/>
    </row>
    <row r="48" spans="1:13" x14ac:dyDescent="0.2">
      <c r="H48" s="61"/>
      <c r="J48" s="61"/>
    </row>
    <row r="49" spans="8:10" x14ac:dyDescent="0.2">
      <c r="H49" s="61"/>
      <c r="J49" s="61"/>
    </row>
    <row r="50" spans="8:10" x14ac:dyDescent="0.2">
      <c r="H50" s="61"/>
      <c r="J50" s="61"/>
    </row>
    <row r="51" spans="8:10" x14ac:dyDescent="0.2">
      <c r="H51" s="61"/>
      <c r="J51" s="61"/>
    </row>
    <row r="52" spans="8:10" x14ac:dyDescent="0.2">
      <c r="H52" s="61"/>
      <c r="J52" s="61"/>
    </row>
    <row r="53" spans="8:10" x14ac:dyDescent="0.2">
      <c r="H53" s="61"/>
      <c r="J53" s="61"/>
    </row>
    <row r="54" spans="8:10" x14ac:dyDescent="0.2">
      <c r="H54" s="61"/>
      <c r="J54" s="61"/>
    </row>
    <row r="55" spans="8:10" x14ac:dyDescent="0.2">
      <c r="H55" s="61"/>
      <c r="J55" s="61"/>
    </row>
    <row r="56" spans="8:10" x14ac:dyDescent="0.2">
      <c r="H56" s="61"/>
      <c r="J56" s="61"/>
    </row>
    <row r="57" spans="8:10" x14ac:dyDescent="0.2">
      <c r="H57" s="61"/>
      <c r="J57" s="61"/>
    </row>
    <row r="58" spans="8:10" x14ac:dyDescent="0.2">
      <c r="H58" s="61"/>
      <c r="J58" s="61"/>
    </row>
    <row r="59" spans="8:10" x14ac:dyDescent="0.2">
      <c r="H59" s="61"/>
      <c r="J59" s="61"/>
    </row>
    <row r="60" spans="8:10" x14ac:dyDescent="0.2">
      <c r="H60" s="61"/>
      <c r="J60" s="61"/>
    </row>
    <row r="61" spans="8:10" x14ac:dyDescent="0.2">
      <c r="H61" s="61"/>
    </row>
    <row r="62" spans="8:10" x14ac:dyDescent="0.2">
      <c r="H62" s="61"/>
    </row>
  </sheetData>
  <pageMargins left="0.7" right="0.7" top="0.75" bottom="0.75" header="0.3" footer="0.3"/>
  <pageSetup scale="85" orientation="landscape" cellComments="asDisplayed" verticalDpi="0" r:id="rId1"/>
  <headerFooter>
    <oddHeader>&amp;CSchedule 34
Unfunded Reserves
&amp;RTO8 Annual Update (Revised)
Attachment  1</oddHeader>
    <oddFooter>&amp;R34-UnfundedReserves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view="pageLayout" zoomScaleNormal="100" workbookViewId="0"/>
  </sheetViews>
  <sheetFormatPr defaultRowHeight="12.75" x14ac:dyDescent="0.2"/>
  <cols>
    <col min="1" max="1" width="4.7109375" customWidth="1"/>
    <col min="2" max="5" width="8.7109375" customWidth="1"/>
    <col min="7" max="10" width="12.7109375" customWidth="1"/>
  </cols>
  <sheetData>
    <row r="1" spans="1:14" x14ac:dyDescent="0.2">
      <c r="A1" s="1153" t="s">
        <v>2481</v>
      </c>
      <c r="B1" s="550"/>
      <c r="C1" s="550"/>
      <c r="D1" s="550"/>
      <c r="E1" s="550"/>
      <c r="F1" s="550"/>
      <c r="G1" s="550"/>
      <c r="H1" s="550"/>
      <c r="I1" s="550"/>
      <c r="J1" s="550"/>
      <c r="K1" s="550"/>
      <c r="L1" s="550"/>
    </row>
    <row r="2" spans="1:14" x14ac:dyDescent="0.2">
      <c r="A2" s="1153"/>
      <c r="B2" s="550"/>
      <c r="C2" s="550"/>
      <c r="D2" s="550"/>
      <c r="E2" s="550"/>
      <c r="F2" s="550"/>
      <c r="G2" s="550"/>
      <c r="H2" s="550"/>
      <c r="I2" s="550"/>
      <c r="J2" s="550"/>
      <c r="K2" s="550"/>
      <c r="L2" s="550"/>
    </row>
    <row r="3" spans="1:14" x14ac:dyDescent="0.2">
      <c r="A3" s="550" t="s">
        <v>2433</v>
      </c>
      <c r="B3" s="550"/>
      <c r="C3" s="550"/>
      <c r="D3" s="550"/>
      <c r="E3" s="550"/>
      <c r="F3" s="550"/>
      <c r="G3" s="550"/>
      <c r="H3" s="550"/>
      <c r="I3" s="550"/>
      <c r="J3" s="550"/>
      <c r="K3" s="550"/>
      <c r="L3" s="550"/>
    </row>
    <row r="4" spans="1:14" x14ac:dyDescent="0.2">
      <c r="A4" s="550"/>
      <c r="B4" s="550"/>
      <c r="C4" s="550"/>
      <c r="D4" s="550"/>
      <c r="E4" s="550"/>
      <c r="F4" s="550"/>
      <c r="G4" s="550"/>
      <c r="H4" s="550"/>
      <c r="I4" s="550"/>
      <c r="J4" s="550"/>
      <c r="K4" s="550"/>
      <c r="L4" s="550"/>
    </row>
    <row r="5" spans="1:14" x14ac:dyDescent="0.2">
      <c r="A5" s="550"/>
      <c r="B5" s="550" t="s">
        <v>2484</v>
      </c>
      <c r="C5" s="550"/>
      <c r="D5" s="550"/>
      <c r="E5" s="550"/>
      <c r="F5" s="550"/>
      <c r="G5" s="550"/>
      <c r="H5" s="550"/>
      <c r="I5" s="550"/>
      <c r="J5" s="550"/>
      <c r="K5" s="550"/>
      <c r="L5" s="550"/>
      <c r="M5" s="14"/>
    </row>
    <row r="6" spans="1:14" x14ac:dyDescent="0.2">
      <c r="A6" s="548"/>
      <c r="B6" s="548" t="s">
        <v>2434</v>
      </c>
      <c r="C6" s="548"/>
      <c r="D6" s="548"/>
      <c r="E6" s="548"/>
      <c r="F6" s="548"/>
      <c r="G6" s="548"/>
      <c r="H6" s="548"/>
      <c r="I6" s="548"/>
      <c r="J6" s="548"/>
      <c r="K6" s="548"/>
      <c r="L6" s="548"/>
      <c r="M6" s="14"/>
    </row>
    <row r="7" spans="1:14" x14ac:dyDescent="0.2">
      <c r="A7" s="548"/>
      <c r="B7" s="548" t="s">
        <v>2435</v>
      </c>
      <c r="C7" s="548"/>
      <c r="D7" s="548"/>
      <c r="E7" s="548"/>
      <c r="F7" s="548"/>
      <c r="G7" s="548"/>
      <c r="H7" s="548"/>
      <c r="I7" s="548"/>
      <c r="J7" s="548"/>
      <c r="K7" s="548"/>
      <c r="L7" s="548"/>
      <c r="M7" s="14"/>
    </row>
    <row r="8" spans="1:14" x14ac:dyDescent="0.2">
      <c r="A8" s="548"/>
      <c r="B8" s="548"/>
      <c r="C8" s="548"/>
      <c r="D8" s="548"/>
      <c r="E8" s="548"/>
      <c r="F8" s="548"/>
      <c r="G8" s="548"/>
      <c r="H8" s="548"/>
      <c r="I8" s="548"/>
      <c r="J8" s="548"/>
      <c r="K8" s="548"/>
      <c r="L8" s="548"/>
      <c r="M8" s="14"/>
    </row>
    <row r="9" spans="1:14" x14ac:dyDescent="0.2">
      <c r="A9" s="548"/>
      <c r="B9" s="548" t="s">
        <v>2436</v>
      </c>
      <c r="C9" s="550"/>
      <c r="D9" s="550"/>
      <c r="E9" s="550"/>
      <c r="F9" s="550"/>
      <c r="G9" s="830"/>
      <c r="H9" s="563"/>
      <c r="I9" s="550"/>
      <c r="J9" s="550"/>
      <c r="K9" s="548"/>
      <c r="L9" s="548"/>
      <c r="M9" s="14"/>
    </row>
    <row r="10" spans="1:14" x14ac:dyDescent="0.2">
      <c r="A10" s="54" t="s">
        <v>352</v>
      </c>
      <c r="B10" s="548"/>
      <c r="C10" s="548"/>
      <c r="D10" s="548"/>
      <c r="E10" s="548"/>
      <c r="F10" s="548"/>
      <c r="G10" s="394" t="s">
        <v>2437</v>
      </c>
      <c r="H10" s="394" t="s">
        <v>196</v>
      </c>
      <c r="I10" s="548"/>
      <c r="J10" s="452" t="s">
        <v>200</v>
      </c>
      <c r="K10" s="548"/>
      <c r="L10" s="548"/>
      <c r="M10" s="14"/>
    </row>
    <row r="11" spans="1:14" x14ac:dyDescent="0.2">
      <c r="A11" s="250">
        <v>1</v>
      </c>
      <c r="B11" s="642" t="s">
        <v>2438</v>
      </c>
      <c r="C11" s="548"/>
      <c r="D11" s="548"/>
      <c r="E11" s="548"/>
      <c r="F11" s="548"/>
      <c r="G11" s="831"/>
      <c r="H11" s="555">
        <f>I45</f>
        <v>0</v>
      </c>
      <c r="I11" s="548"/>
      <c r="J11" s="548" t="s">
        <v>397</v>
      </c>
      <c r="K11" s="548"/>
      <c r="L11" s="548"/>
      <c r="M11" s="14"/>
    </row>
    <row r="12" spans="1:14" x14ac:dyDescent="0.2">
      <c r="A12" s="250">
        <v>2</v>
      </c>
      <c r="B12" s="548" t="s">
        <v>2439</v>
      </c>
      <c r="C12" s="548"/>
      <c r="D12" s="548"/>
      <c r="E12" s="548"/>
      <c r="F12" s="548"/>
      <c r="G12" s="831"/>
      <c r="H12" s="555">
        <f>G55</f>
        <v>-105414000</v>
      </c>
      <c r="I12" s="548"/>
      <c r="J12" s="548" t="s">
        <v>398</v>
      </c>
      <c r="K12" s="548"/>
      <c r="L12" s="548"/>
      <c r="M12" s="14"/>
    </row>
    <row r="13" spans="1:14" x14ac:dyDescent="0.2">
      <c r="A13" s="250">
        <v>3</v>
      </c>
      <c r="B13" s="642" t="s">
        <v>2440</v>
      </c>
      <c r="C13" s="548"/>
      <c r="D13" s="548"/>
      <c r="E13" s="548"/>
      <c r="F13" s="548"/>
      <c r="G13" s="548"/>
      <c r="H13" s="555">
        <f>ABS(H11+H12)</f>
        <v>105414000</v>
      </c>
      <c r="I13" s="548"/>
      <c r="J13" s="548" t="s">
        <v>2548</v>
      </c>
      <c r="K13" s="548"/>
      <c r="L13" s="548"/>
      <c r="M13" s="14"/>
    </row>
    <row r="14" spans="1:14" x14ac:dyDescent="0.2">
      <c r="A14" s="250">
        <v>4</v>
      </c>
      <c r="B14" s="642" t="s">
        <v>2441</v>
      </c>
      <c r="C14" s="548"/>
      <c r="D14" s="548"/>
      <c r="E14" s="548"/>
      <c r="F14" s="548"/>
      <c r="G14" s="548"/>
      <c r="H14" s="555">
        <f>G67</f>
        <v>0</v>
      </c>
      <c r="I14" s="548"/>
      <c r="J14" s="548" t="s">
        <v>2486</v>
      </c>
      <c r="K14" s="548"/>
      <c r="L14" s="548"/>
      <c r="M14" s="14"/>
    </row>
    <row r="15" spans="1:14" x14ac:dyDescent="0.2">
      <c r="A15" s="250"/>
      <c r="B15" s="552"/>
      <c r="C15" s="548"/>
      <c r="D15" s="548"/>
      <c r="E15" s="548" t="s">
        <v>361</v>
      </c>
      <c r="F15" s="548"/>
      <c r="G15" s="548"/>
      <c r="H15" s="555"/>
      <c r="I15" s="548"/>
      <c r="J15" s="548"/>
      <c r="K15" s="548"/>
      <c r="L15" s="548"/>
      <c r="M15" s="14"/>
      <c r="N15" s="14"/>
    </row>
    <row r="16" spans="1:14" x14ac:dyDescent="0.2">
      <c r="A16" s="250"/>
      <c r="B16" s="642" t="s">
        <v>2482</v>
      </c>
      <c r="C16" s="548"/>
      <c r="D16" s="548"/>
      <c r="E16" s="548"/>
      <c r="F16" s="548"/>
      <c r="G16" s="548"/>
      <c r="H16" s="555"/>
      <c r="I16" s="548"/>
      <c r="J16" s="452" t="s">
        <v>173</v>
      </c>
      <c r="K16" s="548"/>
      <c r="L16" s="548"/>
      <c r="M16" s="14"/>
      <c r="N16" s="14"/>
    </row>
    <row r="17" spans="1:14" x14ac:dyDescent="0.2">
      <c r="A17" s="250"/>
      <c r="B17" s="642" t="s">
        <v>2442</v>
      </c>
      <c r="C17" s="548"/>
      <c r="D17" s="549" t="str">
        <f>IF(H13&gt;H14, "Yes", "No")</f>
        <v>Yes</v>
      </c>
      <c r="E17" s="548"/>
      <c r="F17" s="548"/>
      <c r="G17" s="548"/>
      <c r="H17" s="555"/>
      <c r="I17" s="548"/>
      <c r="J17" s="548" t="s">
        <v>2483</v>
      </c>
      <c r="K17" s="548"/>
      <c r="L17" s="548"/>
      <c r="M17" s="14"/>
      <c r="N17" s="14"/>
    </row>
    <row r="18" spans="1:14" x14ac:dyDescent="0.2">
      <c r="A18" s="250"/>
      <c r="B18" s="642"/>
      <c r="C18" s="548"/>
      <c r="D18" s="548"/>
      <c r="E18" s="548"/>
      <c r="F18" s="548"/>
      <c r="G18" s="548"/>
      <c r="H18" s="555"/>
      <c r="I18" s="548"/>
      <c r="J18" s="548"/>
      <c r="K18" s="548"/>
      <c r="L18" s="548"/>
      <c r="M18" s="14"/>
      <c r="N18" s="14"/>
    </row>
    <row r="19" spans="1:14" x14ac:dyDescent="0.2">
      <c r="A19" s="250"/>
      <c r="B19" s="642" t="s">
        <v>2443</v>
      </c>
      <c r="C19" s="548"/>
      <c r="D19" s="548"/>
      <c r="E19" s="548"/>
      <c r="F19" s="548"/>
      <c r="G19" s="520" t="s">
        <v>2444</v>
      </c>
      <c r="H19" s="520" t="s">
        <v>2445</v>
      </c>
      <c r="I19" s="520" t="s">
        <v>2446</v>
      </c>
      <c r="J19" s="548"/>
      <c r="K19" s="548"/>
      <c r="L19" s="548"/>
      <c r="M19" s="14"/>
      <c r="N19" s="14"/>
    </row>
    <row r="20" spans="1:14" x14ac:dyDescent="0.2">
      <c r="A20" s="250"/>
      <c r="B20" s="642" t="s">
        <v>2447</v>
      </c>
      <c r="C20" s="548"/>
      <c r="D20" s="548"/>
      <c r="E20" s="548"/>
      <c r="F20" s="548"/>
      <c r="G20" s="549" t="s">
        <v>2544</v>
      </c>
      <c r="H20" s="259" t="s">
        <v>2448</v>
      </c>
      <c r="I20" s="548"/>
      <c r="J20" s="548"/>
      <c r="K20" s="548"/>
      <c r="L20" s="548"/>
      <c r="M20" s="14"/>
      <c r="N20" s="14"/>
    </row>
    <row r="21" spans="1:14" x14ac:dyDescent="0.2">
      <c r="A21" s="250"/>
      <c r="B21" s="548"/>
      <c r="C21" s="548"/>
      <c r="D21" s="548"/>
      <c r="E21" s="548"/>
      <c r="F21" s="548"/>
      <c r="G21" s="548"/>
      <c r="H21" s="679" t="s">
        <v>225</v>
      </c>
      <c r="I21" s="548"/>
      <c r="J21" s="548"/>
      <c r="K21" s="548"/>
      <c r="L21" s="548"/>
      <c r="M21" s="14"/>
      <c r="N21" s="14"/>
    </row>
    <row r="22" spans="1:14" x14ac:dyDescent="0.2">
      <c r="A22" s="250"/>
      <c r="B22" s="548"/>
      <c r="C22" s="548"/>
      <c r="D22" s="548"/>
      <c r="E22" s="548"/>
      <c r="F22" s="548"/>
      <c r="G22" s="250" t="s">
        <v>219</v>
      </c>
      <c r="H22" s="259" t="s">
        <v>2449</v>
      </c>
      <c r="I22" s="250" t="s">
        <v>2450</v>
      </c>
      <c r="J22" s="548"/>
      <c r="K22" s="548"/>
      <c r="L22" s="548"/>
      <c r="M22" s="14"/>
      <c r="N22" s="14"/>
    </row>
    <row r="23" spans="1:14" x14ac:dyDescent="0.2">
      <c r="A23" s="250"/>
      <c r="B23" s="548"/>
      <c r="C23" s="548"/>
      <c r="D23" s="548"/>
      <c r="E23" s="548"/>
      <c r="F23" s="548"/>
      <c r="G23" s="250" t="s">
        <v>2451</v>
      </c>
      <c r="H23" s="259" t="s">
        <v>2452</v>
      </c>
      <c r="I23" s="250" t="s">
        <v>2451</v>
      </c>
      <c r="J23" s="548"/>
      <c r="K23" s="548"/>
      <c r="L23" s="548"/>
      <c r="M23" s="14"/>
      <c r="N23" s="14"/>
    </row>
    <row r="24" spans="1:14" x14ac:dyDescent="0.2">
      <c r="A24" s="54" t="s">
        <v>352</v>
      </c>
      <c r="B24" s="548"/>
      <c r="C24" s="548"/>
      <c r="D24" s="548"/>
      <c r="E24" s="394" t="s">
        <v>214</v>
      </c>
      <c r="F24" s="548"/>
      <c r="G24" s="394" t="s">
        <v>2453</v>
      </c>
      <c r="H24" s="261" t="s">
        <v>319</v>
      </c>
      <c r="I24" s="394" t="s">
        <v>356</v>
      </c>
      <c r="J24" s="607" t="s">
        <v>2545</v>
      </c>
      <c r="K24" s="550"/>
      <c r="L24" s="550"/>
      <c r="M24" s="14"/>
      <c r="N24" s="14"/>
    </row>
    <row r="25" spans="1:14" x14ac:dyDescent="0.2">
      <c r="A25" s="250">
        <v>5</v>
      </c>
      <c r="B25" s="548"/>
      <c r="C25" s="548"/>
      <c r="D25" s="548"/>
      <c r="E25" s="831"/>
      <c r="F25" s="548"/>
      <c r="G25" s="555">
        <f>G60</f>
        <v>0</v>
      </c>
      <c r="H25" s="555">
        <f>H11/2</f>
        <v>0</v>
      </c>
      <c r="I25" s="555">
        <f>SUM(G25:H25)</f>
        <v>0</v>
      </c>
      <c r="J25" s="1135" t="s">
        <v>2546</v>
      </c>
      <c r="K25" s="550"/>
      <c r="L25" s="550"/>
      <c r="M25" s="14"/>
      <c r="N25" s="14"/>
    </row>
    <row r="26" spans="1:14" x14ac:dyDescent="0.2">
      <c r="A26" s="250">
        <v>6</v>
      </c>
      <c r="B26" s="548"/>
      <c r="C26" s="548"/>
      <c r="D26" s="548"/>
      <c r="E26" s="831"/>
      <c r="F26" s="548"/>
      <c r="G26" s="555">
        <f>G61</f>
        <v>0</v>
      </c>
      <c r="H26" s="555">
        <f>H11/2</f>
        <v>0</v>
      </c>
      <c r="I26" s="555">
        <f>SUM(G26:H26)</f>
        <v>0</v>
      </c>
      <c r="J26" s="1135" t="s">
        <v>2546</v>
      </c>
      <c r="K26" s="550"/>
      <c r="L26" s="550"/>
      <c r="M26" s="14"/>
      <c r="N26" s="14"/>
    </row>
    <row r="27" spans="1:14" x14ac:dyDescent="0.2">
      <c r="A27" s="250">
        <v>7</v>
      </c>
      <c r="B27" s="552"/>
      <c r="C27" s="548"/>
      <c r="D27" s="548"/>
      <c r="E27" s="831"/>
      <c r="F27" s="548"/>
      <c r="G27" s="555">
        <f t="shared" ref="G27:G29" si="0">G62</f>
        <v>0</v>
      </c>
      <c r="H27" s="557" t="s">
        <v>88</v>
      </c>
      <c r="I27" s="555">
        <f xml:space="preserve"> SUM($G$27:$G$29)/3</f>
        <v>0</v>
      </c>
      <c r="J27" s="547" t="s">
        <v>2547</v>
      </c>
      <c r="K27" s="550"/>
      <c r="L27" s="550"/>
    </row>
    <row r="28" spans="1:14" x14ac:dyDescent="0.2">
      <c r="A28" s="250">
        <v>8</v>
      </c>
      <c r="B28" s="247"/>
      <c r="C28" s="548"/>
      <c r="D28" s="548"/>
      <c r="E28" s="831"/>
      <c r="F28" s="548"/>
      <c r="G28" s="555">
        <f t="shared" si="0"/>
        <v>0</v>
      </c>
      <c r="H28" s="557" t="s">
        <v>88</v>
      </c>
      <c r="I28" s="555">
        <f t="shared" ref="I28:I29" si="1" xml:space="preserve"> SUM($G$27:$G$29)/3</f>
        <v>0</v>
      </c>
      <c r="J28" s="547" t="s">
        <v>2547</v>
      </c>
      <c r="K28" s="550"/>
      <c r="L28" s="550"/>
    </row>
    <row r="29" spans="1:14" x14ac:dyDescent="0.2">
      <c r="A29" s="250">
        <v>9</v>
      </c>
      <c r="B29" s="548"/>
      <c r="C29" s="548"/>
      <c r="D29" s="548"/>
      <c r="E29" s="831"/>
      <c r="F29" s="548"/>
      <c r="G29" s="555">
        <f t="shared" si="0"/>
        <v>0</v>
      </c>
      <c r="H29" s="557" t="s">
        <v>88</v>
      </c>
      <c r="I29" s="555">
        <f t="shared" si="1"/>
        <v>0</v>
      </c>
      <c r="J29" s="547" t="s">
        <v>2547</v>
      </c>
      <c r="K29" s="550"/>
      <c r="L29" s="550"/>
    </row>
    <row r="30" spans="1:14" x14ac:dyDescent="0.2">
      <c r="A30" s="548"/>
      <c r="B30" s="548"/>
      <c r="C30" s="548"/>
      <c r="D30" s="548"/>
      <c r="E30" s="548"/>
      <c r="F30" s="548"/>
      <c r="G30" s="548"/>
      <c r="H30" s="548"/>
      <c r="I30" s="548"/>
      <c r="J30" s="548"/>
      <c r="K30" s="548"/>
      <c r="L30" s="548"/>
    </row>
    <row r="31" spans="1:14" x14ac:dyDescent="0.2">
      <c r="A31" s="528" t="s">
        <v>258</v>
      </c>
      <c r="B31" s="548"/>
      <c r="C31" s="548"/>
      <c r="D31" s="548"/>
      <c r="E31" s="548"/>
      <c r="F31" s="548"/>
      <c r="G31" s="548"/>
      <c r="H31" s="548"/>
      <c r="I31" s="548"/>
      <c r="J31" s="548"/>
      <c r="K31" s="548"/>
      <c r="L31" s="548"/>
    </row>
    <row r="32" spans="1:14" x14ac:dyDescent="0.2">
      <c r="A32" s="548" t="s">
        <v>2454</v>
      </c>
      <c r="B32" s="548"/>
      <c r="C32" s="548"/>
      <c r="D32" s="548"/>
      <c r="E32" s="548"/>
      <c r="F32" s="548"/>
      <c r="G32" s="548"/>
      <c r="H32" s="548"/>
      <c r="I32" s="548"/>
      <c r="J32" s="548"/>
      <c r="K32" s="548"/>
      <c r="L32" s="548"/>
    </row>
    <row r="33" spans="1:14" x14ac:dyDescent="0.2">
      <c r="A33" s="552" t="s">
        <v>2455</v>
      </c>
      <c r="B33" s="548"/>
      <c r="C33" s="548"/>
      <c r="D33" s="548"/>
      <c r="E33" s="548"/>
      <c r="F33" s="548"/>
      <c r="G33" s="548"/>
      <c r="H33" s="548"/>
      <c r="I33" s="548"/>
      <c r="J33" s="548"/>
      <c r="K33" s="548"/>
      <c r="L33" s="548"/>
    </row>
    <row r="34" spans="1:14" x14ac:dyDescent="0.2">
      <c r="A34" s="552" t="s">
        <v>2456</v>
      </c>
      <c r="B34" s="548"/>
      <c r="C34" s="548"/>
      <c r="D34" s="548"/>
      <c r="E34" s="548"/>
      <c r="F34" s="548"/>
      <c r="G34" s="548"/>
      <c r="H34" s="548"/>
      <c r="I34" s="548"/>
      <c r="J34" s="548"/>
      <c r="K34" s="548"/>
      <c r="L34" s="548"/>
    </row>
    <row r="35" spans="1:14" x14ac:dyDescent="0.2">
      <c r="A35" s="552"/>
      <c r="B35" s="548"/>
      <c r="C35" s="548"/>
      <c r="D35" s="548"/>
      <c r="E35" s="548"/>
      <c r="F35" s="548"/>
      <c r="G35" s="548"/>
      <c r="H35" s="548"/>
      <c r="I35" s="548"/>
      <c r="J35" s="548"/>
      <c r="K35" s="548"/>
      <c r="L35" s="548"/>
    </row>
    <row r="36" spans="1:14" x14ac:dyDescent="0.2">
      <c r="A36" s="250"/>
      <c r="B36" s="548"/>
      <c r="C36" s="548"/>
      <c r="D36" s="548"/>
      <c r="E36" s="548"/>
      <c r="F36" s="548"/>
      <c r="G36" s="548"/>
      <c r="H36" s="394" t="s">
        <v>196</v>
      </c>
      <c r="I36" s="394" t="s">
        <v>226</v>
      </c>
      <c r="J36" s="548"/>
      <c r="K36" s="548"/>
      <c r="L36" s="548"/>
    </row>
    <row r="37" spans="1:14" x14ac:dyDescent="0.2">
      <c r="A37" s="250"/>
      <c r="B37" s="548" t="s">
        <v>2457</v>
      </c>
      <c r="C37" s="548"/>
      <c r="D37" s="548"/>
      <c r="E37" s="548"/>
      <c r="F37" s="548"/>
      <c r="G37" s="557"/>
      <c r="H37" s="555">
        <f>'20-AandG'!E68</f>
        <v>52707000</v>
      </c>
      <c r="I37" s="552" t="s">
        <v>2458</v>
      </c>
      <c r="J37" s="548"/>
      <c r="K37" s="548"/>
      <c r="L37" s="548"/>
    </row>
    <row r="38" spans="1:14" x14ac:dyDescent="0.2">
      <c r="A38" s="552"/>
      <c r="B38" s="548"/>
      <c r="C38" s="548"/>
      <c r="D38" s="548"/>
      <c r="E38" s="548"/>
      <c r="F38" s="548"/>
      <c r="G38" s="548"/>
      <c r="H38" s="548"/>
      <c r="I38" s="548"/>
      <c r="J38" s="548"/>
      <c r="K38" s="548"/>
      <c r="L38" s="548"/>
    </row>
    <row r="39" spans="1:14" x14ac:dyDescent="0.2">
      <c r="A39" s="552" t="s">
        <v>2485</v>
      </c>
      <c r="B39" s="548"/>
      <c r="C39" s="548"/>
      <c r="D39" s="548"/>
      <c r="E39" s="548"/>
      <c r="F39" s="550"/>
      <c r="G39" s="550"/>
      <c r="H39" s="548"/>
      <c r="I39" s="250" t="s">
        <v>2459</v>
      </c>
      <c r="J39" s="548"/>
      <c r="K39" s="548"/>
      <c r="L39" s="548"/>
      <c r="N39" s="16"/>
    </row>
    <row r="40" spans="1:14" x14ac:dyDescent="0.2">
      <c r="A40" s="552"/>
      <c r="B40" s="548" t="s">
        <v>361</v>
      </c>
      <c r="C40" s="548"/>
      <c r="D40" s="548"/>
      <c r="E40" s="548"/>
      <c r="F40" s="250"/>
      <c r="G40" s="250" t="s">
        <v>2451</v>
      </c>
      <c r="H40" s="250" t="s">
        <v>2451</v>
      </c>
      <c r="I40" s="250" t="s">
        <v>2460</v>
      </c>
      <c r="J40" s="548"/>
      <c r="K40" s="548"/>
      <c r="L40" s="548"/>
    </row>
    <row r="41" spans="1:14" x14ac:dyDescent="0.2">
      <c r="A41" s="552"/>
      <c r="B41" s="548" t="s">
        <v>2461</v>
      </c>
      <c r="C41" s="548"/>
      <c r="D41" s="548"/>
      <c r="E41" s="548"/>
      <c r="F41" s="394" t="s">
        <v>214</v>
      </c>
      <c r="G41" s="394" t="s">
        <v>2453</v>
      </c>
      <c r="H41" s="394" t="s">
        <v>2452</v>
      </c>
      <c r="I41" s="394" t="s">
        <v>2452</v>
      </c>
      <c r="J41" s="548"/>
      <c r="K41" s="548"/>
      <c r="L41" s="548"/>
    </row>
    <row r="42" spans="1:14" x14ac:dyDescent="0.2">
      <c r="A42" s="552"/>
      <c r="B42" s="548" t="s">
        <v>2462</v>
      </c>
      <c r="C42" s="548"/>
      <c r="D42" s="548"/>
      <c r="E42" s="548"/>
      <c r="F42" s="831"/>
      <c r="G42" s="587"/>
      <c r="H42" s="587"/>
      <c r="I42" s="555">
        <f>G42-H42</f>
        <v>0</v>
      </c>
      <c r="J42" s="552"/>
      <c r="K42" s="548"/>
      <c r="L42" s="548"/>
    </row>
    <row r="43" spans="1:14" x14ac:dyDescent="0.2">
      <c r="A43" s="552"/>
      <c r="B43" s="548"/>
      <c r="C43" s="548"/>
      <c r="D43" s="548"/>
      <c r="E43" s="548"/>
      <c r="F43" s="831"/>
      <c r="G43" s="587"/>
      <c r="H43" s="587"/>
      <c r="I43" s="555">
        <f>G43-H43</f>
        <v>0</v>
      </c>
      <c r="J43" s="548"/>
      <c r="K43" s="548"/>
      <c r="L43" s="548"/>
    </row>
    <row r="44" spans="1:14" x14ac:dyDescent="0.2">
      <c r="A44" s="552"/>
      <c r="B44" s="548"/>
      <c r="C44" s="548"/>
      <c r="D44" s="548"/>
      <c r="E44" s="548"/>
      <c r="F44" s="630" t="s">
        <v>567</v>
      </c>
      <c r="G44" s="587"/>
      <c r="H44" s="587"/>
      <c r="I44" s="548"/>
      <c r="J44" s="548"/>
      <c r="K44" s="548"/>
      <c r="L44" s="548"/>
    </row>
    <row r="45" spans="1:14" x14ac:dyDescent="0.2">
      <c r="A45" s="552"/>
      <c r="B45" s="548"/>
      <c r="C45" s="548"/>
      <c r="D45" s="548"/>
      <c r="E45" s="548"/>
      <c r="F45" s="830"/>
      <c r="G45" s="563"/>
      <c r="H45" s="832" t="s">
        <v>2463</v>
      </c>
      <c r="I45" s="555">
        <f>SUM(I42:I44)</f>
        <v>0</v>
      </c>
      <c r="J45" s="552" t="s">
        <v>2464</v>
      </c>
      <c r="K45" s="548"/>
      <c r="L45" s="548"/>
    </row>
    <row r="46" spans="1:14" x14ac:dyDescent="0.2">
      <c r="A46" s="552"/>
      <c r="B46" s="548"/>
      <c r="C46" s="548"/>
      <c r="D46" s="548"/>
      <c r="E46" s="548"/>
      <c r="F46" s="830"/>
      <c r="G46" s="550"/>
      <c r="H46" s="548"/>
      <c r="I46" s="548"/>
      <c r="J46" s="548"/>
      <c r="K46" s="548"/>
      <c r="L46" s="548"/>
    </row>
    <row r="47" spans="1:14" x14ac:dyDescent="0.2">
      <c r="A47" s="548" t="s">
        <v>2465</v>
      </c>
      <c r="B47" s="548"/>
      <c r="C47" s="548"/>
      <c r="D47" s="548"/>
      <c r="E47" s="548"/>
      <c r="F47" s="548"/>
      <c r="G47" s="548"/>
      <c r="H47" s="548"/>
      <c r="I47" s="548"/>
      <c r="J47" s="548"/>
      <c r="K47" s="548"/>
      <c r="L47" s="548"/>
    </row>
    <row r="48" spans="1:14" x14ac:dyDescent="0.2">
      <c r="A48" s="552" t="s">
        <v>2466</v>
      </c>
      <c r="B48" s="548"/>
      <c r="C48" s="548"/>
      <c r="D48" s="548"/>
      <c r="E48" s="548"/>
      <c r="F48" s="548"/>
      <c r="G48" s="548"/>
      <c r="H48" s="548"/>
      <c r="I48" s="548"/>
      <c r="J48" s="548"/>
      <c r="K48" s="548"/>
      <c r="L48" s="548"/>
    </row>
    <row r="49" spans="1:12" x14ac:dyDescent="0.2">
      <c r="A49" s="552" t="s">
        <v>2467</v>
      </c>
      <c r="B49" s="548"/>
      <c r="C49" s="548"/>
      <c r="D49" s="548"/>
      <c r="E49" s="548"/>
      <c r="F49" s="548"/>
      <c r="G49" s="548"/>
      <c r="H49" s="548"/>
      <c r="I49" s="548"/>
      <c r="J49" s="548"/>
      <c r="K49" s="548"/>
      <c r="L49" s="548"/>
    </row>
    <row r="50" spans="1:12" x14ac:dyDescent="0.2">
      <c r="A50" s="552" t="s">
        <v>2468</v>
      </c>
      <c r="B50" s="548"/>
      <c r="C50" s="548"/>
      <c r="D50" s="548"/>
      <c r="E50" s="548"/>
      <c r="F50" s="548"/>
      <c r="G50" s="548"/>
      <c r="H50" s="548"/>
      <c r="I50" s="548"/>
      <c r="J50" s="548"/>
      <c r="K50" s="548"/>
      <c r="L50" s="548"/>
    </row>
    <row r="51" spans="1:12" x14ac:dyDescent="0.2">
      <c r="A51" s="552" t="s">
        <v>2469</v>
      </c>
      <c r="B51" s="548"/>
      <c r="C51" s="548"/>
      <c r="D51" s="548"/>
      <c r="E51" s="548"/>
      <c r="F51" s="548"/>
      <c r="G51" s="548"/>
      <c r="H51" s="548"/>
      <c r="I51" s="548"/>
      <c r="J51" s="548"/>
      <c r="K51" s="548"/>
      <c r="L51" s="548"/>
    </row>
    <row r="52" spans="1:12" x14ac:dyDescent="0.2">
      <c r="A52" s="548"/>
      <c r="B52" s="548"/>
      <c r="C52" s="548"/>
      <c r="D52" s="548"/>
      <c r="E52" s="548"/>
      <c r="F52" s="548"/>
      <c r="G52" s="394" t="s">
        <v>196</v>
      </c>
      <c r="H52" s="394" t="s">
        <v>173</v>
      </c>
      <c r="I52" s="548"/>
      <c r="J52" s="548"/>
      <c r="K52" s="548"/>
      <c r="L52" s="548"/>
    </row>
    <row r="53" spans="1:12" x14ac:dyDescent="0.2">
      <c r="A53" s="250" t="s">
        <v>1970</v>
      </c>
      <c r="B53" s="548"/>
      <c r="C53" s="548"/>
      <c r="D53" s="548"/>
      <c r="E53" s="548"/>
      <c r="F53" s="546" t="s">
        <v>2470</v>
      </c>
      <c r="G53" s="555">
        <f>G60+G61</f>
        <v>0</v>
      </c>
      <c r="H53" s="552" t="s">
        <v>2471</v>
      </c>
      <c r="I53" s="548"/>
      <c r="J53" s="548"/>
      <c r="K53" s="548"/>
      <c r="L53" s="548"/>
    </row>
    <row r="54" spans="1:12" x14ac:dyDescent="0.2">
      <c r="A54" s="250" t="s">
        <v>1971</v>
      </c>
      <c r="B54" s="548"/>
      <c r="C54" s="548"/>
      <c r="D54" s="548"/>
      <c r="E54" s="548"/>
      <c r="F54" s="546" t="s">
        <v>2472</v>
      </c>
      <c r="G54" s="393">
        <f>H37*2</f>
        <v>105414000</v>
      </c>
      <c r="H54" s="552" t="s">
        <v>2473</v>
      </c>
      <c r="I54" s="548"/>
      <c r="J54" s="548"/>
      <c r="K54" s="548"/>
      <c r="L54" s="548"/>
    </row>
    <row r="55" spans="1:12" x14ac:dyDescent="0.2">
      <c r="A55" s="250" t="s">
        <v>1972</v>
      </c>
      <c r="B55" s="548"/>
      <c r="C55" s="548"/>
      <c r="D55" s="548"/>
      <c r="E55" s="548"/>
      <c r="F55" s="546" t="s">
        <v>2474</v>
      </c>
      <c r="G55" s="555">
        <f xml:space="preserve"> G53-G54</f>
        <v>-105414000</v>
      </c>
      <c r="H55" s="552" t="s">
        <v>2475</v>
      </c>
      <c r="I55" s="548"/>
      <c r="J55" s="548"/>
      <c r="K55" s="548"/>
      <c r="L55" s="548"/>
    </row>
    <row r="56" spans="1:12" x14ac:dyDescent="0.2">
      <c r="A56" s="250"/>
      <c r="B56" s="548"/>
      <c r="C56" s="548"/>
      <c r="D56" s="548"/>
      <c r="E56" s="548"/>
      <c r="F56" s="548"/>
      <c r="G56" s="548"/>
      <c r="H56" s="548"/>
      <c r="I56" s="548"/>
      <c r="J56" s="548"/>
      <c r="K56" s="548"/>
      <c r="L56" s="548"/>
    </row>
    <row r="57" spans="1:12" x14ac:dyDescent="0.2">
      <c r="A57" s="250"/>
      <c r="B57" s="548"/>
      <c r="C57" s="548"/>
      <c r="D57" s="548" t="s">
        <v>2476</v>
      </c>
      <c r="E57" s="548"/>
      <c r="F57" s="548"/>
      <c r="G57" s="548"/>
      <c r="H57" s="548"/>
      <c r="I57" s="548"/>
      <c r="J57" s="548"/>
      <c r="K57" s="548"/>
      <c r="L57" s="548"/>
    </row>
    <row r="58" spans="1:12" x14ac:dyDescent="0.2">
      <c r="A58" s="250"/>
      <c r="B58" s="548"/>
      <c r="C58" s="548"/>
      <c r="D58" s="548"/>
      <c r="E58" s="548"/>
      <c r="F58" s="250"/>
      <c r="G58" s="250" t="s">
        <v>2477</v>
      </c>
      <c r="H58" s="548"/>
      <c r="I58" s="548"/>
      <c r="J58" s="548"/>
      <c r="K58" s="548"/>
      <c r="L58" s="548"/>
    </row>
    <row r="59" spans="1:12" x14ac:dyDescent="0.2">
      <c r="A59" s="250"/>
      <c r="B59" s="548"/>
      <c r="C59" s="548"/>
      <c r="D59" s="548"/>
      <c r="E59" s="548"/>
      <c r="F59" s="394" t="s">
        <v>214</v>
      </c>
      <c r="G59" s="394" t="s">
        <v>2453</v>
      </c>
      <c r="H59" s="548"/>
      <c r="I59" s="548"/>
      <c r="J59" s="548"/>
      <c r="K59" s="548"/>
      <c r="L59" s="548"/>
    </row>
    <row r="60" spans="1:12" x14ac:dyDescent="0.2">
      <c r="A60" s="250" t="s">
        <v>1973</v>
      </c>
      <c r="B60" s="548"/>
      <c r="C60" s="548"/>
      <c r="D60" s="548"/>
      <c r="E60" s="548"/>
      <c r="F60" s="831"/>
      <c r="G60" s="587"/>
      <c r="H60" s="548"/>
      <c r="I60" s="548"/>
      <c r="J60" s="548"/>
      <c r="K60" s="548"/>
      <c r="L60" s="548"/>
    </row>
    <row r="61" spans="1:12" x14ac:dyDescent="0.2">
      <c r="A61" s="250" t="s">
        <v>1974</v>
      </c>
      <c r="B61" s="548"/>
      <c r="C61" s="548"/>
      <c r="D61" s="548"/>
      <c r="E61" s="548"/>
      <c r="F61" s="831"/>
      <c r="G61" s="587"/>
      <c r="H61" s="548"/>
      <c r="I61" s="548"/>
      <c r="J61" s="548"/>
      <c r="K61" s="548"/>
      <c r="L61" s="548"/>
    </row>
    <row r="62" spans="1:12" x14ac:dyDescent="0.2">
      <c r="A62" s="250" t="s">
        <v>1975</v>
      </c>
      <c r="B62" s="548"/>
      <c r="C62" s="548"/>
      <c r="D62" s="548"/>
      <c r="E62" s="548"/>
      <c r="F62" s="831"/>
      <c r="G62" s="587"/>
      <c r="H62" s="548"/>
      <c r="I62" s="548"/>
      <c r="J62" s="548"/>
      <c r="K62" s="548"/>
      <c r="L62" s="548"/>
    </row>
    <row r="63" spans="1:12" x14ac:dyDescent="0.2">
      <c r="A63" s="250" t="s">
        <v>1977</v>
      </c>
      <c r="B63" s="548"/>
      <c r="C63" s="548"/>
      <c r="D63" s="548"/>
      <c r="E63" s="548"/>
      <c r="F63" s="831"/>
      <c r="G63" s="587"/>
      <c r="H63" s="548"/>
      <c r="I63" s="548"/>
      <c r="J63" s="548"/>
      <c r="K63" s="548"/>
      <c r="L63" s="548"/>
    </row>
    <row r="64" spans="1:12" x14ac:dyDescent="0.2">
      <c r="A64" s="250" t="s">
        <v>2265</v>
      </c>
      <c r="B64" s="548"/>
      <c r="C64" s="548"/>
      <c r="D64" s="548"/>
      <c r="E64" s="548"/>
      <c r="F64" s="831"/>
      <c r="G64" s="587"/>
      <c r="H64" s="548"/>
      <c r="I64" s="548"/>
      <c r="J64" s="548"/>
      <c r="K64" s="548"/>
      <c r="L64" s="548"/>
    </row>
    <row r="65" spans="1:12" x14ac:dyDescent="0.2">
      <c r="A65" s="250"/>
      <c r="B65" s="548"/>
      <c r="C65" s="548"/>
      <c r="D65" s="548"/>
      <c r="E65" s="548"/>
      <c r="F65" s="548"/>
      <c r="G65" s="548"/>
      <c r="H65" s="548"/>
      <c r="I65" s="548"/>
      <c r="J65" s="548"/>
      <c r="K65" s="548"/>
      <c r="L65" s="548"/>
    </row>
    <row r="66" spans="1:12" x14ac:dyDescent="0.2">
      <c r="A66" s="550"/>
      <c r="B66" s="550" t="s">
        <v>2478</v>
      </c>
      <c r="C66" s="550"/>
      <c r="D66" s="550"/>
      <c r="E66" s="550"/>
      <c r="F66" s="550"/>
      <c r="G66" s="550"/>
      <c r="H66" s="516" t="s">
        <v>173</v>
      </c>
      <c r="I66" s="550"/>
      <c r="J66" s="550"/>
      <c r="K66" s="550"/>
      <c r="L66" s="550"/>
    </row>
    <row r="67" spans="1:12" x14ac:dyDescent="0.2">
      <c r="A67" s="515" t="s">
        <v>2266</v>
      </c>
      <c r="B67" s="550" t="s">
        <v>2479</v>
      </c>
      <c r="C67" s="550"/>
      <c r="D67" s="550"/>
      <c r="E67" s="550"/>
      <c r="F67" s="550"/>
      <c r="G67" s="563">
        <f xml:space="preserve"> (G60+G61)*0.2</f>
        <v>0</v>
      </c>
      <c r="H67" s="547" t="s">
        <v>2489</v>
      </c>
      <c r="I67" s="550"/>
      <c r="J67" s="550"/>
      <c r="K67" s="550"/>
      <c r="L67" s="550"/>
    </row>
    <row r="68" spans="1:12" x14ac:dyDescent="0.2">
      <c r="A68" s="14"/>
      <c r="B68" s="14"/>
      <c r="C68" s="14"/>
      <c r="D68" s="14"/>
      <c r="E68" s="14"/>
      <c r="F68" s="14"/>
      <c r="G68" s="14"/>
      <c r="H68" s="14"/>
      <c r="I68" s="14"/>
      <c r="J68" s="14"/>
      <c r="K68" s="14"/>
      <c r="L68" s="14"/>
    </row>
    <row r="69" spans="1:12" x14ac:dyDescent="0.2">
      <c r="A69" s="1214" t="s">
        <v>422</v>
      </c>
      <c r="B69" s="14"/>
      <c r="C69" s="14"/>
      <c r="D69" s="14"/>
      <c r="E69" s="14"/>
      <c r="F69" s="14"/>
      <c r="G69" s="14"/>
      <c r="H69" s="14"/>
      <c r="I69" s="14"/>
      <c r="J69" s="14"/>
      <c r="K69" s="14"/>
      <c r="L69" s="14"/>
    </row>
    <row r="70" spans="1:12" x14ac:dyDescent="0.2">
      <c r="A70" s="547" t="s">
        <v>2487</v>
      </c>
      <c r="B70" s="14"/>
      <c r="C70" s="14"/>
      <c r="D70" s="14"/>
      <c r="E70" s="14"/>
      <c r="F70" s="14"/>
      <c r="G70" s="14"/>
      <c r="H70" s="14"/>
      <c r="I70" s="14"/>
      <c r="J70" s="14"/>
      <c r="K70" s="14"/>
      <c r="L70" s="14"/>
    </row>
    <row r="71" spans="1:12" x14ac:dyDescent="0.2">
      <c r="A71" s="1129" t="s">
        <v>2488</v>
      </c>
      <c r="B71" s="14"/>
      <c r="C71" s="14"/>
      <c r="D71" s="14"/>
      <c r="E71" s="14"/>
      <c r="F71" s="14"/>
      <c r="G71" s="14"/>
      <c r="H71" s="14"/>
      <c r="I71" s="14"/>
      <c r="J71" s="14"/>
      <c r="K71" s="14"/>
      <c r="L71" s="14"/>
    </row>
    <row r="72" spans="1:12" x14ac:dyDescent="0.2">
      <c r="A72" s="552"/>
    </row>
    <row r="73" spans="1:12" x14ac:dyDescent="0.2">
      <c r="A73" s="576"/>
    </row>
  </sheetData>
  <pageMargins left="0.7" right="0.7" top="0.75" bottom="0.75" header="0.3" footer="0.3"/>
  <pageSetup scale="72" orientation="portrait" cellComments="asDisplayed" verticalDpi="0" r:id="rId1"/>
  <headerFooter>
    <oddHeader>&amp;CSchedule 35
PBOPs
&amp;RTO8 Annual Update (Revised)
Attachment  1</oddHeader>
    <oddFooter>&amp;R35-PBOPs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view="pageLayout" zoomScale="85" zoomScaleNormal="90" zoomScalePageLayoutView="85" workbookViewId="0">
      <selection activeCell="H82" sqref="H82"/>
    </sheetView>
  </sheetViews>
  <sheetFormatPr defaultRowHeight="12.75" x14ac:dyDescent="0.2"/>
  <cols>
    <col min="1" max="1" width="4.7109375" customWidth="1"/>
    <col min="8" max="9" width="25.7109375" customWidth="1"/>
    <col min="10" max="10" width="2.7109375" customWidth="1"/>
    <col min="11" max="11" width="16.7109375" customWidth="1"/>
    <col min="12" max="12" width="2.5703125" customWidth="1"/>
    <col min="13" max="13" width="16.85546875" style="782" customWidth="1"/>
    <col min="14" max="14" width="16.7109375" bestFit="1" customWidth="1"/>
    <col min="15" max="15" width="11.140625" bestFit="1" customWidth="1"/>
  </cols>
  <sheetData>
    <row r="1" spans="1:12" x14ac:dyDescent="0.2">
      <c r="A1" s="1" t="s">
        <v>187</v>
      </c>
    </row>
    <row r="2" spans="1:12" x14ac:dyDescent="0.2">
      <c r="I2" s="102" t="s">
        <v>334</v>
      </c>
      <c r="J2" s="102"/>
      <c r="K2" s="14"/>
      <c r="L2" s="14"/>
    </row>
    <row r="3" spans="1:12" x14ac:dyDescent="0.2">
      <c r="A3" s="1" t="s">
        <v>188</v>
      </c>
      <c r="L3" s="14"/>
    </row>
    <row r="4" spans="1:12" x14ac:dyDescent="0.2">
      <c r="H4" s="2"/>
      <c r="I4" s="2" t="s">
        <v>190</v>
      </c>
      <c r="K4" s="270">
        <v>2012</v>
      </c>
    </row>
    <row r="5" spans="1:12" x14ac:dyDescent="0.2">
      <c r="A5" s="54" t="s">
        <v>352</v>
      </c>
      <c r="H5" s="3" t="s">
        <v>189</v>
      </c>
      <c r="I5" s="3" t="s">
        <v>191</v>
      </c>
      <c r="K5" s="3" t="s">
        <v>192</v>
      </c>
    </row>
    <row r="7" spans="1:12" x14ac:dyDescent="0.2">
      <c r="A7" s="10" t="s">
        <v>197</v>
      </c>
      <c r="B7" s="11"/>
      <c r="C7" s="11"/>
      <c r="D7" s="11"/>
      <c r="E7" s="11"/>
      <c r="F7" s="11"/>
      <c r="G7" s="11"/>
      <c r="H7" s="9"/>
      <c r="I7" s="9"/>
      <c r="J7" s="9"/>
      <c r="K7" s="9"/>
    </row>
    <row r="9" spans="1:12" x14ac:dyDescent="0.2">
      <c r="A9" s="2">
        <v>1</v>
      </c>
      <c r="B9" s="51" t="s">
        <v>1149</v>
      </c>
      <c r="I9" s="15" t="str">
        <f>"6-PlantInService, Line "&amp;'6-PlantInService'!A43&amp;""</f>
        <v>6-PlantInService, Line 19</v>
      </c>
      <c r="K9" s="7">
        <f>'6-PlantInService'!D43</f>
        <v>4047309989.8703308</v>
      </c>
    </row>
    <row r="10" spans="1:12" x14ac:dyDescent="0.2">
      <c r="A10" s="2">
        <f>A9+1</f>
        <v>2</v>
      </c>
      <c r="B10" s="51" t="s">
        <v>350</v>
      </c>
      <c r="I10" s="15" t="str">
        <f>"6-PlantInService, Line "&amp;'6-PlantInService'!A63&amp;""</f>
        <v>6-PlantInService, Line 27</v>
      </c>
      <c r="K10" s="7">
        <f>'6-PlantInService'!F63</f>
        <v>152301412.82311931</v>
      </c>
    </row>
    <row r="11" spans="1:12" x14ac:dyDescent="0.2">
      <c r="A11" s="2">
        <f>A10+1</f>
        <v>3</v>
      </c>
      <c r="B11" s="51" t="s">
        <v>176</v>
      </c>
      <c r="I11" s="15" t="str">
        <f>"11-PHFU, Line "&amp;'11-PHFU'!A38&amp;""</f>
        <v>11-PHFU, Line 8</v>
      </c>
      <c r="K11" s="7">
        <f>'11-PHFU'!E38</f>
        <v>9942155</v>
      </c>
    </row>
    <row r="12" spans="1:12" x14ac:dyDescent="0.2">
      <c r="A12" s="2">
        <f>A11+1</f>
        <v>4</v>
      </c>
      <c r="B12" s="116" t="s">
        <v>345</v>
      </c>
      <c r="C12" s="14"/>
      <c r="D12" s="14"/>
      <c r="E12" s="14"/>
      <c r="F12" s="14"/>
      <c r="G12" s="14"/>
      <c r="H12" s="14"/>
      <c r="I12" s="15" t="str">
        <f>"12-AbandonedPlant, Line "&amp;'12-AbandonedPlant'!A20&amp;""</f>
        <v>12-AbandonedPlant, Line 3</v>
      </c>
      <c r="K12" s="7">
        <f>'12-AbandonedPlant'!G20</f>
        <v>0</v>
      </c>
    </row>
    <row r="13" spans="1:12" x14ac:dyDescent="0.2">
      <c r="A13" s="2"/>
      <c r="B13" s="116"/>
      <c r="C13" s="14"/>
      <c r="D13" s="14"/>
      <c r="E13" s="14"/>
      <c r="F13" s="14"/>
      <c r="G13" s="14"/>
      <c r="H13" s="14"/>
      <c r="I13" s="14"/>
      <c r="K13" s="7"/>
    </row>
    <row r="14" spans="1:12" x14ac:dyDescent="0.2">
      <c r="A14" s="2"/>
      <c r="B14" s="45" t="s">
        <v>271</v>
      </c>
      <c r="C14" s="14"/>
      <c r="D14" s="14"/>
      <c r="E14" s="14"/>
      <c r="F14" s="14"/>
      <c r="G14" s="14"/>
      <c r="H14" s="14"/>
      <c r="I14" s="14"/>
      <c r="K14" s="7"/>
    </row>
    <row r="15" spans="1:12" x14ac:dyDescent="0.2">
      <c r="A15" s="2">
        <f>A12+1</f>
        <v>5</v>
      </c>
      <c r="B15" s="13" t="s">
        <v>104</v>
      </c>
      <c r="I15" s="15" t="str">
        <f>"13-WorkCap, Line "&amp;'13-WorkCap'!A26&amp;""</f>
        <v>13-WorkCap, Line 16</v>
      </c>
      <c r="K15" s="7">
        <f>'13-WorkCap'!F26</f>
        <v>11879558.108596025</v>
      </c>
    </row>
    <row r="16" spans="1:12" x14ac:dyDescent="0.2">
      <c r="A16" s="2">
        <f>A15+1</f>
        <v>6</v>
      </c>
      <c r="B16" s="16" t="s">
        <v>105</v>
      </c>
      <c r="I16" s="15" t="str">
        <f>"13-WorkCap, Line "&amp;'13-WorkCap'!A55&amp;""</f>
        <v>13-WorkCap, Line 36</v>
      </c>
      <c r="K16" s="7">
        <f>'13-WorkCap'!F55</f>
        <v>1973329.1027560106</v>
      </c>
    </row>
    <row r="17" spans="1:11" x14ac:dyDescent="0.2">
      <c r="A17" s="2">
        <f>A16+1</f>
        <v>7</v>
      </c>
      <c r="B17" s="13" t="s">
        <v>193</v>
      </c>
      <c r="I17" s="15" t="str">
        <f>"(Line "&amp;A124&amp;" + Line "&amp;A125&amp;") / 16"</f>
        <v>(Line 65 + Line 66) / 16</v>
      </c>
      <c r="K17" s="1380">
        <f>(K124+K125)/16</f>
        <v>7080196.2435117904</v>
      </c>
    </row>
    <row r="18" spans="1:11" x14ac:dyDescent="0.2">
      <c r="A18" s="2">
        <f>A17+1</f>
        <v>8</v>
      </c>
      <c r="B18" s="13" t="s">
        <v>103</v>
      </c>
      <c r="I18" s="15" t="str">
        <f>"Line "&amp;A15&amp;" + Line "&amp;A16&amp;" + Line "&amp;A17&amp;""</f>
        <v>Line 5 + Line 6 + Line 7</v>
      </c>
      <c r="K18" s="7">
        <f>SUM(K15:K17)</f>
        <v>20933083.454863824</v>
      </c>
    </row>
    <row r="19" spans="1:11" x14ac:dyDescent="0.2">
      <c r="A19" s="2"/>
      <c r="B19" s="13"/>
      <c r="I19" s="14"/>
      <c r="K19" s="7"/>
    </row>
    <row r="20" spans="1:11" x14ac:dyDescent="0.2">
      <c r="A20" s="2"/>
      <c r="B20" s="81" t="s">
        <v>186</v>
      </c>
      <c r="I20" s="14"/>
      <c r="K20" s="7"/>
    </row>
    <row r="21" spans="1:11" x14ac:dyDescent="0.2">
      <c r="A21" s="2">
        <f>A18+1</f>
        <v>9</v>
      </c>
      <c r="B21" s="13" t="s">
        <v>1152</v>
      </c>
      <c r="H21" t="s">
        <v>170</v>
      </c>
      <c r="I21" s="15" t="str">
        <f>"8-AccDep, Line "&amp;'8-AccDep'!A24&amp;", Col. 12"</f>
        <v>8-AccDep, Line 13, Col. 12</v>
      </c>
      <c r="K21" s="7">
        <f>-'8-AccDep'!N24</f>
        <v>-1026456649.907019</v>
      </c>
    </row>
    <row r="22" spans="1:11" x14ac:dyDescent="0.2">
      <c r="A22" s="2">
        <f>A21+1</f>
        <v>10</v>
      </c>
      <c r="B22" s="13" t="s">
        <v>1153</v>
      </c>
      <c r="H22" t="s">
        <v>170</v>
      </c>
      <c r="I22" s="15" t="str">
        <f>"8-AccDep, Line "&amp;'8-AccDep'!A34&amp;", Col. 5"</f>
        <v>8-AccDep, Line 16, Col. 5</v>
      </c>
      <c r="K22" s="7">
        <f>-'8-AccDep'!G34</f>
        <v>-1162219.8219104377</v>
      </c>
    </row>
    <row r="23" spans="1:11" x14ac:dyDescent="0.2">
      <c r="A23" s="2">
        <f>A22+1</f>
        <v>11</v>
      </c>
      <c r="B23" s="13" t="s">
        <v>341</v>
      </c>
      <c r="C23" s="22"/>
      <c r="H23" t="s">
        <v>170</v>
      </c>
      <c r="I23" s="15" t="str">
        <f>"8-AccDep, Line "&amp;'8-AccDep'!A60&amp;""</f>
        <v>8-AccDep, Line 26</v>
      </c>
      <c r="K23" s="58">
        <f>-'8-AccDep'!F60</f>
        <v>-55472076.382220276</v>
      </c>
    </row>
    <row r="24" spans="1:11" x14ac:dyDescent="0.2">
      <c r="A24" s="2">
        <f>A23+1</f>
        <v>12</v>
      </c>
      <c r="B24" s="82" t="s">
        <v>183</v>
      </c>
      <c r="C24" s="22"/>
      <c r="I24" s="15" t="str">
        <f>"Line "&amp;A21&amp;" + Line "&amp;A22&amp;" + Line "&amp;A23&amp;""</f>
        <v>Line 9 + Line 10 + Line 11</v>
      </c>
      <c r="K24" s="7">
        <f>SUM(K21:K23)</f>
        <v>-1083090946.1111498</v>
      </c>
    </row>
    <row r="25" spans="1:11" x14ac:dyDescent="0.2">
      <c r="B25" s="12"/>
      <c r="I25" s="14"/>
      <c r="K25" s="7"/>
    </row>
    <row r="26" spans="1:11" x14ac:dyDescent="0.2">
      <c r="A26" s="2">
        <f>A24+1</f>
        <v>13</v>
      </c>
      <c r="B26" s="66" t="s">
        <v>184</v>
      </c>
      <c r="H26" t="s">
        <v>170</v>
      </c>
      <c r="I26" s="15" t="str">
        <f>"9-ADIT, Line "&amp;'9-ADIT'!A14&amp;", Col. 2"</f>
        <v>9-ADIT, Line 5, Col. 2</v>
      </c>
      <c r="K26" s="7">
        <f>'9-ADIT'!D14</f>
        <v>-662365084.53172815</v>
      </c>
    </row>
    <row r="27" spans="1:11" x14ac:dyDescent="0.2">
      <c r="A27" s="2"/>
      <c r="B27" s="66"/>
      <c r="I27" s="14"/>
    </row>
    <row r="28" spans="1:11" x14ac:dyDescent="0.2">
      <c r="A28" s="2">
        <f>A26+1</f>
        <v>14</v>
      </c>
      <c r="B28" s="51" t="s">
        <v>268</v>
      </c>
      <c r="I28" s="15" t="str">
        <f>"14-IncentivePlant, L "&amp;'14-IncentivePlant'!A37&amp;", Col 1"</f>
        <v>14-IncentivePlant, L 12, Col 1</v>
      </c>
      <c r="K28" s="7">
        <f>'14-IncentivePlant'!E37</f>
        <v>1696304100.4639215</v>
      </c>
    </row>
    <row r="29" spans="1:11" x14ac:dyDescent="0.2">
      <c r="A29" s="2"/>
      <c r="B29" s="51"/>
      <c r="I29" s="14"/>
      <c r="K29" s="7"/>
    </row>
    <row r="30" spans="1:11" x14ac:dyDescent="0.2">
      <c r="A30" s="2">
        <f>A28+1</f>
        <v>15</v>
      </c>
      <c r="B30" s="51" t="s">
        <v>400</v>
      </c>
      <c r="I30" s="15" t="str">
        <f>"23-RegAssets, Line "&amp;'23-RegAssets'!A17&amp;""</f>
        <v>23-RegAssets, Line 14</v>
      </c>
      <c r="K30" s="64">
        <f>'23-RegAssets'!E17</f>
        <v>0</v>
      </c>
    </row>
    <row r="31" spans="1:11" x14ac:dyDescent="0.2">
      <c r="A31" s="117" t="s">
        <v>905</v>
      </c>
      <c r="B31" s="1123" t="s">
        <v>2490</v>
      </c>
      <c r="C31" s="14"/>
      <c r="D31" s="14"/>
      <c r="E31" s="14"/>
      <c r="F31" s="14"/>
      <c r="G31" s="14"/>
      <c r="H31" s="14"/>
      <c r="I31" s="15" t="str">
        <f>"34-UnfundedReserves, Line "&amp;'34-UnfundedReserves'!A9&amp;""</f>
        <v>34-UnfundedReserves, Line 6</v>
      </c>
      <c r="J31" s="14"/>
      <c r="K31" s="64">
        <f>'34-UnfundedReserves'!K9</f>
        <v>-5791543.9702708973</v>
      </c>
    </row>
    <row r="32" spans="1:11" x14ac:dyDescent="0.2">
      <c r="A32" s="117">
        <f>A30+1</f>
        <v>16</v>
      </c>
      <c r="B32" s="1123" t="s">
        <v>66</v>
      </c>
      <c r="C32" s="14"/>
      <c r="D32" s="14"/>
      <c r="E32" s="14"/>
      <c r="F32" s="14"/>
      <c r="G32" s="14"/>
      <c r="H32" s="14" t="s">
        <v>170</v>
      </c>
      <c r="I32" s="15" t="str">
        <f>"22-NUCs, Line "&amp;'22-NUCs'!A12&amp;""</f>
        <v>22-NUCs, Line 5</v>
      </c>
      <c r="J32" s="14"/>
      <c r="K32" s="64">
        <f>-'22-NUCs'!E12</f>
        <v>-12374574</v>
      </c>
    </row>
    <row r="33" spans="1:11" x14ac:dyDescent="0.2">
      <c r="A33" s="117"/>
      <c r="B33" s="1123"/>
      <c r="C33" s="14"/>
      <c r="D33" s="14"/>
      <c r="E33" s="14"/>
      <c r="F33" s="14"/>
      <c r="G33" s="14"/>
      <c r="H33" s="14"/>
      <c r="I33" s="14"/>
      <c r="J33" s="14"/>
      <c r="K33" s="14"/>
    </row>
    <row r="34" spans="1:11" x14ac:dyDescent="0.2">
      <c r="A34" s="117">
        <f>A32+1</f>
        <v>17</v>
      </c>
      <c r="B34" s="14" t="s">
        <v>194</v>
      </c>
      <c r="C34" s="14"/>
      <c r="D34" s="14"/>
      <c r="E34" s="14"/>
      <c r="F34" s="14"/>
      <c r="G34" s="14"/>
      <c r="H34" s="14"/>
      <c r="I34" s="15" t="str">
        <f>"L"&amp;A9&amp;" + L"&amp;A10&amp;" + L"&amp;A11&amp;" + L"&amp;A12&amp;" + L"&amp;A18&amp;" + L"&amp;A24&amp;" +"</f>
        <v>L1 + L2 + L3 + L4 + L8 + L12 +</v>
      </c>
      <c r="J34" s="14"/>
      <c r="K34" s="64">
        <f>K9+K10+K11+K12+K18+K24+K26+K28+K30+K31+K32</f>
        <v>4163168592.9990864</v>
      </c>
    </row>
    <row r="35" spans="1:11" x14ac:dyDescent="0.2">
      <c r="A35" s="117"/>
      <c r="B35" s="14"/>
      <c r="C35" s="14"/>
      <c r="D35" s="14"/>
      <c r="E35" s="14"/>
      <c r="F35" s="14"/>
      <c r="G35" s="14"/>
      <c r="H35" s="14"/>
      <c r="I35" s="116" t="str">
        <f>"L"&amp;A26&amp;" + L"&amp;A28&amp;"+ L"&amp;A30&amp;"+ L"&amp;A31&amp;" + L"&amp;A32&amp;""</f>
        <v>L13 + L14+ L15+ L15a + L16</v>
      </c>
      <c r="J35" s="14"/>
      <c r="K35" s="64"/>
    </row>
    <row r="37" spans="1:11" x14ac:dyDescent="0.2">
      <c r="A37" s="10" t="s">
        <v>279</v>
      </c>
      <c r="B37" s="11"/>
      <c r="C37" s="11"/>
      <c r="D37" s="11"/>
      <c r="E37" s="11"/>
      <c r="F37" s="11"/>
      <c r="G37" s="11"/>
      <c r="H37" s="9"/>
      <c r="I37" s="9"/>
      <c r="J37" s="9"/>
      <c r="K37" s="9"/>
    </row>
    <row r="39" spans="1:11" x14ac:dyDescent="0.2">
      <c r="A39" s="2">
        <f>A34+1</f>
        <v>18</v>
      </c>
      <c r="B39" s="550" t="s">
        <v>2104</v>
      </c>
      <c r="C39" s="14"/>
      <c r="D39" s="14"/>
      <c r="H39" s="558" t="s">
        <v>2649</v>
      </c>
      <c r="I39" s="12" t="s">
        <v>558</v>
      </c>
      <c r="K39" s="6">
        <v>200011425</v>
      </c>
    </row>
    <row r="40" spans="1:11" x14ac:dyDescent="0.2">
      <c r="A40" s="2">
        <f>A39+1</f>
        <v>19</v>
      </c>
      <c r="B40" s="120" t="s">
        <v>68</v>
      </c>
      <c r="C40" s="14"/>
      <c r="D40" s="14"/>
      <c r="I40" s="15" t="str">
        <f>"27-Allocators, Line "&amp;'27-Allocators'!A28&amp;""</f>
        <v>27-Allocators, Line 22</v>
      </c>
      <c r="K40" s="1401">
        <f>'27-Allocators'!G28</f>
        <v>0.10972259682913496</v>
      </c>
    </row>
    <row r="41" spans="1:11" x14ac:dyDescent="0.2">
      <c r="A41" s="2">
        <f>A40+1</f>
        <v>20</v>
      </c>
      <c r="B41" s="14" t="s">
        <v>72</v>
      </c>
      <c r="C41" s="14"/>
      <c r="D41" s="14"/>
      <c r="I41" s="15" t="str">
        <f>"Line "&amp;A39&amp;" * Line "&amp;A40&amp;""</f>
        <v>Line 18 * Line 19</v>
      </c>
      <c r="K41" s="1350">
        <f>K39*K40</f>
        <v>21945772.946495764</v>
      </c>
    </row>
    <row r="42" spans="1:11" x14ac:dyDescent="0.2">
      <c r="A42" s="2" t="s">
        <v>361</v>
      </c>
      <c r="B42" s="14"/>
      <c r="C42" s="14"/>
      <c r="D42" s="14"/>
      <c r="H42" s="12"/>
      <c r="I42" s="14"/>
      <c r="K42" s="8"/>
    </row>
    <row r="43" spans="1:11" x14ac:dyDescent="0.2">
      <c r="A43" s="2">
        <f>A41+1</f>
        <v>21</v>
      </c>
      <c r="B43" s="15" t="s">
        <v>280</v>
      </c>
      <c r="C43" s="14"/>
      <c r="D43" s="14"/>
      <c r="I43" s="14"/>
      <c r="K43" s="8"/>
    </row>
    <row r="44" spans="1:11" x14ac:dyDescent="0.2">
      <c r="A44" s="2">
        <f t="shared" ref="A44:A56" si="0">A43+1</f>
        <v>22</v>
      </c>
      <c r="B44" s="120" t="s">
        <v>17</v>
      </c>
      <c r="C44" s="14"/>
      <c r="D44" s="14"/>
      <c r="E44" s="1"/>
      <c r="F44" s="1"/>
      <c r="G44" s="1"/>
      <c r="I44" s="15" t="str">
        <f>"Line "&amp;A45&amp;" + Line "&amp;A46&amp;"+ Line "&amp;A47&amp;""</f>
        <v>Line 23 + Line 24+ Line 25</v>
      </c>
      <c r="K44" s="64">
        <f>SUM(K45:K47)</f>
        <v>134320065</v>
      </c>
    </row>
    <row r="45" spans="1:11" x14ac:dyDescent="0.2">
      <c r="A45" s="2">
        <f t="shared" si="0"/>
        <v>23</v>
      </c>
      <c r="B45" s="406" t="s">
        <v>48</v>
      </c>
      <c r="C45" s="14"/>
      <c r="D45" s="14"/>
      <c r="E45" s="1"/>
      <c r="F45" s="1"/>
      <c r="G45" s="1"/>
      <c r="H45" s="558" t="s">
        <v>2650</v>
      </c>
      <c r="I45" s="15" t="s">
        <v>559</v>
      </c>
      <c r="K45" s="6">
        <v>131455854</v>
      </c>
    </row>
    <row r="46" spans="1:11" x14ac:dyDescent="0.2">
      <c r="A46" s="2">
        <f t="shared" si="0"/>
        <v>24</v>
      </c>
      <c r="B46" s="406" t="s">
        <v>49</v>
      </c>
      <c r="C46" s="14"/>
      <c r="D46" s="14"/>
      <c r="E46" s="1"/>
      <c r="F46" s="1"/>
      <c r="G46" s="1"/>
      <c r="H46" s="558" t="s">
        <v>1636</v>
      </c>
      <c r="I46" s="15" t="s">
        <v>559</v>
      </c>
      <c r="K46" s="6">
        <v>2279537</v>
      </c>
    </row>
    <row r="47" spans="1:11" x14ac:dyDescent="0.2">
      <c r="A47" s="2">
        <f t="shared" si="0"/>
        <v>25</v>
      </c>
      <c r="B47" s="406" t="s">
        <v>50</v>
      </c>
      <c r="C47" s="14"/>
      <c r="D47" s="14"/>
      <c r="E47" s="1"/>
      <c r="F47" s="1"/>
      <c r="G47" s="1"/>
      <c r="H47" s="558" t="s">
        <v>1637</v>
      </c>
      <c r="I47" s="15" t="s">
        <v>559</v>
      </c>
      <c r="K47" s="6">
        <v>584674</v>
      </c>
    </row>
    <row r="48" spans="1:11" x14ac:dyDescent="0.2">
      <c r="A48" s="2">
        <f t="shared" si="0"/>
        <v>26</v>
      </c>
      <c r="B48" s="547" t="s">
        <v>2105</v>
      </c>
      <c r="C48" s="14"/>
      <c r="D48" s="14"/>
      <c r="H48" s="558" t="s">
        <v>2651</v>
      </c>
      <c r="I48" s="15" t="s">
        <v>559</v>
      </c>
      <c r="K48" s="6">
        <v>5427096</v>
      </c>
    </row>
    <row r="49" spans="1:11" x14ac:dyDescent="0.2">
      <c r="A49" s="2">
        <f t="shared" si="0"/>
        <v>27</v>
      </c>
      <c r="B49" s="120" t="s">
        <v>2106</v>
      </c>
      <c r="C49" s="14"/>
      <c r="D49" s="14"/>
      <c r="H49" s="558" t="s">
        <v>2652</v>
      </c>
      <c r="I49" s="15" t="s">
        <v>559</v>
      </c>
      <c r="K49" s="6">
        <v>1592593</v>
      </c>
    </row>
    <row r="50" spans="1:11" x14ac:dyDescent="0.2">
      <c r="A50" s="649">
        <f t="shared" si="0"/>
        <v>28</v>
      </c>
      <c r="B50" s="120" t="s">
        <v>1889</v>
      </c>
      <c r="C50" s="14"/>
      <c r="D50" s="14"/>
      <c r="H50" s="558" t="s">
        <v>2653</v>
      </c>
      <c r="I50" s="550" t="s">
        <v>1890</v>
      </c>
      <c r="K50" s="6">
        <v>2121319</v>
      </c>
    </row>
    <row r="51" spans="1:11" x14ac:dyDescent="0.2">
      <c r="A51" s="649">
        <f t="shared" si="0"/>
        <v>29</v>
      </c>
      <c r="B51" s="120" t="s">
        <v>2107</v>
      </c>
      <c r="C51" s="14"/>
      <c r="D51" s="14"/>
      <c r="H51" s="558" t="s">
        <v>2649</v>
      </c>
      <c r="I51" s="550" t="s">
        <v>1890</v>
      </c>
      <c r="K51" s="6">
        <v>19273</v>
      </c>
    </row>
    <row r="52" spans="1:11" x14ac:dyDescent="0.2">
      <c r="A52" s="649">
        <f t="shared" si="0"/>
        <v>30</v>
      </c>
      <c r="B52" t="s">
        <v>73</v>
      </c>
      <c r="I52" s="15" t="str">
        <f>"Line "&amp;A44&amp;" + (Line "&amp;A48&amp;" to Line "&amp;A51&amp;")"</f>
        <v>Line 22 + (Line 26 to Line 29)</v>
      </c>
      <c r="K52" s="7">
        <f>K44+K48+K49+K50+K51</f>
        <v>143480346</v>
      </c>
    </row>
    <row r="53" spans="1:11" x14ac:dyDescent="0.2">
      <c r="A53" s="649">
        <f t="shared" si="0"/>
        <v>31</v>
      </c>
      <c r="B53" s="550" t="s">
        <v>1891</v>
      </c>
      <c r="C53" s="14"/>
      <c r="D53" s="14"/>
      <c r="E53" s="14"/>
      <c r="F53" s="14"/>
      <c r="G53" s="14"/>
      <c r="H53" s="550"/>
      <c r="I53" s="550" t="str">
        <f>"26-TaxRates, Line "&amp;'26-TaxRates'!A57&amp;""</f>
        <v>26-TaxRates, Line 51</v>
      </c>
      <c r="K53" s="251">
        <f>'26-TaxRates'!F57</f>
        <v>54092090.442000002</v>
      </c>
    </row>
    <row r="54" spans="1:11" x14ac:dyDescent="0.2">
      <c r="A54" s="649">
        <f t="shared" si="0"/>
        <v>32</v>
      </c>
      <c r="B54" s="14" t="s">
        <v>1521</v>
      </c>
      <c r="C54" s="14"/>
      <c r="D54" s="14"/>
      <c r="E54" s="14"/>
      <c r="F54" s="14"/>
      <c r="G54" s="14"/>
      <c r="I54" s="15" t="str">
        <f>"Line "&amp;A52&amp;" - Line "&amp;A53&amp;""</f>
        <v>Line 30 - Line 31</v>
      </c>
      <c r="K54" s="7">
        <f>K52-K53</f>
        <v>89388255.557999998</v>
      </c>
    </row>
    <row r="55" spans="1:11" x14ac:dyDescent="0.2">
      <c r="A55" s="649">
        <f t="shared" si="0"/>
        <v>33</v>
      </c>
      <c r="B55" s="13" t="s">
        <v>106</v>
      </c>
      <c r="I55" s="15" t="str">
        <f>"27-Allocators, Line "&amp;'27-Allocators'!A15&amp;""</f>
        <v>27-Allocators, Line 9</v>
      </c>
      <c r="K55" s="1401">
        <f>'27-Allocators'!G15</f>
        <v>3.7193704666678068E-2</v>
      </c>
    </row>
    <row r="56" spans="1:11" x14ac:dyDescent="0.2">
      <c r="A56" s="649">
        <f t="shared" si="0"/>
        <v>34</v>
      </c>
      <c r="B56" s="51" t="s">
        <v>280</v>
      </c>
      <c r="I56" s="15" t="str">
        <f>"Line "&amp;A54&amp;" * Line "&amp;A55&amp;""</f>
        <v>Line 32 * Line 33</v>
      </c>
      <c r="K56" s="1350">
        <f>K54*K55</f>
        <v>3324680.3778937962</v>
      </c>
    </row>
    <row r="57" spans="1:11" x14ac:dyDescent="0.2">
      <c r="A57" s="2"/>
      <c r="K57" s="7"/>
    </row>
    <row r="58" spans="1:11" x14ac:dyDescent="0.2">
      <c r="A58" s="2">
        <f>A56+1</f>
        <v>35</v>
      </c>
      <c r="B58" s="12" t="s">
        <v>91</v>
      </c>
      <c r="I58" s="12" t="str">
        <f>"Line "&amp;A41&amp;" + Line "&amp;A56&amp;""</f>
        <v>Line 20 + Line 34</v>
      </c>
      <c r="K58" s="1350">
        <f>K41+K56</f>
        <v>25270453.324389562</v>
      </c>
    </row>
    <row r="60" spans="1:11" x14ac:dyDescent="0.2">
      <c r="A60" s="10" t="s">
        <v>198</v>
      </c>
      <c r="B60" s="11"/>
      <c r="C60" s="11"/>
      <c r="D60" s="11"/>
      <c r="E60" s="11"/>
      <c r="F60" s="11"/>
      <c r="G60" s="11"/>
      <c r="H60" s="9"/>
      <c r="I60" s="9"/>
      <c r="J60" s="9"/>
      <c r="K60" s="9"/>
    </row>
    <row r="61" spans="1:11" x14ac:dyDescent="0.2">
      <c r="A61" s="44"/>
      <c r="B61" s="15"/>
      <c r="C61" s="15"/>
      <c r="D61" s="15"/>
      <c r="E61" s="15"/>
      <c r="F61" s="15"/>
      <c r="G61" s="15"/>
      <c r="H61" s="15"/>
      <c r="I61" s="15"/>
      <c r="J61" s="15"/>
      <c r="K61" s="15"/>
    </row>
    <row r="62" spans="1:11" x14ac:dyDescent="0.2">
      <c r="A62" s="113"/>
      <c r="B62" s="45" t="s">
        <v>27</v>
      </c>
      <c r="C62" s="15"/>
      <c r="D62" s="15"/>
      <c r="E62" s="15"/>
      <c r="F62" s="15"/>
      <c r="G62" s="15"/>
      <c r="H62" s="15"/>
      <c r="I62" s="15"/>
      <c r="J62" s="15"/>
      <c r="K62" s="15"/>
    </row>
    <row r="63" spans="1:11" x14ac:dyDescent="0.2">
      <c r="A63" s="117">
        <f>A58+1</f>
        <v>36</v>
      </c>
      <c r="B63" s="15" t="s">
        <v>230</v>
      </c>
      <c r="C63" s="15"/>
      <c r="D63" s="15"/>
      <c r="E63" s="15"/>
      <c r="F63" s="15"/>
      <c r="G63" s="15"/>
      <c r="H63" s="15"/>
      <c r="I63" s="15" t="str">
        <f>"5-ROR-1, Line "&amp;'5-ROR-1'!A16&amp;""</f>
        <v>5-ROR-1, Line 8</v>
      </c>
      <c r="J63" s="15"/>
      <c r="K63" s="47">
        <f>'5-ROR-1'!L16</f>
        <v>8768424355</v>
      </c>
    </row>
    <row r="64" spans="1:11" x14ac:dyDescent="0.2">
      <c r="A64" s="2">
        <f>A63+1</f>
        <v>37</v>
      </c>
      <c r="B64" s="15" t="s">
        <v>281</v>
      </c>
      <c r="C64" s="15"/>
      <c r="D64" s="15"/>
      <c r="E64" s="15"/>
      <c r="F64" s="15"/>
      <c r="G64" s="15"/>
      <c r="H64" s="15"/>
      <c r="I64" s="15" t="str">
        <f>"5-ROR-1, Line "&amp;'5-ROR-1'!A27&amp;""</f>
        <v>5-ROR-1, Line 16</v>
      </c>
      <c r="J64" s="15"/>
      <c r="K64" s="47">
        <f>'5-ROR-1'!L27</f>
        <v>470812388</v>
      </c>
    </row>
    <row r="65" spans="1:11" x14ac:dyDescent="0.2">
      <c r="A65" s="2">
        <f>A64+1</f>
        <v>38</v>
      </c>
      <c r="B65" s="15" t="s">
        <v>282</v>
      </c>
      <c r="C65" s="15"/>
      <c r="D65" s="15"/>
      <c r="E65" s="15"/>
      <c r="F65" s="15"/>
      <c r="G65" s="15"/>
      <c r="I65" s="15" t="str">
        <f>"5-ROR-1, Line "&amp;'5-ROR-1'!A29&amp;""</f>
        <v>5-ROR-1, Line 17</v>
      </c>
      <c r="J65" s="15"/>
      <c r="K65" s="48">
        <f>'5-ROR-1'!L29</f>
        <v>5.3694069645651862E-2</v>
      </c>
    </row>
    <row r="66" spans="1:11" x14ac:dyDescent="0.2">
      <c r="A66" s="117"/>
      <c r="B66" s="15"/>
      <c r="C66" s="15"/>
      <c r="D66" s="15"/>
      <c r="E66" s="15"/>
      <c r="F66" s="15"/>
      <c r="G66" s="15"/>
      <c r="I66" s="15"/>
      <c r="J66" s="15"/>
      <c r="K66" s="48"/>
    </row>
    <row r="67" spans="1:11" x14ac:dyDescent="0.2">
      <c r="A67" s="117"/>
      <c r="B67" s="45" t="s">
        <v>28</v>
      </c>
      <c r="C67" s="15"/>
      <c r="D67" s="15"/>
      <c r="E67" s="15"/>
      <c r="F67" s="15"/>
      <c r="G67" s="15"/>
      <c r="H67" s="15"/>
      <c r="I67" s="15"/>
      <c r="J67" s="15"/>
      <c r="K67" s="15"/>
    </row>
    <row r="68" spans="1:11" x14ac:dyDescent="0.2">
      <c r="A68" s="117">
        <f>A65+1</f>
        <v>39</v>
      </c>
      <c r="B68" s="550" t="s">
        <v>58</v>
      </c>
      <c r="C68" s="15"/>
      <c r="D68" s="15"/>
      <c r="E68" s="15"/>
      <c r="F68" s="15"/>
      <c r="G68" s="15"/>
      <c r="H68" s="15"/>
      <c r="I68" s="15" t="str">
        <f>"5-ROR-1, Line "&amp;'5-ROR-1'!A35&amp;""</f>
        <v>5-ROR-1, Line 21</v>
      </c>
      <c r="J68" s="15"/>
      <c r="K68" s="47">
        <f>'5-ROR-1'!L35</f>
        <v>1588108873.5384614</v>
      </c>
    </row>
    <row r="69" spans="1:11" x14ac:dyDescent="0.2">
      <c r="A69" s="2">
        <f>A68+1</f>
        <v>40</v>
      </c>
      <c r="B69" s="550" t="s">
        <v>26</v>
      </c>
      <c r="C69" s="15"/>
      <c r="D69" s="15"/>
      <c r="E69" s="15"/>
      <c r="F69" s="15"/>
      <c r="G69" s="15"/>
      <c r="H69" s="15"/>
      <c r="I69" s="15" t="str">
        <f>"5-ROR-1, Line "&amp;'5-ROR-1'!A41&amp;""</f>
        <v>5-ROR-1, Line 25</v>
      </c>
      <c r="J69" s="15"/>
      <c r="K69" s="1392">
        <f>'5-ROR-1'!L41</f>
        <v>92593265.133169934</v>
      </c>
    </row>
    <row r="70" spans="1:11" x14ac:dyDescent="0.2">
      <c r="A70" s="2">
        <f>A69+1</f>
        <v>41</v>
      </c>
      <c r="B70" s="550" t="s">
        <v>54</v>
      </c>
      <c r="C70" s="15"/>
      <c r="D70" s="15"/>
      <c r="E70" s="15"/>
      <c r="F70" s="15"/>
      <c r="G70" s="15"/>
      <c r="I70" s="15" t="str">
        <f>"5-ROR-1, Line "&amp;'5-ROR-1'!A43&amp;""</f>
        <v>5-ROR-1, Line 26</v>
      </c>
      <c r="J70" s="15"/>
      <c r="K70" s="1391">
        <f>'5-ROR-1'!L43</f>
        <v>5.8304104130381888E-2</v>
      </c>
    </row>
    <row r="71" spans="1:11" x14ac:dyDescent="0.2">
      <c r="A71" s="117"/>
      <c r="B71" s="15"/>
      <c r="C71" s="15"/>
      <c r="D71" s="15"/>
      <c r="E71" s="15"/>
      <c r="F71" s="15"/>
      <c r="G71" s="15"/>
      <c r="I71" s="15"/>
      <c r="J71" s="15"/>
      <c r="K71" s="48"/>
    </row>
    <row r="72" spans="1:11" x14ac:dyDescent="0.2">
      <c r="A72" s="117"/>
      <c r="B72" s="45" t="s">
        <v>29</v>
      </c>
      <c r="C72" s="15"/>
      <c r="D72" s="15"/>
      <c r="E72" s="15"/>
      <c r="F72" s="15"/>
      <c r="G72" s="15"/>
      <c r="H72" s="15"/>
      <c r="I72" s="15"/>
      <c r="J72" s="15"/>
      <c r="K72" s="15"/>
    </row>
    <row r="73" spans="1:11" x14ac:dyDescent="0.2">
      <c r="A73" s="117">
        <f>A70+1</f>
        <v>42</v>
      </c>
      <c r="B73" s="15" t="s">
        <v>55</v>
      </c>
      <c r="C73" s="15"/>
      <c r="D73" s="15"/>
      <c r="E73" s="15"/>
      <c r="F73" s="15"/>
      <c r="G73" s="15"/>
      <c r="H73" s="15"/>
      <c r="I73" s="15" t="str">
        <f>"5-ROR-1, Line "&amp;'5-ROR-1'!A51&amp;""</f>
        <v>5-ROR-1, Line 32</v>
      </c>
      <c r="J73" s="15"/>
      <c r="K73" s="47">
        <f>'5-ROR-1'!L51</f>
        <v>9223779654.5384617</v>
      </c>
    </row>
    <row r="74" spans="1:11" x14ac:dyDescent="0.2">
      <c r="A74" s="117"/>
      <c r="B74" s="15"/>
      <c r="C74" s="15"/>
      <c r="D74" s="15"/>
      <c r="E74" s="15"/>
      <c r="F74" s="15"/>
      <c r="G74" s="15"/>
      <c r="H74" s="15"/>
      <c r="I74" s="65"/>
      <c r="J74" s="15"/>
      <c r="K74" s="15"/>
    </row>
    <row r="75" spans="1:11" x14ac:dyDescent="0.2">
      <c r="A75" s="2">
        <f>A73+1</f>
        <v>43</v>
      </c>
      <c r="B75" s="15" t="s">
        <v>57</v>
      </c>
      <c r="C75" s="15"/>
      <c r="D75" s="15"/>
      <c r="E75" s="15"/>
      <c r="F75" s="15"/>
      <c r="G75" s="15"/>
      <c r="H75" s="15"/>
      <c r="I75" s="12" t="str">
        <f>"Line "&amp;A63&amp;" + Line "&amp;A68&amp;" + Line "&amp;A73&amp;""</f>
        <v>Line 36 + Line 39 + Line 42</v>
      </c>
      <c r="J75" s="15"/>
      <c r="K75" s="47">
        <f>K63+K68+K73</f>
        <v>19580312883.076923</v>
      </c>
    </row>
    <row r="76" spans="1:11" x14ac:dyDescent="0.2">
      <c r="A76" s="117"/>
      <c r="B76" s="46"/>
      <c r="C76" s="15"/>
      <c r="D76" s="15"/>
      <c r="E76" s="15"/>
      <c r="F76" s="15"/>
      <c r="G76" s="15"/>
      <c r="I76" s="15"/>
      <c r="J76" s="15"/>
      <c r="K76" s="47"/>
    </row>
    <row r="77" spans="1:11" x14ac:dyDescent="0.2">
      <c r="A77" s="117"/>
      <c r="B77" s="45" t="s">
        <v>59</v>
      </c>
      <c r="C77" s="15"/>
      <c r="D77" s="15"/>
      <c r="E77" s="15"/>
      <c r="F77" s="15"/>
      <c r="G77" s="15"/>
      <c r="H77" s="15"/>
      <c r="I77" s="15"/>
      <c r="J77" s="15"/>
      <c r="K77" s="15"/>
    </row>
    <row r="78" spans="1:11" x14ac:dyDescent="0.2">
      <c r="A78" s="117">
        <f>A75+1</f>
        <v>44</v>
      </c>
      <c r="B78" s="15" t="s">
        <v>283</v>
      </c>
      <c r="C78" s="15"/>
      <c r="D78" s="15"/>
      <c r="E78" s="15"/>
      <c r="F78" s="15"/>
      <c r="G78" s="15"/>
      <c r="H78" s="15"/>
      <c r="I78" s="12" t="str">
        <f>"Line "&amp;A63&amp;" / Line "&amp;A75&amp;""</f>
        <v>Line 36 / Line 43</v>
      </c>
      <c r="J78" s="15"/>
      <c r="K78" s="48">
        <f>K63/K75</f>
        <v>0.44781839837597615</v>
      </c>
    </row>
    <row r="79" spans="1:11" x14ac:dyDescent="0.2">
      <c r="A79" s="2">
        <f>A78+1</f>
        <v>45</v>
      </c>
      <c r="B79" s="550" t="s">
        <v>284</v>
      </c>
      <c r="C79" s="15"/>
      <c r="D79" s="15"/>
      <c r="E79" s="15"/>
      <c r="F79" s="15"/>
      <c r="G79" s="15"/>
      <c r="H79" s="15"/>
      <c r="I79" s="12" t="str">
        <f>"Line "&amp;A68&amp;" / Line "&amp;A75&amp;""</f>
        <v>Line 39 / Line 43</v>
      </c>
      <c r="J79" s="15"/>
      <c r="K79" s="48">
        <f>K68/K75</f>
        <v>8.1107430868025035E-2</v>
      </c>
    </row>
    <row r="80" spans="1:11" x14ac:dyDescent="0.2">
      <c r="A80" s="2">
        <f>A79+1</f>
        <v>46</v>
      </c>
      <c r="B80" s="15" t="s">
        <v>60</v>
      </c>
      <c r="C80" s="15"/>
      <c r="D80" s="15"/>
      <c r="E80" s="15"/>
      <c r="F80" s="15"/>
      <c r="G80" s="15"/>
      <c r="H80" s="15"/>
      <c r="I80" s="12" t="str">
        <f>"Line "&amp;A73&amp;" / Line "&amp;A75&amp;""</f>
        <v>Line 42 / Line 43</v>
      </c>
      <c r="J80" s="15"/>
      <c r="K80" s="49">
        <f>K73/K75</f>
        <v>0.47107417075599878</v>
      </c>
    </row>
    <row r="81" spans="1:11" x14ac:dyDescent="0.2">
      <c r="A81" s="117"/>
      <c r="B81" s="15"/>
      <c r="C81" s="15"/>
      <c r="D81" s="15"/>
      <c r="E81" s="15"/>
      <c r="F81" s="15"/>
      <c r="G81" s="15"/>
      <c r="H81" s="15"/>
      <c r="I81" s="12" t="str">
        <f>"Line "&amp;A78&amp;" + Line "&amp;A79&amp;"+ Line "&amp;A80&amp;""</f>
        <v>Line 44 + Line 45+ Line 46</v>
      </c>
      <c r="J81" s="15"/>
      <c r="K81" s="48">
        <f>SUM(K78:K80)</f>
        <v>1</v>
      </c>
    </row>
    <row r="82" spans="1:11" x14ac:dyDescent="0.2">
      <c r="A82" s="117"/>
      <c r="B82" s="45" t="s">
        <v>246</v>
      </c>
      <c r="C82" s="15"/>
      <c r="D82" s="15"/>
      <c r="E82" s="15"/>
      <c r="F82" s="15"/>
      <c r="G82" s="15"/>
      <c r="H82" s="15"/>
      <c r="I82" s="15"/>
      <c r="J82" s="15"/>
      <c r="K82" s="48"/>
    </row>
    <row r="83" spans="1:11" x14ac:dyDescent="0.2">
      <c r="A83" s="117">
        <f>A80+1</f>
        <v>47</v>
      </c>
      <c r="B83" s="15" t="s">
        <v>282</v>
      </c>
      <c r="C83" s="15"/>
      <c r="D83" s="15"/>
      <c r="E83" s="15"/>
      <c r="F83" s="15"/>
      <c r="G83" s="15"/>
      <c r="I83" s="12" t="str">
        <f>"Line "&amp;A65&amp;""</f>
        <v>Line 38</v>
      </c>
      <c r="J83" s="15"/>
      <c r="K83" s="48">
        <f>K65</f>
        <v>5.3694069645651862E-2</v>
      </c>
    </row>
    <row r="84" spans="1:11" x14ac:dyDescent="0.2">
      <c r="A84" s="2">
        <f>A83+1</f>
        <v>48</v>
      </c>
      <c r="B84" s="550" t="s">
        <v>54</v>
      </c>
      <c r="C84" s="15"/>
      <c r="D84" s="15"/>
      <c r="E84" s="15"/>
      <c r="F84" s="15"/>
      <c r="G84" s="15"/>
      <c r="I84" s="12" t="str">
        <f>"Line "&amp;A70&amp;""</f>
        <v>Line 41</v>
      </c>
      <c r="J84" s="15"/>
      <c r="K84" s="1391">
        <f>K70</f>
        <v>5.8304104130381888E-2</v>
      </c>
    </row>
    <row r="85" spans="1:11" x14ac:dyDescent="0.2">
      <c r="A85" s="2">
        <f>A84+1</f>
        <v>49</v>
      </c>
      <c r="B85" s="550" t="s">
        <v>2024</v>
      </c>
      <c r="C85" s="15"/>
      <c r="D85" s="15"/>
      <c r="E85" s="15"/>
      <c r="F85" s="15"/>
      <c r="G85" s="15"/>
      <c r="H85" s="12" t="s">
        <v>397</v>
      </c>
      <c r="I85" s="15" t="s">
        <v>239</v>
      </c>
      <c r="J85" s="15"/>
      <c r="K85" s="1248">
        <v>9.8000000000000004E-2</v>
      </c>
    </row>
    <row r="86" spans="1:11" x14ac:dyDescent="0.2">
      <c r="A86" s="117"/>
      <c r="B86" s="15"/>
      <c r="C86" s="15"/>
      <c r="D86" s="15"/>
      <c r="E86" s="15"/>
      <c r="F86" s="15"/>
      <c r="G86" s="15"/>
      <c r="I86" s="74"/>
      <c r="J86" s="15"/>
      <c r="K86" s="48"/>
    </row>
    <row r="87" spans="1:11" x14ac:dyDescent="0.2">
      <c r="A87" s="117"/>
      <c r="B87" s="45" t="s">
        <v>287</v>
      </c>
      <c r="C87" s="15"/>
      <c r="D87" s="15"/>
      <c r="E87" s="15"/>
      <c r="F87" s="15"/>
      <c r="G87" s="15"/>
      <c r="H87" s="15"/>
      <c r="I87" s="15"/>
      <c r="J87" s="15"/>
      <c r="K87" s="15"/>
    </row>
    <row r="88" spans="1:11" x14ac:dyDescent="0.2">
      <c r="A88" s="117">
        <f>A85+1</f>
        <v>50</v>
      </c>
      <c r="B88" s="15" t="s">
        <v>61</v>
      </c>
      <c r="C88" s="15"/>
      <c r="D88" s="15"/>
      <c r="E88" s="15"/>
      <c r="F88" s="15"/>
      <c r="G88" s="15"/>
      <c r="I88" s="12" t="str">
        <f>"Line "&amp;A65&amp;" * Line "&amp;A78&amp;""</f>
        <v>Line 38 * Line 44</v>
      </c>
      <c r="J88" s="15"/>
      <c r="K88" s="48">
        <f>K65*K78</f>
        <v>2.4045192271003935E-2</v>
      </c>
    </row>
    <row r="89" spans="1:11" x14ac:dyDescent="0.2">
      <c r="A89" s="2">
        <f>A88+1</f>
        <v>51</v>
      </c>
      <c r="B89" s="550" t="s">
        <v>62</v>
      </c>
      <c r="C89" s="15"/>
      <c r="D89" s="15"/>
      <c r="E89" s="15"/>
      <c r="F89" s="15"/>
      <c r="G89" s="15"/>
      <c r="I89" s="12" t="str">
        <f>"Line "&amp;A70&amp;" * Line "&amp;A79&amp;""</f>
        <v>Line 41 * Line 45</v>
      </c>
      <c r="J89" s="15"/>
      <c r="K89" s="1391">
        <f>K70*K79</f>
        <v>4.7288960950770823E-3</v>
      </c>
    </row>
    <row r="90" spans="1:11" x14ac:dyDescent="0.2">
      <c r="A90" s="2">
        <f>A89+1</f>
        <v>52</v>
      </c>
      <c r="B90" s="15" t="s">
        <v>63</v>
      </c>
      <c r="C90" s="15"/>
      <c r="D90" s="15"/>
      <c r="E90" s="15"/>
      <c r="F90" s="15"/>
      <c r="G90" s="15"/>
      <c r="I90" s="12" t="str">
        <f>"Line "&amp;A80&amp;" * Line "&amp;A85&amp;""</f>
        <v>Line 46 * Line 49</v>
      </c>
      <c r="J90" s="15"/>
      <c r="K90" s="49">
        <f>K80*K85</f>
        <v>4.6165268734087883E-2</v>
      </c>
    </row>
    <row r="91" spans="1:11" x14ac:dyDescent="0.2">
      <c r="A91" s="2">
        <f>A90+1</f>
        <v>53</v>
      </c>
      <c r="B91" s="46" t="s">
        <v>64</v>
      </c>
      <c r="C91" s="15"/>
      <c r="D91" s="15"/>
      <c r="E91" s="15"/>
      <c r="F91" s="15"/>
      <c r="G91" s="15"/>
      <c r="I91" s="12" t="str">
        <f>"Line "&amp;A88&amp;" + Line "&amp;A89&amp;" + Line "&amp;A90&amp;""</f>
        <v>Line 50 + Line 51 + Line 52</v>
      </c>
      <c r="J91" s="15"/>
      <c r="K91" s="1391">
        <f>SUM(K88:K90)</f>
        <v>7.4939357100168899E-2</v>
      </c>
    </row>
    <row r="92" spans="1:11" x14ac:dyDescent="0.2">
      <c r="A92" s="117"/>
      <c r="B92" s="46"/>
      <c r="C92" s="15"/>
      <c r="D92" s="15"/>
      <c r="E92" s="15"/>
      <c r="F92" s="15"/>
      <c r="G92" s="15"/>
      <c r="I92" s="15"/>
      <c r="J92" s="15"/>
      <c r="K92" s="48"/>
    </row>
    <row r="93" spans="1:11" x14ac:dyDescent="0.2">
      <c r="A93" s="2">
        <f>A91+1</f>
        <v>54</v>
      </c>
      <c r="B93" s="1125" t="s">
        <v>2025</v>
      </c>
      <c r="C93" s="15"/>
      <c r="D93" s="15"/>
      <c r="E93" s="15"/>
      <c r="F93" s="15"/>
      <c r="G93" s="15"/>
      <c r="H93" s="15" t="s">
        <v>241</v>
      </c>
      <c r="I93" s="12" t="str">
        <f>"Line "&amp;A89&amp;" + Line "&amp;A90&amp;""</f>
        <v>Line 51 + Line 52</v>
      </c>
      <c r="J93" s="15"/>
      <c r="K93" s="48">
        <f>K89+K90</f>
        <v>5.0894164829164965E-2</v>
      </c>
    </row>
    <row r="94" spans="1:11" x14ac:dyDescent="0.2">
      <c r="A94" s="117"/>
      <c r="B94" s="15"/>
      <c r="C94" s="15"/>
      <c r="D94" s="15"/>
      <c r="E94" s="15"/>
      <c r="F94" s="15"/>
      <c r="G94" s="15"/>
      <c r="I94" s="15"/>
      <c r="J94" s="15"/>
      <c r="K94" s="48"/>
    </row>
    <row r="95" spans="1:11" x14ac:dyDescent="0.2">
      <c r="A95" s="2">
        <f>A93+1</f>
        <v>55</v>
      </c>
      <c r="B95" s="15" t="s">
        <v>65</v>
      </c>
      <c r="C95" s="15"/>
      <c r="D95" s="15"/>
      <c r="E95" s="15"/>
      <c r="F95" s="15"/>
      <c r="G95" s="15"/>
      <c r="I95" s="12" t="str">
        <f>"Line "&amp;A34&amp;" * Line "&amp;A91&amp;""</f>
        <v>Line 17 * Line 53</v>
      </c>
      <c r="J95" s="15"/>
      <c r="K95" s="47">
        <f>K34*K91</f>
        <v>311985177.85896623</v>
      </c>
    </row>
    <row r="96" spans="1:11" x14ac:dyDescent="0.2">
      <c r="A96" s="93"/>
      <c r="B96" s="12"/>
      <c r="C96" s="12"/>
      <c r="D96" s="12"/>
      <c r="E96" s="12"/>
      <c r="F96" s="12"/>
      <c r="G96" s="12"/>
      <c r="H96" s="12"/>
      <c r="I96" s="12"/>
      <c r="J96" s="12"/>
      <c r="K96" s="12"/>
    </row>
    <row r="97" spans="1:11" x14ac:dyDescent="0.2">
      <c r="A97" s="12"/>
      <c r="B97" s="12"/>
      <c r="C97" s="12"/>
      <c r="D97" s="12"/>
      <c r="E97" s="12"/>
      <c r="F97" s="12"/>
      <c r="G97" s="12"/>
      <c r="H97" s="12"/>
      <c r="I97" s="12"/>
      <c r="J97" s="12"/>
      <c r="K97" s="12"/>
    </row>
    <row r="98" spans="1:11" x14ac:dyDescent="0.2">
      <c r="A98" s="10" t="s">
        <v>199</v>
      </c>
      <c r="B98" s="11"/>
      <c r="C98" s="11"/>
      <c r="D98" s="11"/>
      <c r="E98" s="11"/>
      <c r="F98" s="11"/>
      <c r="G98" s="11"/>
      <c r="H98" s="9"/>
      <c r="I98" s="9"/>
      <c r="J98" s="9"/>
      <c r="K98" s="9"/>
    </row>
    <row r="100" spans="1:11" x14ac:dyDescent="0.2">
      <c r="A100" s="117">
        <f>A95+1</f>
        <v>56</v>
      </c>
      <c r="B100" t="s">
        <v>240</v>
      </c>
      <c r="I100" s="14" t="str">
        <f>"26-Tax Rates, Line "&amp;'26-TaxRates'!A7&amp;""</f>
        <v>26-Tax Rates, Line 1</v>
      </c>
      <c r="K100" s="71">
        <f>'26-TaxRates'!D7</f>
        <v>0.35</v>
      </c>
    </row>
    <row r="101" spans="1:11" x14ac:dyDescent="0.2">
      <c r="A101" s="2">
        <f>A100+1</f>
        <v>57</v>
      </c>
      <c r="B101" s="12" t="s">
        <v>286</v>
      </c>
      <c r="I101" s="14" t="str">
        <f>"26-Tax Rates, Line "&amp;'26-TaxRates'!A14&amp;""</f>
        <v>26-Tax Rates, Line 8</v>
      </c>
      <c r="K101" s="71">
        <f>'26-TaxRates'!D14</f>
        <v>7.5938895450750804E-2</v>
      </c>
    </row>
    <row r="102" spans="1:11" x14ac:dyDescent="0.2">
      <c r="A102" s="2">
        <f>A101+1</f>
        <v>58</v>
      </c>
      <c r="B102" s="12" t="s">
        <v>285</v>
      </c>
      <c r="H102" s="53" t="s">
        <v>1911</v>
      </c>
      <c r="I102" s="12" t="str">
        <f>"(L"&amp;A100&amp;" + L"&amp;A101&amp;") - (L"&amp;A100&amp;" * L"&amp;A101&amp;")"</f>
        <v>(L56 + L57) - (L56 * L57)</v>
      </c>
      <c r="K102" s="8">
        <f>(K100+K101)-(K100*K101)</f>
        <v>0.39936028204298801</v>
      </c>
    </row>
    <row r="103" spans="1:11" x14ac:dyDescent="0.2">
      <c r="A103" s="2"/>
      <c r="K103" s="8"/>
    </row>
    <row r="104" spans="1:11" x14ac:dyDescent="0.2">
      <c r="A104" s="2"/>
      <c r="B104" s="80" t="s">
        <v>288</v>
      </c>
      <c r="K104" s="8"/>
    </row>
    <row r="105" spans="1:11" x14ac:dyDescent="0.2">
      <c r="A105" s="117">
        <f>A102+1</f>
        <v>59</v>
      </c>
      <c r="B105" s="642" t="s">
        <v>2235</v>
      </c>
      <c r="C105" s="14"/>
      <c r="D105" s="14"/>
      <c r="E105" s="14"/>
      <c r="F105" s="14"/>
      <c r="G105" s="14"/>
      <c r="H105" s="12" t="s">
        <v>398</v>
      </c>
      <c r="I105" s="14"/>
      <c r="K105" s="64">
        <v>200</v>
      </c>
    </row>
    <row r="106" spans="1:11" x14ac:dyDescent="0.2">
      <c r="A106" s="2">
        <f>A105+1</f>
        <v>60</v>
      </c>
      <c r="B106" s="642" t="s">
        <v>2236</v>
      </c>
      <c r="C106" s="14"/>
      <c r="D106" s="14"/>
      <c r="E106" s="14"/>
      <c r="F106" s="14"/>
      <c r="G106" s="14"/>
      <c r="H106" s="12" t="s">
        <v>398</v>
      </c>
      <c r="I106" s="14"/>
      <c r="K106" s="64">
        <v>-520000</v>
      </c>
    </row>
    <row r="107" spans="1:11" x14ac:dyDescent="0.2">
      <c r="A107" s="2">
        <f>A106+1</f>
        <v>61</v>
      </c>
      <c r="B107" s="642" t="s">
        <v>2237</v>
      </c>
      <c r="C107" s="14"/>
      <c r="D107" s="14"/>
      <c r="E107" s="14"/>
      <c r="F107" s="14"/>
      <c r="G107" s="14"/>
      <c r="H107" s="12" t="s">
        <v>398</v>
      </c>
      <c r="I107" s="14"/>
      <c r="K107" s="118">
        <v>2606000</v>
      </c>
    </row>
    <row r="108" spans="1:11" x14ac:dyDescent="0.2">
      <c r="A108" s="679">
        <f>A107+1</f>
        <v>62</v>
      </c>
      <c r="B108" s="13" t="s">
        <v>289</v>
      </c>
      <c r="I108" s="548" t="str">
        <f>"Line "&amp;A105&amp;" + Line "&amp;A106&amp;"+ Line "&amp;A107&amp;""</f>
        <v>Line 59 + Line 60+ Line 61</v>
      </c>
      <c r="K108" s="64">
        <f>SUM(K105:K107)</f>
        <v>2086200</v>
      </c>
    </row>
    <row r="109" spans="1:11" x14ac:dyDescent="0.2">
      <c r="A109" s="117"/>
    </row>
    <row r="110" spans="1:11" x14ac:dyDescent="0.2">
      <c r="A110" s="117">
        <f>A108+1</f>
        <v>63</v>
      </c>
      <c r="B110" s="12" t="s">
        <v>290</v>
      </c>
      <c r="I110" t="str">
        <f>"Formula on Line "&amp;A112&amp;""</f>
        <v>Formula on Line 64</v>
      </c>
      <c r="K110" s="64">
        <f>(((K34*K93) + K119)*(K102/(1-K102)))+(K108/(1-K102))</f>
        <v>145630356.21374565</v>
      </c>
    </row>
    <row r="111" spans="1:11" x14ac:dyDescent="0.2">
      <c r="A111" s="117"/>
    </row>
    <row r="112" spans="1:11" x14ac:dyDescent="0.2">
      <c r="A112" s="117">
        <f>A110+1</f>
        <v>64</v>
      </c>
      <c r="B112" s="550" t="s">
        <v>2922</v>
      </c>
      <c r="C112" s="550"/>
      <c r="D112" s="550"/>
      <c r="E112" s="550"/>
      <c r="F112" s="550"/>
      <c r="G112" s="550"/>
    </row>
    <row r="113" spans="1:11" x14ac:dyDescent="0.2">
      <c r="A113" s="62"/>
      <c r="I113" s="12"/>
    </row>
    <row r="114" spans="1:11" x14ac:dyDescent="0.2">
      <c r="A114" s="62"/>
      <c r="C114" t="s">
        <v>242</v>
      </c>
    </row>
    <row r="115" spans="1:11" x14ac:dyDescent="0.2">
      <c r="A115" s="62"/>
      <c r="C115" s="120" t="s">
        <v>243</v>
      </c>
      <c r="D115" s="14"/>
      <c r="E115" s="14"/>
      <c r="F115" s="14"/>
      <c r="G115" s="14"/>
      <c r="H115" s="14"/>
      <c r="I115" s="15" t="str">
        <f>"Line "&amp;A34&amp;""</f>
        <v>Line 17</v>
      </c>
    </row>
    <row r="116" spans="1:11" x14ac:dyDescent="0.2">
      <c r="A116" s="62"/>
      <c r="C116" s="547" t="s">
        <v>2026</v>
      </c>
      <c r="D116" s="14"/>
      <c r="E116" s="14"/>
      <c r="F116" s="14"/>
      <c r="G116" s="14"/>
      <c r="H116" s="14"/>
      <c r="I116" s="15" t="str">
        <f>"Line "&amp;A93&amp;""</f>
        <v>Line 54</v>
      </c>
    </row>
    <row r="117" spans="1:11" x14ac:dyDescent="0.2">
      <c r="A117" s="62"/>
      <c r="C117" s="120" t="s">
        <v>244</v>
      </c>
      <c r="D117" s="14"/>
      <c r="E117" s="14"/>
      <c r="F117" s="14"/>
      <c r="G117" s="14"/>
      <c r="H117" s="14"/>
      <c r="I117" s="15" t="str">
        <f>"Line "&amp;A102&amp;""</f>
        <v>Line 58</v>
      </c>
    </row>
    <row r="118" spans="1:11" x14ac:dyDescent="0.2">
      <c r="A118" s="62"/>
      <c r="C118" s="120" t="s">
        <v>245</v>
      </c>
      <c r="D118" s="14"/>
      <c r="E118" s="14"/>
      <c r="F118" s="14"/>
      <c r="G118" s="14"/>
      <c r="H118" s="14"/>
      <c r="I118" s="15" t="str">
        <f>"Line "&amp;A108&amp;""</f>
        <v>Line 62</v>
      </c>
    </row>
    <row r="119" spans="1:11" x14ac:dyDescent="0.2">
      <c r="A119" s="571"/>
      <c r="C119" s="120" t="s">
        <v>2023</v>
      </c>
      <c r="D119" s="14"/>
      <c r="E119" s="14"/>
      <c r="F119" s="14"/>
      <c r="G119" s="14"/>
      <c r="H119" s="14"/>
      <c r="I119" s="14" t="s">
        <v>35</v>
      </c>
      <c r="K119" s="587">
        <v>1923888.67</v>
      </c>
    </row>
    <row r="121" spans="1:11" x14ac:dyDescent="0.2">
      <c r="A121" s="10" t="s">
        <v>74</v>
      </c>
      <c r="B121" s="11"/>
      <c r="C121" s="11"/>
      <c r="D121" s="11"/>
      <c r="E121" s="11"/>
      <c r="F121" s="11"/>
      <c r="G121" s="11"/>
      <c r="H121" s="9"/>
      <c r="I121" s="9"/>
      <c r="J121" s="9"/>
      <c r="K121" s="9"/>
    </row>
    <row r="123" spans="1:11" x14ac:dyDescent="0.2">
      <c r="B123" s="80" t="s">
        <v>291</v>
      </c>
    </row>
    <row r="124" spans="1:11" x14ac:dyDescent="0.2">
      <c r="A124" s="117">
        <f>A112+1</f>
        <v>65</v>
      </c>
      <c r="B124" t="s">
        <v>114</v>
      </c>
      <c r="H124" s="16"/>
      <c r="I124" s="14" t="str">
        <f>"19-OandM, Line "&amp;'19-OandM'!A170&amp;", Col. 6"</f>
        <v>19-OandM, Line 137, Col. 6</v>
      </c>
      <c r="K124" s="1350">
        <f>'19-OandM'!G170</f>
        <v>79435590.430285335</v>
      </c>
    </row>
    <row r="125" spans="1:11" x14ac:dyDescent="0.2">
      <c r="A125" s="117">
        <f t="shared" ref="A125:A139" si="1">A124+1</f>
        <v>66</v>
      </c>
      <c r="B125" s="12" t="s">
        <v>292</v>
      </c>
      <c r="H125" s="16"/>
      <c r="I125" s="14" t="str">
        <f>"20-AandG, Line "&amp;'20-AandG'!A30&amp;""</f>
        <v>20-AandG, Line 23</v>
      </c>
      <c r="K125" s="1350">
        <f>'20-AandG'!F30</f>
        <v>33847549.465903319</v>
      </c>
    </row>
    <row r="126" spans="1:11" x14ac:dyDescent="0.2">
      <c r="A126" s="117">
        <f t="shared" si="1"/>
        <v>67</v>
      </c>
      <c r="B126" t="s">
        <v>67</v>
      </c>
      <c r="H126" s="16"/>
      <c r="I126" s="15" t="str">
        <f>"22-NUCs, Line "&amp;'22-NUCs'!A19&amp;""</f>
        <v>22-NUCs, Line 10</v>
      </c>
      <c r="K126" s="7">
        <f>'22-NUCs'!E19</f>
        <v>617891</v>
      </c>
    </row>
    <row r="127" spans="1:11" x14ac:dyDescent="0.2">
      <c r="A127" s="117">
        <f t="shared" si="1"/>
        <v>68</v>
      </c>
      <c r="B127" s="12" t="s">
        <v>278</v>
      </c>
      <c r="H127" s="16"/>
      <c r="I127" s="14" t="str">
        <f>"17-Depreciation, Line "&amp;'17-Depreciation'!A95&amp;""</f>
        <v>17-Depreciation, Line 70</v>
      </c>
      <c r="K127" s="1350">
        <f>'17-Depreciation'!F95</f>
        <v>104188251.23380898</v>
      </c>
    </row>
    <row r="128" spans="1:11" x14ac:dyDescent="0.2">
      <c r="A128" s="117">
        <f t="shared" si="1"/>
        <v>69</v>
      </c>
      <c r="B128" s="12" t="s">
        <v>324</v>
      </c>
      <c r="H128" s="16"/>
      <c r="I128" s="14" t="str">
        <f>"12-AbandonedPlant, Line "&amp;'12-AbandonedPlant'!A18&amp;""</f>
        <v>12-AbandonedPlant, Line 1</v>
      </c>
      <c r="K128" s="7">
        <f>'12-AbandonedPlant'!G18</f>
        <v>11028000</v>
      </c>
    </row>
    <row r="129" spans="1:11" x14ac:dyDescent="0.2">
      <c r="A129" s="117">
        <f t="shared" si="1"/>
        <v>70</v>
      </c>
      <c r="B129" s="12" t="s">
        <v>91</v>
      </c>
      <c r="H129" s="16"/>
      <c r="I129" s="14" t="str">
        <f>"Line "&amp;A58&amp;""</f>
        <v>Line 35</v>
      </c>
      <c r="K129" s="1350">
        <f>K58</f>
        <v>25270453.324389562</v>
      </c>
    </row>
    <row r="130" spans="1:11" x14ac:dyDescent="0.2">
      <c r="A130" s="117">
        <f t="shared" si="1"/>
        <v>71</v>
      </c>
      <c r="B130" t="s">
        <v>12</v>
      </c>
      <c r="H130" s="46" t="s">
        <v>170</v>
      </c>
      <c r="I130" s="14" t="str">
        <f>"21-Revenue Credits, Line "&amp;'21-RevenueCredits'!A216&amp;""</f>
        <v>21-Revenue Credits, Line 44</v>
      </c>
      <c r="K130" s="7">
        <f>-'21-RevenueCredits'!E216</f>
        <v>-49681901.698689714</v>
      </c>
    </row>
    <row r="131" spans="1:11" x14ac:dyDescent="0.2">
      <c r="A131" s="117">
        <f t="shared" si="1"/>
        <v>72</v>
      </c>
      <c r="B131" t="s">
        <v>99</v>
      </c>
      <c r="H131" s="16"/>
      <c r="I131" s="14" t="str">
        <f>"Line "&amp;A95&amp;""</f>
        <v>Line 55</v>
      </c>
      <c r="K131" s="7">
        <f>K95</f>
        <v>311985177.85896623</v>
      </c>
    </row>
    <row r="132" spans="1:11" x14ac:dyDescent="0.2">
      <c r="A132" s="117">
        <f t="shared" si="1"/>
        <v>73</v>
      </c>
      <c r="B132" t="s">
        <v>6</v>
      </c>
      <c r="H132" s="16"/>
      <c r="I132" s="14" t="str">
        <f>"Line "&amp;A110&amp;""</f>
        <v>Line 63</v>
      </c>
      <c r="K132" s="108">
        <f>K110</f>
        <v>145630356.21374565</v>
      </c>
    </row>
    <row r="133" spans="1:11" x14ac:dyDescent="0.2">
      <c r="A133" s="117">
        <f t="shared" si="1"/>
        <v>74</v>
      </c>
      <c r="B133" t="s">
        <v>1045</v>
      </c>
      <c r="H133" s="13" t="s">
        <v>1289</v>
      </c>
      <c r="I133" s="15" t="str">
        <f>"11-PHFU, Line "&amp;'11-PHFU'!A46&amp;""</f>
        <v>11-PHFU, Line 10</v>
      </c>
      <c r="K133" s="47">
        <f>-'11-PHFU'!E46</f>
        <v>0</v>
      </c>
    </row>
    <row r="134" spans="1:11" x14ac:dyDescent="0.2">
      <c r="A134" s="117">
        <f t="shared" si="1"/>
        <v>75</v>
      </c>
      <c r="B134" s="695" t="s">
        <v>2006</v>
      </c>
      <c r="C134" s="834"/>
      <c r="D134" s="14"/>
      <c r="E134" s="14"/>
      <c r="H134" s="16"/>
      <c r="I134" s="15" t="str">
        <f>"23-RegAssets, Line "&amp;'23-RegAssets'!A19&amp;""</f>
        <v>23-RegAssets, Line 16</v>
      </c>
      <c r="K134" s="47">
        <f>'23-RegAssets'!E19</f>
        <v>0</v>
      </c>
    </row>
    <row r="135" spans="1:11" x14ac:dyDescent="0.2">
      <c r="A135" s="117">
        <f t="shared" si="1"/>
        <v>76</v>
      </c>
      <c r="B135" s="12" t="s">
        <v>293</v>
      </c>
      <c r="H135" s="16"/>
      <c r="I135" s="14" t="str">
        <f>"15-IncentiveAdder, Line "&amp;'15-IncentiveAdder'!A44&amp;""</f>
        <v>15-IncentiveAdder, Line 14</v>
      </c>
      <c r="K135" s="97">
        <f>'15-IncentiveAdder'!G44</f>
        <v>23028867.279177032</v>
      </c>
    </row>
    <row r="136" spans="1:11" x14ac:dyDescent="0.2">
      <c r="A136" s="117">
        <f t="shared" si="1"/>
        <v>77</v>
      </c>
      <c r="B136" s="12" t="s">
        <v>1654</v>
      </c>
      <c r="H136" s="16"/>
      <c r="I136" s="14" t="str">
        <f>"Sum of Lines "&amp;A124&amp;" to "&amp;A135&amp;""</f>
        <v>Sum of Lines 65 to 76</v>
      </c>
      <c r="K136" s="7">
        <f>SUM(K124:K135)</f>
        <v>685350235.1075865</v>
      </c>
    </row>
    <row r="137" spans="1:11" x14ac:dyDescent="0.2">
      <c r="A137" s="117"/>
      <c r="B137" s="12"/>
      <c r="H137" s="16"/>
      <c r="I137" s="14"/>
      <c r="K137" s="7"/>
    </row>
    <row r="138" spans="1:11" x14ac:dyDescent="0.2">
      <c r="A138" s="117">
        <f>A136+1</f>
        <v>78</v>
      </c>
      <c r="B138" s="12" t="s">
        <v>318</v>
      </c>
      <c r="I138" s="14" t="str">
        <f>"L "&amp;A136&amp;" * FF Factor (28-FFU, L "&amp;'28-FFU'!A22&amp;")"</f>
        <v>L 77 * FF Factor (28-FFU, L 5)</v>
      </c>
      <c r="J138" s="14"/>
      <c r="K138" s="7">
        <f>'28-FFU'!D22*K136</f>
        <v>6266020.1295416411</v>
      </c>
    </row>
    <row r="139" spans="1:11" x14ac:dyDescent="0.2">
      <c r="A139" s="117">
        <f t="shared" si="1"/>
        <v>79</v>
      </c>
      <c r="B139" s="12" t="s">
        <v>317</v>
      </c>
      <c r="I139" s="14" t="str">
        <f>"L "&amp;A136&amp;" * U Factor (28-FFU, L "&amp;'28-FFU'!A22&amp;")"</f>
        <v>L 77 * U Factor (28-FFU, L 5)</v>
      </c>
      <c r="J139" s="14"/>
      <c r="K139" s="7">
        <f>'28-FFU'!E22*K136</f>
        <v>1407846.4529580041</v>
      </c>
    </row>
    <row r="140" spans="1:11" x14ac:dyDescent="0.2">
      <c r="A140" s="117"/>
      <c r="B140" s="12"/>
      <c r="K140" s="7"/>
    </row>
    <row r="141" spans="1:11" x14ac:dyDescent="0.2">
      <c r="A141" s="117">
        <f>A139+1</f>
        <v>80</v>
      </c>
      <c r="B141" s="12" t="s">
        <v>108</v>
      </c>
      <c r="I141" t="str">
        <f>"Line "&amp;A136&amp;" + Line "&amp;A138&amp;"+ Line "&amp;A139&amp;""</f>
        <v>Line 77 + Line 78+ Line 79</v>
      </c>
      <c r="K141" s="7">
        <f>K136+K138+K139</f>
        <v>693024101.69008613</v>
      </c>
    </row>
    <row r="143" spans="1:11" x14ac:dyDescent="0.2">
      <c r="A143" s="10" t="s">
        <v>294</v>
      </c>
      <c r="B143" s="11"/>
      <c r="C143" s="11"/>
      <c r="D143" s="11"/>
      <c r="E143" s="11"/>
      <c r="F143" s="11"/>
      <c r="G143" s="11"/>
      <c r="H143" s="9"/>
      <c r="I143" s="9"/>
      <c r="J143" s="9"/>
      <c r="K143" s="9"/>
    </row>
    <row r="145" spans="1:15" x14ac:dyDescent="0.2">
      <c r="B145" s="80" t="s">
        <v>1894</v>
      </c>
      <c r="K145" s="1258"/>
      <c r="L145" s="14"/>
      <c r="M145" s="1258"/>
      <c r="N145" s="117"/>
    </row>
    <row r="146" spans="1:15" x14ac:dyDescent="0.2">
      <c r="A146" s="117">
        <f>A141+1</f>
        <v>81</v>
      </c>
      <c r="B146" t="s">
        <v>108</v>
      </c>
      <c r="I146" t="str">
        <f>"Line "&amp;A141&amp;""</f>
        <v>Line 80</v>
      </c>
      <c r="K146" s="7">
        <f>K141</f>
        <v>693024101.69008613</v>
      </c>
      <c r="M146" s="1256"/>
      <c r="N146" s="1255"/>
    </row>
    <row r="147" spans="1:15" x14ac:dyDescent="0.2">
      <c r="A147" s="117">
        <f>A146+1</f>
        <v>82</v>
      </c>
      <c r="B147" t="s">
        <v>351</v>
      </c>
      <c r="I147" s="15" t="str">
        <f>"2-IFPTRR, Line "&amp;'2-IFPTRR'!A91&amp;""</f>
        <v>2-IFPTRR, Line 82</v>
      </c>
      <c r="K147" s="7">
        <f>'2-IFPTRR'!D91</f>
        <v>208576217.83979845</v>
      </c>
      <c r="M147" s="1256"/>
      <c r="N147" s="1255"/>
    </row>
    <row r="148" spans="1:15" x14ac:dyDescent="0.2">
      <c r="A148" s="117">
        <f>A147+1</f>
        <v>83</v>
      </c>
      <c r="B148" s="12" t="s">
        <v>31</v>
      </c>
      <c r="H148" s="12" t="s">
        <v>1296</v>
      </c>
      <c r="I148" s="15" t="str">
        <f>"3-TrueUpAdjust, Line "&amp;'3-TrueUpAdjust'!A75&amp;""</f>
        <v>3-TrueUpAdjust, Line 62</v>
      </c>
      <c r="K148" s="108">
        <f>IF(E149="Yes",0,'3-TrueUpAdjust'!E75)</f>
        <v>-61561101.91540914</v>
      </c>
      <c r="M148" s="1256"/>
      <c r="N148" s="1255"/>
    </row>
    <row r="149" spans="1:15" x14ac:dyDescent="0.2">
      <c r="A149" s="117">
        <f t="shared" ref="A149:A150" si="2">A148+1</f>
        <v>84</v>
      </c>
      <c r="B149" s="12"/>
      <c r="D149" s="99" t="s">
        <v>1351</v>
      </c>
      <c r="E149" s="558" t="s">
        <v>250</v>
      </c>
      <c r="F149" s="12" t="s">
        <v>1352</v>
      </c>
      <c r="I149" s="15"/>
      <c r="K149" s="108"/>
      <c r="M149" s="1256"/>
      <c r="N149" s="1255"/>
    </row>
    <row r="150" spans="1:15" x14ac:dyDescent="0.2">
      <c r="A150" s="117">
        <f t="shared" si="2"/>
        <v>85</v>
      </c>
      <c r="B150" s="550" t="s">
        <v>2338</v>
      </c>
      <c r="C150" s="14"/>
      <c r="H150" s="12" t="s">
        <v>1311</v>
      </c>
      <c r="I150" s="14"/>
      <c r="K150" s="126">
        <v>0</v>
      </c>
      <c r="M150" s="1256"/>
      <c r="N150" s="1255"/>
    </row>
    <row r="151" spans="1:15" x14ac:dyDescent="0.2">
      <c r="A151" s="117"/>
      <c r="I151" s="14"/>
      <c r="K151" s="7"/>
      <c r="M151" s="1256"/>
      <c r="N151" s="1255"/>
    </row>
    <row r="152" spans="1:15" x14ac:dyDescent="0.2">
      <c r="A152" s="117">
        <f>A150+1</f>
        <v>86</v>
      </c>
      <c r="B152" s="548" t="s">
        <v>1892</v>
      </c>
      <c r="H152" s="12" t="s">
        <v>295</v>
      </c>
      <c r="I152" s="14" t="str">
        <f>"L "&amp;A146&amp;" + L "&amp;A147&amp;" + L "&amp;A148&amp;" + L "&amp;A150&amp;""</f>
        <v>L 81 + L 82 + L 83 + L 85</v>
      </c>
      <c r="K152" s="7">
        <f>K146+K147+K148+K150</f>
        <v>840039217.61447549</v>
      </c>
      <c r="M152" s="1256"/>
      <c r="N152" s="1259"/>
      <c r="O152" s="1259"/>
    </row>
    <row r="153" spans="1:15" x14ac:dyDescent="0.2">
      <c r="A153" s="117"/>
      <c r="I153" s="14"/>
      <c r="K153" s="7"/>
      <c r="M153" s="1256"/>
      <c r="N153" s="1255"/>
    </row>
    <row r="154" spans="1:15" x14ac:dyDescent="0.2">
      <c r="A154" s="117"/>
      <c r="B154" s="80" t="s">
        <v>1893</v>
      </c>
      <c r="I154" s="14"/>
      <c r="K154" s="7"/>
      <c r="M154" s="1256"/>
      <c r="N154" s="1255"/>
    </row>
    <row r="155" spans="1:15" x14ac:dyDescent="0.2">
      <c r="A155" s="117">
        <f>A152+1</f>
        <v>87</v>
      </c>
      <c r="B155" t="s">
        <v>1575</v>
      </c>
      <c r="I155" s="14" t="str">
        <f>"Line "&amp;A152&amp;""</f>
        <v>Line 86</v>
      </c>
      <c r="K155" s="7">
        <f>K152</f>
        <v>840039217.61447549</v>
      </c>
      <c r="M155" s="1256"/>
      <c r="N155" s="1255"/>
    </row>
    <row r="156" spans="1:15" x14ac:dyDescent="0.2">
      <c r="A156" s="117">
        <f>A155+1</f>
        <v>88</v>
      </c>
      <c r="B156" t="s">
        <v>1574</v>
      </c>
      <c r="I156" s="15" t="str">
        <f>"25-WholesaleDifference, Line "&amp;'25-WholesaleDifference'!A92&amp;""</f>
        <v>25-WholesaleDifference, Line 44</v>
      </c>
      <c r="K156" s="97">
        <f>'25-WholesaleDifference'!H92</f>
        <v>-5573619.7243501758</v>
      </c>
      <c r="M156" s="1257"/>
      <c r="N156" s="1255"/>
    </row>
    <row r="157" spans="1:15" x14ac:dyDescent="0.2">
      <c r="A157" s="117">
        <f>A156+1</f>
        <v>89</v>
      </c>
      <c r="B157" t="s">
        <v>1893</v>
      </c>
      <c r="I157" t="str">
        <f>"Line "&amp;A155&amp;" + Line "&amp;A156&amp;""</f>
        <v>Line 87 + Line 88</v>
      </c>
      <c r="K157" s="7">
        <f>K155+K156</f>
        <v>834465597.89012527</v>
      </c>
      <c r="M157" s="1256"/>
      <c r="N157" s="1255"/>
    </row>
    <row r="158" spans="1:15" x14ac:dyDescent="0.2">
      <c r="A158" s="14"/>
      <c r="H158" s="12"/>
    </row>
    <row r="160" spans="1:15" x14ac:dyDescent="0.2">
      <c r="B160" s="52" t="s">
        <v>258</v>
      </c>
    </row>
    <row r="161" spans="2:11" x14ac:dyDescent="0.2">
      <c r="B161" s="550" t="s">
        <v>2953</v>
      </c>
      <c r="C161" s="14"/>
      <c r="D161" s="14"/>
      <c r="E161" s="14"/>
      <c r="F161" s="14"/>
      <c r="G161" s="14"/>
      <c r="H161" s="14"/>
      <c r="I161" s="14"/>
      <c r="J161" s="14"/>
      <c r="K161" s="14"/>
    </row>
    <row r="162" spans="2:11" x14ac:dyDescent="0.2">
      <c r="B162" s="548" t="s">
        <v>1917</v>
      </c>
    </row>
    <row r="163" spans="2:11" x14ac:dyDescent="0.2">
      <c r="B163" s="550" t="s">
        <v>2227</v>
      </c>
      <c r="C163" s="14"/>
      <c r="D163" s="14"/>
      <c r="E163" s="14"/>
      <c r="F163" s="14"/>
      <c r="G163" s="14"/>
      <c r="H163" s="14"/>
      <c r="I163" s="14"/>
      <c r="J163" s="14"/>
      <c r="K163" s="14"/>
    </row>
    <row r="164" spans="2:11" x14ac:dyDescent="0.2">
      <c r="B164" s="550"/>
      <c r="C164" s="14" t="s">
        <v>2226</v>
      </c>
      <c r="D164" s="14"/>
      <c r="E164" s="14"/>
      <c r="F164" s="102"/>
      <c r="G164" s="102"/>
      <c r="H164" s="102"/>
      <c r="I164" s="14"/>
      <c r="J164" s="14"/>
      <c r="K164" s="14"/>
    </row>
    <row r="165" spans="2:11" x14ac:dyDescent="0.2">
      <c r="B165" s="548" t="s">
        <v>2238</v>
      </c>
      <c r="C165" s="14"/>
      <c r="D165" s="14"/>
      <c r="E165" s="14"/>
      <c r="F165" s="14"/>
      <c r="G165" s="14"/>
      <c r="H165" s="14"/>
      <c r="I165" s="14"/>
    </row>
    <row r="166" spans="2:11" x14ac:dyDescent="0.2">
      <c r="B166" s="12" t="s">
        <v>1638</v>
      </c>
    </row>
    <row r="167" spans="2:11" x14ac:dyDescent="0.2">
      <c r="B167" s="550" t="s">
        <v>2918</v>
      </c>
    </row>
  </sheetData>
  <phoneticPr fontId="12" type="noConversion"/>
  <pageMargins left="0.75" right="0.75" top="1" bottom="1" header="0.5" footer="0.5"/>
  <pageSetup scale="68" orientation="portrait" cellComments="asDisplayed" r:id="rId1"/>
  <headerFooter alignWithMargins="0">
    <oddHeader>&amp;CSchedule 1
Base TRR
&amp;RTO8 Annual Update (Revised)
Attachment  1</oddHeader>
    <oddFooter>&amp;R&amp;A</oddFooter>
  </headerFooter>
  <rowBreaks count="2" manualBreakCount="2">
    <brk id="59" max="16383" man="1"/>
    <brk id="12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view="pageLayout" zoomScaleNormal="90" workbookViewId="0">
      <selection activeCell="G5" sqref="G5"/>
    </sheetView>
  </sheetViews>
  <sheetFormatPr defaultRowHeight="12.75" x14ac:dyDescent="0.2"/>
  <cols>
    <col min="1" max="1" width="4.7109375" customWidth="1"/>
    <col min="2" max="2" width="20.7109375" customWidth="1"/>
    <col min="3" max="4" width="16.7109375" customWidth="1"/>
    <col min="5" max="5" width="24.7109375" customWidth="1"/>
    <col min="6" max="6" width="9.140625" customWidth="1"/>
    <col min="10" max="10" width="18.5703125" customWidth="1"/>
    <col min="11" max="11" width="20.85546875" customWidth="1"/>
  </cols>
  <sheetData>
    <row r="1" spans="1:6" x14ac:dyDescent="0.2">
      <c r="A1" s="1" t="s">
        <v>1188</v>
      </c>
    </row>
    <row r="2" spans="1:6" x14ac:dyDescent="0.2">
      <c r="A2" s="1"/>
    </row>
    <row r="3" spans="1:6" x14ac:dyDescent="0.2">
      <c r="B3" s="12" t="s">
        <v>456</v>
      </c>
    </row>
    <row r="4" spans="1:6" x14ac:dyDescent="0.2">
      <c r="A4" s="1"/>
      <c r="B4" s="13" t="s">
        <v>374</v>
      </c>
    </row>
    <row r="5" spans="1:6" x14ac:dyDescent="0.2">
      <c r="A5" s="1"/>
      <c r="B5" s="13" t="s">
        <v>375</v>
      </c>
    </row>
    <row r="7" spans="1:6" x14ac:dyDescent="0.2">
      <c r="B7" s="1" t="s">
        <v>1098</v>
      </c>
    </row>
    <row r="8" spans="1:6" x14ac:dyDescent="0.2">
      <c r="E8" s="16"/>
    </row>
    <row r="9" spans="1:6" x14ac:dyDescent="0.2">
      <c r="A9" s="52" t="s">
        <v>362</v>
      </c>
      <c r="B9" s="75" t="s">
        <v>1187</v>
      </c>
    </row>
    <row r="10" spans="1:6" x14ac:dyDescent="0.2">
      <c r="A10" s="2">
        <v>1</v>
      </c>
    </row>
    <row r="11" spans="1:6" x14ac:dyDescent="0.2">
      <c r="A11" s="2">
        <f>A10+1</f>
        <v>2</v>
      </c>
      <c r="B11" s="405" t="s">
        <v>1644</v>
      </c>
      <c r="C11" s="14"/>
      <c r="D11" s="14"/>
      <c r="E11" s="14"/>
      <c r="F11" s="14"/>
    </row>
    <row r="12" spans="1:6" x14ac:dyDescent="0.2">
      <c r="A12" s="2">
        <f t="shared" ref="A12:A87" si="0">A11+1</f>
        <v>3</v>
      </c>
      <c r="B12" s="405" t="s">
        <v>1147</v>
      </c>
      <c r="C12" s="14"/>
      <c r="D12" s="14"/>
      <c r="E12" s="14"/>
      <c r="F12" s="14"/>
    </row>
    <row r="13" spans="1:6" x14ac:dyDescent="0.2">
      <c r="A13" s="2">
        <f t="shared" si="0"/>
        <v>4</v>
      </c>
      <c r="B13" s="405"/>
      <c r="C13" s="14"/>
      <c r="D13" s="14"/>
      <c r="E13" s="14"/>
      <c r="F13" s="14"/>
    </row>
    <row r="14" spans="1:6" x14ac:dyDescent="0.2">
      <c r="A14" s="2">
        <f t="shared" si="0"/>
        <v>5</v>
      </c>
      <c r="B14" s="1129" t="s">
        <v>2954</v>
      </c>
      <c r="C14" s="14"/>
      <c r="D14" s="14"/>
      <c r="E14" s="14"/>
      <c r="F14" s="14"/>
    </row>
    <row r="15" spans="1:6" x14ac:dyDescent="0.2">
      <c r="A15" s="2">
        <f t="shared" si="0"/>
        <v>6</v>
      </c>
      <c r="B15" s="406"/>
      <c r="C15" s="14"/>
      <c r="D15" s="14"/>
      <c r="E15" s="14"/>
      <c r="F15" s="14"/>
    </row>
    <row r="16" spans="1:6" x14ac:dyDescent="0.2">
      <c r="A16" s="2">
        <f t="shared" si="0"/>
        <v>7</v>
      </c>
      <c r="B16" s="405" t="s">
        <v>401</v>
      </c>
      <c r="C16" s="14"/>
      <c r="D16" s="14"/>
      <c r="E16" s="14"/>
      <c r="F16" s="403"/>
    </row>
    <row r="17" spans="1:6" x14ac:dyDescent="0.2">
      <c r="A17" s="2">
        <f t="shared" si="0"/>
        <v>8</v>
      </c>
      <c r="B17" s="407" t="s">
        <v>1143</v>
      </c>
      <c r="C17" s="14"/>
      <c r="D17" s="14"/>
      <c r="E17" s="14"/>
      <c r="F17" s="71"/>
    </row>
    <row r="18" spans="1:6" x14ac:dyDescent="0.2">
      <c r="A18" s="2">
        <f t="shared" si="0"/>
        <v>9</v>
      </c>
      <c r="B18" s="407" t="s">
        <v>1144</v>
      </c>
      <c r="C18" s="14"/>
      <c r="D18" s="14"/>
      <c r="E18" s="14"/>
      <c r="F18" s="71"/>
    </row>
    <row r="19" spans="1:6" x14ac:dyDescent="0.2">
      <c r="A19" s="2">
        <f t="shared" si="0"/>
        <v>10</v>
      </c>
      <c r="B19" s="407" t="s">
        <v>244</v>
      </c>
      <c r="C19" s="14"/>
      <c r="D19" s="14"/>
      <c r="E19" s="389"/>
      <c r="F19" s="64"/>
    </row>
    <row r="20" spans="1:6" x14ac:dyDescent="0.2">
      <c r="A20" s="2">
        <f t="shared" si="0"/>
        <v>11</v>
      </c>
      <c r="B20" s="44"/>
      <c r="C20" s="14"/>
      <c r="D20" s="389"/>
      <c r="E20" s="131" t="s">
        <v>226</v>
      </c>
      <c r="F20" s="14"/>
    </row>
    <row r="21" spans="1:6" x14ac:dyDescent="0.2">
      <c r="A21" s="2">
        <f t="shared" si="0"/>
        <v>12</v>
      </c>
      <c r="C21" s="389" t="s">
        <v>1202</v>
      </c>
      <c r="D21" s="404">
        <f>'1-BaseTRR'!K88</f>
        <v>2.4045192271003935E-2</v>
      </c>
      <c r="E21" s="46" t="str">
        <f>"1-BaseTRR, Line "&amp;'1-BaseTRR'!A88&amp;""</f>
        <v>1-BaseTRR, Line 50</v>
      </c>
      <c r="F21" s="14"/>
    </row>
    <row r="22" spans="1:6" x14ac:dyDescent="0.2">
      <c r="A22" s="2">
        <f t="shared" si="0"/>
        <v>13</v>
      </c>
      <c r="C22" s="389" t="s">
        <v>1203</v>
      </c>
      <c r="D22" s="404">
        <f>'1-BaseTRR'!K93</f>
        <v>5.0894164829164965E-2</v>
      </c>
      <c r="E22" s="46" t="str">
        <f>"1-BaseTRR, Line "&amp;'1-BaseTRR'!A93&amp;""</f>
        <v>1-BaseTRR, Line 54</v>
      </c>
      <c r="F22" s="14"/>
    </row>
    <row r="23" spans="1:6" x14ac:dyDescent="0.2">
      <c r="A23" s="2">
        <f t="shared" si="0"/>
        <v>14</v>
      </c>
      <c r="C23" s="389" t="s">
        <v>1146</v>
      </c>
      <c r="D23" s="404">
        <f>'1-BaseTRR'!K102</f>
        <v>0.39936028204298801</v>
      </c>
      <c r="E23" s="46" t="str">
        <f>"1-BaseTRR, Line "&amp;'1-BaseTRR'!A102&amp;""</f>
        <v>1-BaseTRR, Line 58</v>
      </c>
      <c r="F23" s="14"/>
    </row>
    <row r="24" spans="1:6" x14ac:dyDescent="0.2">
      <c r="A24" s="2">
        <f t="shared" si="0"/>
        <v>15</v>
      </c>
      <c r="B24" s="15"/>
      <c r="C24" s="14"/>
      <c r="D24" s="404"/>
      <c r="E24" s="46"/>
      <c r="F24" s="14"/>
    </row>
    <row r="25" spans="1:6" x14ac:dyDescent="0.2">
      <c r="A25" s="2">
        <f t="shared" si="0"/>
        <v>16</v>
      </c>
      <c r="C25" s="389" t="s">
        <v>1145</v>
      </c>
      <c r="D25" s="404">
        <f>D21 + (D22*(1/(1-D23)))</f>
        <v>0.10877845800020682</v>
      </c>
      <c r="E25" s="46" t="str">
        <f>"Line "&amp;A21&amp;" + (Line "&amp;A22&amp;" * (1/(1 - Line "&amp;A23&amp;")))"</f>
        <v>Line 12 + (Line 13 * (1/(1 - Line 14)))</v>
      </c>
      <c r="F25" s="14"/>
    </row>
    <row r="26" spans="1:6" x14ac:dyDescent="0.2">
      <c r="A26" s="2">
        <f t="shared" si="0"/>
        <v>17</v>
      </c>
      <c r="B26" s="15"/>
      <c r="C26" s="14"/>
      <c r="D26" s="389"/>
      <c r="E26" s="46"/>
      <c r="F26" s="14"/>
    </row>
    <row r="27" spans="1:6" x14ac:dyDescent="0.2">
      <c r="A27" s="2">
        <f t="shared" si="0"/>
        <v>18</v>
      </c>
      <c r="B27" s="75" t="s">
        <v>1096</v>
      </c>
      <c r="C27" s="14"/>
      <c r="D27" s="389"/>
      <c r="E27" s="46"/>
      <c r="F27" s="14"/>
    </row>
    <row r="28" spans="1:6" x14ac:dyDescent="0.2">
      <c r="A28" s="2">
        <f t="shared" si="0"/>
        <v>19</v>
      </c>
      <c r="B28" s="15"/>
      <c r="C28" s="14"/>
      <c r="D28" s="389"/>
      <c r="E28" s="46"/>
      <c r="F28" s="14"/>
    </row>
    <row r="29" spans="1:6" x14ac:dyDescent="0.2">
      <c r="A29" s="2">
        <f t="shared" si="0"/>
        <v>20</v>
      </c>
      <c r="B29" s="405" t="s">
        <v>1204</v>
      </c>
      <c r="C29" s="14"/>
      <c r="D29" s="389"/>
      <c r="E29" s="46"/>
      <c r="F29" s="14"/>
    </row>
    <row r="30" spans="1:6" x14ac:dyDescent="0.2">
      <c r="A30" s="2">
        <f t="shared" si="0"/>
        <v>21</v>
      </c>
      <c r="B30" s="405" t="s">
        <v>1205</v>
      </c>
      <c r="C30" s="14"/>
      <c r="D30" s="389"/>
      <c r="E30" s="46"/>
      <c r="F30" s="14"/>
    </row>
    <row r="31" spans="1:6" x14ac:dyDescent="0.2">
      <c r="A31" s="2">
        <f t="shared" si="0"/>
        <v>22</v>
      </c>
      <c r="C31" s="14"/>
      <c r="D31" s="389"/>
      <c r="E31" s="46"/>
      <c r="F31" s="14"/>
    </row>
    <row r="32" spans="1:6" x14ac:dyDescent="0.2">
      <c r="A32" s="2">
        <f t="shared" si="0"/>
        <v>23</v>
      </c>
      <c r="B32" s="407" t="s">
        <v>1148</v>
      </c>
      <c r="C32" s="14"/>
      <c r="D32" s="389"/>
      <c r="E32" s="46"/>
      <c r="F32" s="14"/>
    </row>
    <row r="33" spans="1:11" x14ac:dyDescent="0.2">
      <c r="A33" s="2">
        <f t="shared" si="0"/>
        <v>24</v>
      </c>
      <c r="F33" s="14"/>
    </row>
    <row r="34" spans="1:11" x14ac:dyDescent="0.2">
      <c r="A34" s="2">
        <f t="shared" si="0"/>
        <v>25</v>
      </c>
      <c r="B34" s="75" t="s">
        <v>1186</v>
      </c>
      <c r="F34" s="14"/>
    </row>
    <row r="35" spans="1:11" x14ac:dyDescent="0.2">
      <c r="A35" s="2">
        <f t="shared" si="0"/>
        <v>26</v>
      </c>
      <c r="B35" s="12"/>
      <c r="E35" s="3" t="s">
        <v>226</v>
      </c>
      <c r="F35" s="14"/>
    </row>
    <row r="36" spans="1:11" x14ac:dyDescent="0.2">
      <c r="A36" s="2">
        <f t="shared" si="0"/>
        <v>27</v>
      </c>
      <c r="C36" s="99" t="s">
        <v>1154</v>
      </c>
      <c r="D36" s="108">
        <f>'6-PlantInService'!M23</f>
        <v>4040461240.359776</v>
      </c>
      <c r="E36" s="46" t="str">
        <f>"6-PlantInService, Line "&amp;'6-PlantInService'!A23&amp;""</f>
        <v>6-PlantInService, Line 13</v>
      </c>
      <c r="F36" s="14"/>
      <c r="G36" s="14"/>
    </row>
    <row r="37" spans="1:11" x14ac:dyDescent="0.2">
      <c r="A37" s="2">
        <f t="shared" si="0"/>
        <v>28</v>
      </c>
      <c r="C37" s="99" t="s">
        <v>1155</v>
      </c>
      <c r="D37" s="108">
        <f>'6-PlantInService'!F35</f>
        <v>6848749.5105547179</v>
      </c>
      <c r="E37" s="46" t="str">
        <f>"6-PlantInService, Line "&amp;'6-PlantInService'!A35&amp;""</f>
        <v>6-PlantInService, Line 16</v>
      </c>
      <c r="F37" s="14"/>
      <c r="G37" s="14"/>
    </row>
    <row r="38" spans="1:11" x14ac:dyDescent="0.2">
      <c r="A38" s="2">
        <f t="shared" si="0"/>
        <v>29</v>
      </c>
      <c r="C38" s="99" t="s">
        <v>1184</v>
      </c>
      <c r="D38" s="108">
        <f>'8-AccDep'!N24</f>
        <v>1026456649.907019</v>
      </c>
      <c r="E38" s="46" t="str">
        <f>"8-AccDep, Line "&amp;'8-AccDep'!A24&amp;""</f>
        <v>8-AccDep, Line 13</v>
      </c>
      <c r="F38" s="14"/>
      <c r="G38" s="14"/>
    </row>
    <row r="39" spans="1:11" x14ac:dyDescent="0.2">
      <c r="A39" s="2">
        <f t="shared" si="0"/>
        <v>30</v>
      </c>
      <c r="C39" s="99" t="s">
        <v>1185</v>
      </c>
      <c r="D39" s="97">
        <f>'8-AccDep'!G34</f>
        <v>1162219.8219104377</v>
      </c>
      <c r="E39" s="46" t="str">
        <f>"8-AccDep, Line "&amp;'8-AccDep'!A34&amp;""</f>
        <v>8-AccDep, Line 16</v>
      </c>
      <c r="F39" s="14"/>
      <c r="G39" s="14"/>
    </row>
    <row r="40" spans="1:11" x14ac:dyDescent="0.2">
      <c r="A40" s="2">
        <f t="shared" si="0"/>
        <v>31</v>
      </c>
      <c r="C40" s="99" t="s">
        <v>1097</v>
      </c>
      <c r="D40" s="7">
        <f>(D36+D37)-(D38+D39)</f>
        <v>3019691120.1414013</v>
      </c>
      <c r="E40" s="46" t="str">
        <f>"(L"&amp;A36&amp;" + L"&amp;A37&amp;") - (L"&amp;A38&amp;" + L"&amp;A39&amp;")"</f>
        <v>(L27 + L28) - (L29 + L30)</v>
      </c>
      <c r="F40" s="14"/>
      <c r="G40" s="14"/>
    </row>
    <row r="41" spans="1:11" x14ac:dyDescent="0.2">
      <c r="A41" s="2">
        <f t="shared" si="0"/>
        <v>32</v>
      </c>
      <c r="C41" s="99"/>
      <c r="D41" s="7"/>
      <c r="E41" s="46"/>
      <c r="F41" s="14"/>
      <c r="G41" s="14"/>
    </row>
    <row r="42" spans="1:11" x14ac:dyDescent="0.2">
      <c r="A42" s="2">
        <f t="shared" si="0"/>
        <v>33</v>
      </c>
      <c r="B42" s="75" t="s">
        <v>1622</v>
      </c>
      <c r="E42" s="14"/>
      <c r="F42" s="14"/>
      <c r="G42" s="14"/>
    </row>
    <row r="43" spans="1:11" x14ac:dyDescent="0.2">
      <c r="A43" s="534">
        <f t="shared" si="0"/>
        <v>34</v>
      </c>
      <c r="B43" s="75"/>
      <c r="E43" s="14"/>
      <c r="F43" s="14"/>
      <c r="G43" s="14"/>
    </row>
    <row r="44" spans="1:11" x14ac:dyDescent="0.2">
      <c r="A44" s="534">
        <f t="shared" si="0"/>
        <v>35</v>
      </c>
      <c r="B44" s="75" t="s">
        <v>1623</v>
      </c>
      <c r="E44" s="14"/>
      <c r="F44" s="14"/>
      <c r="G44" s="14"/>
    </row>
    <row r="45" spans="1:11" x14ac:dyDescent="0.2">
      <c r="A45" s="534">
        <f t="shared" si="0"/>
        <v>36</v>
      </c>
      <c r="B45" s="56" t="s">
        <v>1624</v>
      </c>
      <c r="E45" s="14"/>
      <c r="F45" s="14"/>
      <c r="G45" s="14"/>
    </row>
    <row r="46" spans="1:11" x14ac:dyDescent="0.2">
      <c r="A46" s="534">
        <f t="shared" si="0"/>
        <v>37</v>
      </c>
      <c r="B46" s="75"/>
      <c r="C46" s="99" t="s">
        <v>1645</v>
      </c>
      <c r="D46" s="108">
        <f>'10-CWIP'!D25</f>
        <v>1696304100.4639215</v>
      </c>
      <c r="E46" s="46" t="str">
        <f>"10-CWIP, L "&amp;'10-CWIP'!A25&amp;" C1"</f>
        <v>10-CWIP, L 13 C1</v>
      </c>
      <c r="F46" s="14"/>
      <c r="G46" s="14"/>
      <c r="K46" s="7"/>
    </row>
    <row r="47" spans="1:11" x14ac:dyDescent="0.2">
      <c r="A47" s="534">
        <f t="shared" si="0"/>
        <v>38</v>
      </c>
      <c r="B47" s="75"/>
      <c r="C47" s="99" t="s">
        <v>389</v>
      </c>
      <c r="D47" s="132">
        <f>D25</f>
        <v>0.10877845800020682</v>
      </c>
      <c r="E47" s="46" t="str">
        <f>"Line "&amp;A25&amp;""</f>
        <v>Line 16</v>
      </c>
      <c r="F47" s="14"/>
      <c r="G47" s="14"/>
      <c r="K47" s="7"/>
    </row>
    <row r="48" spans="1:11" x14ac:dyDescent="0.2">
      <c r="A48" s="534">
        <f t="shared" si="0"/>
        <v>39</v>
      </c>
      <c r="B48" s="75"/>
      <c r="C48" s="99" t="s">
        <v>1617</v>
      </c>
      <c r="D48" s="108">
        <f>D46*D47</f>
        <v>184521344.3478933</v>
      </c>
      <c r="E48" s="46" t="str">
        <f>"Line "&amp;A46&amp;" * Line "&amp;A47&amp;""</f>
        <v>Line 37 * Line 38</v>
      </c>
      <c r="F48" s="14"/>
      <c r="G48" s="14"/>
      <c r="K48" s="7"/>
    </row>
    <row r="49" spans="1:11" x14ac:dyDescent="0.2">
      <c r="A49" s="534">
        <f t="shared" si="0"/>
        <v>40</v>
      </c>
      <c r="B49" s="75"/>
      <c r="C49" s="99"/>
      <c r="D49" s="108"/>
      <c r="E49" s="46"/>
      <c r="F49" s="14"/>
      <c r="G49" s="14"/>
      <c r="K49" s="7"/>
    </row>
    <row r="50" spans="1:11" x14ac:dyDescent="0.2">
      <c r="A50" s="534">
        <f t="shared" si="0"/>
        <v>41</v>
      </c>
      <c r="B50" s="56" t="s">
        <v>1625</v>
      </c>
      <c r="E50" s="14"/>
      <c r="F50" s="14"/>
      <c r="G50" s="14"/>
      <c r="K50" s="7"/>
    </row>
    <row r="51" spans="1:11" x14ac:dyDescent="0.2">
      <c r="A51" s="534">
        <f t="shared" si="0"/>
        <v>42</v>
      </c>
      <c r="B51" s="75"/>
      <c r="C51" s="99" t="s">
        <v>1631</v>
      </c>
      <c r="D51" s="108">
        <f>'15-IncentiveAdder'!G17</f>
        <v>7842.8741335702634</v>
      </c>
      <c r="E51" s="120" t="str">
        <f>"15-IncentiveAdder, Line "&amp;'15-IncentiveAdder'!A17&amp;""</f>
        <v>15-IncentiveAdder, Line 3</v>
      </c>
      <c r="F51" s="14"/>
      <c r="G51" s="14"/>
      <c r="K51" s="7"/>
    </row>
    <row r="52" spans="1:11" x14ac:dyDescent="0.2">
      <c r="A52" s="534">
        <f t="shared" si="0"/>
        <v>43</v>
      </c>
      <c r="B52" s="75"/>
      <c r="C52" s="99"/>
      <c r="E52" s="14"/>
      <c r="F52" s="14"/>
      <c r="G52" s="14"/>
      <c r="K52" s="7"/>
    </row>
    <row r="53" spans="1:11" x14ac:dyDescent="0.2">
      <c r="A53" s="534">
        <f t="shared" si="0"/>
        <v>44</v>
      </c>
      <c r="B53" s="75"/>
      <c r="C53" s="99" t="s">
        <v>1604</v>
      </c>
      <c r="D53" s="7">
        <f>'10-CWIP'!E25</f>
        <v>786298777.73778844</v>
      </c>
      <c r="E53" s="46" t="str">
        <f>"10-CWIP, Line "&amp;'10-CWIP'!A25&amp;""</f>
        <v>10-CWIP, Line 13</v>
      </c>
      <c r="F53" s="15"/>
      <c r="G53" s="14"/>
      <c r="K53" s="7"/>
    </row>
    <row r="54" spans="1:11" x14ac:dyDescent="0.2">
      <c r="A54" s="534">
        <f t="shared" si="0"/>
        <v>45</v>
      </c>
      <c r="B54" s="75"/>
      <c r="C54" s="99" t="s">
        <v>1628</v>
      </c>
      <c r="D54" s="42">
        <f>'15-IncentiveAdder'!E26</f>
        <v>1.2500000000000001E-2</v>
      </c>
      <c r="E54" s="120" t="str">
        <f>"15-IncentiveAdder, Line "&amp;'15-IncentiveAdder'!A26&amp;""</f>
        <v>15-IncentiveAdder, Line 5</v>
      </c>
      <c r="F54" s="15"/>
      <c r="G54" s="14"/>
      <c r="K54" s="7"/>
    </row>
    <row r="55" spans="1:11" x14ac:dyDescent="0.2">
      <c r="A55" s="534">
        <f t="shared" si="0"/>
        <v>46</v>
      </c>
      <c r="B55" s="75"/>
      <c r="C55" s="99" t="s">
        <v>1627</v>
      </c>
      <c r="D55" s="7">
        <f>(D53/1000000)*($D$51*(D54/0.01))</f>
        <v>7708552.9314720184</v>
      </c>
      <c r="E55" s="547" t="str">
        <f>"Formula on Line "&amp;A61&amp;""</f>
        <v>Formula on Line 52</v>
      </c>
      <c r="F55" s="14"/>
      <c r="G55" s="14"/>
      <c r="K55" s="7"/>
    </row>
    <row r="56" spans="1:11" x14ac:dyDescent="0.2">
      <c r="A56" s="534">
        <f t="shared" si="0"/>
        <v>47</v>
      </c>
      <c r="B56" s="75"/>
      <c r="C56" s="99"/>
      <c r="E56" s="64"/>
      <c r="F56" s="14"/>
      <c r="G56" s="14"/>
      <c r="K56" s="7"/>
    </row>
    <row r="57" spans="1:11" x14ac:dyDescent="0.2">
      <c r="A57" s="534">
        <f t="shared" si="0"/>
        <v>48</v>
      </c>
      <c r="C57" s="99" t="s">
        <v>1626</v>
      </c>
      <c r="D57" s="7">
        <f>'10-CWIP'!F25</f>
        <v>536335938.83999997</v>
      </c>
      <c r="E57" s="46" t="str">
        <f>"10-CWIP, Line "&amp;'10-CWIP'!A25&amp;""</f>
        <v>10-CWIP, Line 13</v>
      </c>
      <c r="F57" s="14"/>
      <c r="G57" s="14"/>
      <c r="K57" s="7"/>
    </row>
    <row r="58" spans="1:11" x14ac:dyDescent="0.2">
      <c r="A58" s="534">
        <f t="shared" si="0"/>
        <v>49</v>
      </c>
      <c r="C58" s="99" t="s">
        <v>1629</v>
      </c>
      <c r="D58" s="42">
        <f>'15-IncentiveAdder'!E27</f>
        <v>0.01</v>
      </c>
      <c r="E58" s="120" t="str">
        <f>"15-IncentiveAdder, Line "&amp;'15-IncentiveAdder'!A27&amp;""</f>
        <v>15-IncentiveAdder, Line 6</v>
      </c>
      <c r="F58" s="14"/>
      <c r="G58" s="14"/>
      <c r="K58" s="7"/>
    </row>
    <row r="59" spans="1:11" x14ac:dyDescent="0.2">
      <c r="A59" s="534">
        <f t="shared" si="0"/>
        <v>50</v>
      </c>
      <c r="C59" s="99" t="s">
        <v>1630</v>
      </c>
      <c r="D59" s="7">
        <f>(D57/1000000)*($D$51*(D58/0.01))</f>
        <v>4206415.2616323587</v>
      </c>
      <c r="E59" s="46" t="str">
        <f>"Formula on Line "&amp;A61&amp;""</f>
        <v>Formula on Line 52</v>
      </c>
      <c r="F59" s="14"/>
      <c r="G59" s="14"/>
      <c r="K59" s="7"/>
    </row>
    <row r="60" spans="1:11" x14ac:dyDescent="0.2">
      <c r="A60" s="534">
        <f t="shared" si="0"/>
        <v>51</v>
      </c>
      <c r="C60" s="99"/>
      <c r="D60" s="7"/>
      <c r="E60" s="46"/>
      <c r="F60" s="14"/>
      <c r="G60" s="14"/>
      <c r="K60" s="7"/>
    </row>
    <row r="61" spans="1:11" x14ac:dyDescent="0.2">
      <c r="A61" s="534">
        <f t="shared" si="0"/>
        <v>52</v>
      </c>
      <c r="C61" s="51" t="s">
        <v>1606</v>
      </c>
      <c r="D61" s="7"/>
      <c r="E61" s="46"/>
      <c r="F61" s="14"/>
      <c r="G61" s="14"/>
      <c r="K61" s="7"/>
    </row>
    <row r="62" spans="1:11" x14ac:dyDescent="0.2">
      <c r="A62" s="534">
        <f t="shared" si="0"/>
        <v>53</v>
      </c>
      <c r="E62" s="14"/>
      <c r="F62" s="14"/>
      <c r="G62" s="14"/>
      <c r="K62" s="7"/>
    </row>
    <row r="63" spans="1:11" x14ac:dyDescent="0.2">
      <c r="A63" s="534">
        <f t="shared" si="0"/>
        <v>54</v>
      </c>
      <c r="C63" s="546" t="s">
        <v>1671</v>
      </c>
      <c r="D63" s="108">
        <f>D48+D55+D59</f>
        <v>196436312.54099765</v>
      </c>
      <c r="E63" s="46" t="str">
        <f>"Line "&amp;A48&amp;" + Line "&amp;A55&amp;" + Line "&amp;A59&amp;""</f>
        <v>Line 39 + Line 46 + Line 50</v>
      </c>
      <c r="F63" s="14"/>
      <c r="G63" s="14"/>
      <c r="K63" s="7"/>
    </row>
    <row r="64" spans="1:11" x14ac:dyDescent="0.2">
      <c r="A64" s="545">
        <f t="shared" si="0"/>
        <v>55</v>
      </c>
      <c r="C64" s="546" t="s">
        <v>1670</v>
      </c>
      <c r="D64" s="97">
        <f>('28-FFU'!D22+'28-FFU'!E22)*D63</f>
        <v>2199497.3915215502</v>
      </c>
      <c r="E64" s="547" t="str">
        <f>"(28-FFU, L"&amp;'28-FFU'!A22&amp;" FF Factor + U Factor) * L"&amp;A63&amp;""</f>
        <v>(28-FFU, L5 FF Factor + U Factor) * L54</v>
      </c>
      <c r="F64" s="14"/>
      <c r="G64" s="14"/>
      <c r="K64" s="7"/>
    </row>
    <row r="65" spans="1:11" x14ac:dyDescent="0.2">
      <c r="A65" s="545">
        <f t="shared" si="0"/>
        <v>56</v>
      </c>
      <c r="C65" s="546" t="s">
        <v>1672</v>
      </c>
      <c r="D65" s="108">
        <f>SUM(D63:D64)</f>
        <v>198635809.9325192</v>
      </c>
      <c r="E65" s="46" t="str">
        <f>"Line "&amp;A63&amp;" + Line "&amp;A64&amp;""</f>
        <v>Line 54 + Line 55</v>
      </c>
      <c r="F65" s="14"/>
      <c r="K65" s="7"/>
    </row>
    <row r="66" spans="1:11" x14ac:dyDescent="0.2">
      <c r="A66" s="545">
        <f t="shared" si="0"/>
        <v>57</v>
      </c>
      <c r="C66" s="99"/>
      <c r="D66" s="108"/>
      <c r="E66" s="46"/>
      <c r="F66" s="14"/>
      <c r="K66" s="7"/>
    </row>
    <row r="67" spans="1:11" x14ac:dyDescent="0.2">
      <c r="A67" s="545">
        <f t="shared" si="0"/>
        <v>58</v>
      </c>
      <c r="B67" s="75" t="s">
        <v>1632</v>
      </c>
      <c r="C67" s="99"/>
      <c r="D67" s="108"/>
      <c r="E67" s="46"/>
      <c r="F67" s="14"/>
      <c r="K67" s="7"/>
    </row>
    <row r="68" spans="1:11" x14ac:dyDescent="0.2">
      <c r="A68" s="545">
        <f t="shared" si="0"/>
        <v>59</v>
      </c>
      <c r="F68" s="14"/>
      <c r="K68" s="7"/>
    </row>
    <row r="69" spans="1:11" x14ac:dyDescent="0.2">
      <c r="A69" s="117">
        <f t="shared" si="0"/>
        <v>60</v>
      </c>
      <c r="B69" s="14"/>
      <c r="C69" s="1126" t="s">
        <v>1671</v>
      </c>
      <c r="D69" s="47">
        <f>D63</f>
        <v>196436312.54099765</v>
      </c>
      <c r="E69" s="46" t="str">
        <f>"Line "&amp;A63&amp;""</f>
        <v>Line 54</v>
      </c>
      <c r="F69" s="14"/>
      <c r="K69" s="7"/>
    </row>
    <row r="70" spans="1:11" x14ac:dyDescent="0.2">
      <c r="A70" s="117">
        <f t="shared" si="0"/>
        <v>61</v>
      </c>
      <c r="B70" s="14"/>
      <c r="C70" s="1126" t="s">
        <v>2017</v>
      </c>
      <c r="D70" s="47">
        <f>'1-BaseTRR'!K136</f>
        <v>685350235.1075865</v>
      </c>
      <c r="E70" s="46" t="str">
        <f>"1-BaseTRR, Line "&amp;'1-BaseTRR'!A136&amp;""</f>
        <v>1-BaseTRR, Line 77</v>
      </c>
      <c r="F70" s="14"/>
      <c r="K70" s="7"/>
    </row>
    <row r="71" spans="1:11" x14ac:dyDescent="0.2">
      <c r="A71" s="117">
        <f t="shared" si="0"/>
        <v>62</v>
      </c>
      <c r="B71" s="14"/>
      <c r="C71" s="389" t="s">
        <v>1646</v>
      </c>
      <c r="D71" s="47">
        <f>D70-D69</f>
        <v>488913922.56658888</v>
      </c>
      <c r="E71" s="46" t="str">
        <f>"Line "&amp;A70&amp;" - Line "&amp;A69&amp;""</f>
        <v>Line 61 - Line 60</v>
      </c>
      <c r="F71" s="14"/>
      <c r="K71" s="7"/>
    </row>
    <row r="72" spans="1:11" x14ac:dyDescent="0.2">
      <c r="A72" s="117">
        <f t="shared" si="0"/>
        <v>63</v>
      </c>
      <c r="B72" s="14"/>
      <c r="C72" s="1127" t="s">
        <v>2257</v>
      </c>
      <c r="D72" s="64">
        <f>('1-BaseTRR'!K124+'1-BaseTRR'!K125)*0.75</f>
        <v>84962354.922141492</v>
      </c>
      <c r="E72" s="46" t="str">
        <f>"(1-BaseTRR, Line "&amp;'1-BaseTRR'!A124&amp;" + Line "&amp;'1-BaseTRR'!A125&amp;") * .75"</f>
        <v>(1-BaseTRR, Line 65 + Line 66) * .75</v>
      </c>
      <c r="F72" s="14"/>
      <c r="K72" s="7"/>
    </row>
    <row r="73" spans="1:11" x14ac:dyDescent="0.2">
      <c r="A73" s="117">
        <f t="shared" si="0"/>
        <v>64</v>
      </c>
      <c r="B73" s="14"/>
      <c r="C73" s="389" t="s">
        <v>301</v>
      </c>
      <c r="D73" s="1124">
        <f xml:space="preserve"> (D71-D72)/D40</f>
        <v>0.1337724792281178</v>
      </c>
      <c r="E73" s="46" t="str">
        <f>"(Line "&amp;A71&amp;" - Line "&amp;A72&amp;") / Line "&amp;A40&amp;""</f>
        <v>(Line 62 - Line 63) / Line 31</v>
      </c>
      <c r="F73" s="14"/>
      <c r="K73" s="7"/>
    </row>
    <row r="74" spans="1:11" x14ac:dyDescent="0.2">
      <c r="A74" s="117">
        <f t="shared" si="0"/>
        <v>65</v>
      </c>
      <c r="B74" s="14"/>
      <c r="C74" s="14"/>
      <c r="D74" s="64"/>
      <c r="E74" s="46"/>
      <c r="F74" s="14"/>
    </row>
    <row r="75" spans="1:11" x14ac:dyDescent="0.2">
      <c r="A75" s="117">
        <f t="shared" si="0"/>
        <v>66</v>
      </c>
      <c r="B75" s="44" t="s">
        <v>387</v>
      </c>
      <c r="C75" s="14"/>
      <c r="D75" s="14"/>
      <c r="E75" s="14"/>
      <c r="F75" s="14"/>
    </row>
    <row r="76" spans="1:11" x14ac:dyDescent="0.2">
      <c r="A76" s="117">
        <f t="shared" si="0"/>
        <v>67</v>
      </c>
      <c r="B76" s="14"/>
      <c r="C76" s="14"/>
      <c r="D76" s="14"/>
      <c r="E76" s="14"/>
      <c r="F76" s="14"/>
    </row>
    <row r="77" spans="1:11" x14ac:dyDescent="0.2">
      <c r="A77" s="117">
        <f t="shared" si="0"/>
        <v>68</v>
      </c>
      <c r="B77" s="14"/>
      <c r="C77" s="14"/>
      <c r="D77" s="14"/>
      <c r="E77" s="131" t="s">
        <v>226</v>
      </c>
      <c r="F77" s="14"/>
      <c r="I77" s="1"/>
    </row>
    <row r="78" spans="1:11" x14ac:dyDescent="0.2">
      <c r="A78" s="117">
        <f t="shared" si="0"/>
        <v>69</v>
      </c>
      <c r="B78" s="14"/>
      <c r="C78" s="389" t="s">
        <v>300</v>
      </c>
      <c r="D78" s="64">
        <f>'16-PlantAdditions'!N37</f>
        <v>2310853683.4595442</v>
      </c>
      <c r="E78" s="46" t="str">
        <f>"16-PlantAdditions, L "&amp;'16-PlantAdditions'!A37&amp;", C10"</f>
        <v>16-PlantAdditions, L 25, C10</v>
      </c>
      <c r="F78" s="14"/>
      <c r="K78" s="7"/>
    </row>
    <row r="79" spans="1:11" x14ac:dyDescent="0.2">
      <c r="A79" s="117">
        <f t="shared" si="0"/>
        <v>70</v>
      </c>
      <c r="B79" s="14"/>
      <c r="C79" s="389" t="s">
        <v>301</v>
      </c>
      <c r="D79" s="1128">
        <f>D73</f>
        <v>0.1337724792281178</v>
      </c>
      <c r="E79" s="46" t="str">
        <f>"Line "&amp;A73&amp;""</f>
        <v>Line 64</v>
      </c>
      <c r="F79" s="14"/>
      <c r="K79" s="829"/>
    </row>
    <row r="80" spans="1:11" x14ac:dyDescent="0.2">
      <c r="A80" s="117">
        <f t="shared" si="0"/>
        <v>71</v>
      </c>
      <c r="B80" s="14"/>
      <c r="C80" s="389" t="s">
        <v>388</v>
      </c>
      <c r="D80" s="64">
        <f>D78*D79</f>
        <v>309128626.36981136</v>
      </c>
      <c r="E80" s="46" t="str">
        <f>"Line "&amp;A78&amp;" * Line "&amp;A79&amp;""</f>
        <v>Line 69 * Line 70</v>
      </c>
      <c r="F80" s="14"/>
      <c r="K80" s="7"/>
    </row>
    <row r="81" spans="1:11" x14ac:dyDescent="0.2">
      <c r="A81" s="117">
        <f t="shared" si="0"/>
        <v>72</v>
      </c>
      <c r="B81" s="14"/>
      <c r="C81" s="14"/>
      <c r="D81" s="14"/>
      <c r="E81" s="14"/>
      <c r="F81" s="14"/>
      <c r="K81" s="7"/>
    </row>
    <row r="82" spans="1:11" x14ac:dyDescent="0.2">
      <c r="A82" s="117">
        <f t="shared" si="0"/>
        <v>73</v>
      </c>
      <c r="B82" s="14"/>
      <c r="C82" s="389" t="s">
        <v>391</v>
      </c>
      <c r="D82" s="64">
        <f>'10-CWIP'!K79</f>
        <v>-945609802.73903346</v>
      </c>
      <c r="E82" s="46" t="str">
        <f>"10-CWIP, L "&amp;'10-CWIP'!A79&amp;", C8"</f>
        <v>10-CWIP, L 54, C8</v>
      </c>
      <c r="F82" s="14"/>
      <c r="K82" s="7"/>
    </row>
    <row r="83" spans="1:11" x14ac:dyDescent="0.2">
      <c r="A83" s="117">
        <f t="shared" si="0"/>
        <v>74</v>
      </c>
      <c r="B83" s="14"/>
      <c r="C83" s="389" t="s">
        <v>389</v>
      </c>
      <c r="D83" s="1128">
        <f>D25</f>
        <v>0.10877845800020682</v>
      </c>
      <c r="E83" s="46" t="str">
        <f>"Line "&amp;A25&amp;""</f>
        <v>Line 16</v>
      </c>
      <c r="F83" s="14"/>
      <c r="K83" s="829"/>
    </row>
    <row r="84" spans="1:11" x14ac:dyDescent="0.2">
      <c r="A84" s="117">
        <f t="shared" si="0"/>
        <v>75</v>
      </c>
      <c r="B84" s="14"/>
      <c r="C84" s="389" t="s">
        <v>390</v>
      </c>
      <c r="D84" s="64">
        <f>D82*D83</f>
        <v>-102861976.21183181</v>
      </c>
      <c r="E84" s="46" t="str">
        <f>"Line "&amp;A82&amp;" * Line "&amp;A83&amp;""</f>
        <v>Line 73 * Line 74</v>
      </c>
      <c r="F84" s="14"/>
      <c r="K84" s="7"/>
    </row>
    <row r="85" spans="1:11" x14ac:dyDescent="0.2">
      <c r="A85" s="117">
        <f t="shared" si="0"/>
        <v>76</v>
      </c>
      <c r="B85" s="14"/>
      <c r="C85" s="14"/>
      <c r="D85" s="14"/>
      <c r="E85" s="14"/>
      <c r="F85" s="14"/>
      <c r="K85" s="7"/>
    </row>
    <row r="86" spans="1:11" x14ac:dyDescent="0.2">
      <c r="A86" s="117">
        <f t="shared" si="0"/>
        <v>77</v>
      </c>
      <c r="B86" s="14"/>
      <c r="C86" s="389" t="s">
        <v>1655</v>
      </c>
      <c r="D86" s="64">
        <f>D80+D84</f>
        <v>206266650.15797955</v>
      </c>
      <c r="E86" s="46" t="str">
        <f>"Line "&amp;A80&amp;" + Line "&amp;A84&amp;""</f>
        <v>Line 71 + Line 75</v>
      </c>
      <c r="F86" s="14"/>
      <c r="K86" s="7"/>
    </row>
    <row r="87" spans="1:11" x14ac:dyDescent="0.2">
      <c r="A87" s="117">
        <f t="shared" si="0"/>
        <v>78</v>
      </c>
      <c r="B87" s="14"/>
      <c r="C87" s="14"/>
      <c r="D87" s="14"/>
      <c r="E87" s="14"/>
      <c r="F87" s="14"/>
      <c r="K87" s="7"/>
    </row>
    <row r="88" spans="1:11" x14ac:dyDescent="0.2">
      <c r="A88" s="117">
        <f t="shared" ref="A88:A91" si="1">A87+1</f>
        <v>79</v>
      </c>
      <c r="B88" s="14"/>
      <c r="C88" s="389" t="s">
        <v>1656</v>
      </c>
      <c r="D88" s="64">
        <f>'28-FFU'!D22*D86</f>
        <v>1885854.7290643754</v>
      </c>
      <c r="E88" s="120" t="str">
        <f>"Line "&amp;A86&amp;" * FF (from 28-FFU, L "&amp;'28-FFU'!A22&amp;")"</f>
        <v>Line 77 * FF (from 28-FFU, L 5)</v>
      </c>
      <c r="F88" s="14"/>
      <c r="K88" s="7"/>
    </row>
    <row r="89" spans="1:11" x14ac:dyDescent="0.2">
      <c r="A89" s="117">
        <f t="shared" si="1"/>
        <v>80</v>
      </c>
      <c r="B89" s="14"/>
      <c r="C89" s="84" t="s">
        <v>1657</v>
      </c>
      <c r="D89" s="64">
        <f>'28-FFU'!E22*D86</f>
        <v>423712.95275452157</v>
      </c>
      <c r="E89" s="120" t="str">
        <f>"Line "&amp;A86&amp;" * U (from 28-FFU, L "&amp;'28-FFU'!A22&amp;")"</f>
        <v>Line 77 * U (from 28-FFU, L 5)</v>
      </c>
      <c r="F89" s="14"/>
      <c r="K89" s="7"/>
    </row>
    <row r="90" spans="1:11" x14ac:dyDescent="0.2">
      <c r="A90" s="117">
        <f t="shared" si="1"/>
        <v>81</v>
      </c>
      <c r="B90" s="14"/>
      <c r="C90" s="14"/>
      <c r="D90" s="64"/>
      <c r="E90" s="14"/>
      <c r="F90" s="14"/>
      <c r="K90" s="7"/>
    </row>
    <row r="91" spans="1:11" x14ac:dyDescent="0.2">
      <c r="A91" s="117">
        <f t="shared" si="1"/>
        <v>82</v>
      </c>
      <c r="B91" s="14"/>
      <c r="C91" s="84" t="s">
        <v>392</v>
      </c>
      <c r="D91" s="64">
        <f>D86+D88+D89</f>
        <v>208576217.83979845</v>
      </c>
      <c r="E91" s="46" t="str">
        <f>"Line "&amp;A86&amp;" + Line "&amp;A88&amp;" + Line "&amp;A89&amp;""</f>
        <v>Line 77 + Line 79 + Line 80</v>
      </c>
      <c r="F91" s="14"/>
      <c r="K91" s="7"/>
    </row>
  </sheetData>
  <phoneticPr fontId="12" type="noConversion"/>
  <pageMargins left="0.75" right="0.75" top="1" bottom="1" header="0.5" footer="0.5"/>
  <pageSetup scale="75" orientation="portrait" cellComments="asDisplayed" r:id="rId1"/>
  <headerFooter alignWithMargins="0">
    <oddHeader>&amp;CSchedule 2
Incremental Forecast Period TRR
&amp;RTO8 Annual Update (Revised)
Attachment  1</oddHeader>
    <oddFooter>&amp;R&amp;A</oddFooter>
  </headerFooter>
  <rowBreaks count="1" manualBreakCount="1">
    <brk id="6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3"/>
  <sheetViews>
    <sheetView view="pageLayout" zoomScaleNormal="90" workbookViewId="0">
      <selection activeCell="C64" sqref="C64"/>
    </sheetView>
  </sheetViews>
  <sheetFormatPr defaultRowHeight="12.75" x14ac:dyDescent="0.2"/>
  <cols>
    <col min="1" max="1" width="4.7109375" customWidth="1"/>
    <col min="2" max="2" width="6.7109375" customWidth="1"/>
    <col min="3" max="5" width="14.7109375" customWidth="1"/>
    <col min="6" max="6" width="15.5703125" customWidth="1"/>
    <col min="7" max="7" width="14.7109375" customWidth="1"/>
    <col min="8" max="8" width="15.85546875" customWidth="1"/>
    <col min="9" max="9" width="15.7109375" customWidth="1"/>
    <col min="10" max="10" width="15.140625" customWidth="1"/>
    <col min="11" max="11" width="14.7109375" customWidth="1"/>
    <col min="12" max="12" width="15.28515625" customWidth="1"/>
    <col min="13" max="16" width="12.7109375" customWidth="1"/>
  </cols>
  <sheetData>
    <row r="1" spans="1:12" x14ac:dyDescent="0.2">
      <c r="A1" s="1" t="s">
        <v>1965</v>
      </c>
      <c r="B1" s="247"/>
      <c r="C1" s="247"/>
      <c r="D1" s="247"/>
      <c r="E1" s="247"/>
      <c r="F1" s="247"/>
      <c r="G1" s="247"/>
      <c r="H1" s="247"/>
      <c r="I1" s="247"/>
      <c r="J1" s="247"/>
      <c r="K1" s="247"/>
      <c r="L1" s="247"/>
    </row>
    <row r="2" spans="1:12" x14ac:dyDescent="0.2">
      <c r="A2" s="247"/>
      <c r="B2" s="247"/>
      <c r="C2" s="247"/>
      <c r="D2" s="247"/>
      <c r="E2" s="247"/>
      <c r="F2" s="247"/>
      <c r="G2" s="247"/>
      <c r="H2" s="247"/>
      <c r="I2" s="247"/>
      <c r="J2" s="247"/>
      <c r="K2" s="247"/>
      <c r="L2" s="247"/>
    </row>
    <row r="3" spans="1:12" x14ac:dyDescent="0.2">
      <c r="A3" s="247"/>
      <c r="B3" s="1" t="s">
        <v>545</v>
      </c>
      <c r="C3" s="247"/>
      <c r="D3" s="247"/>
      <c r="E3" s="247"/>
      <c r="F3" s="247"/>
      <c r="G3" s="247"/>
      <c r="H3" s="247"/>
      <c r="I3" s="247"/>
      <c r="J3" s="247"/>
      <c r="K3" s="247"/>
      <c r="L3" s="247"/>
    </row>
    <row r="4" spans="1:12" x14ac:dyDescent="0.2">
      <c r="A4" s="247"/>
      <c r="B4" s="552" t="s">
        <v>1710</v>
      </c>
      <c r="C4" s="247"/>
      <c r="D4" s="247"/>
      <c r="E4" s="247"/>
      <c r="F4" s="247"/>
      <c r="G4" s="247"/>
      <c r="H4" s="247"/>
      <c r="I4" s="247"/>
      <c r="J4" s="247"/>
      <c r="K4" s="247"/>
      <c r="L4" s="247"/>
    </row>
    <row r="5" spans="1:12" x14ac:dyDescent="0.2">
      <c r="A5" s="247"/>
      <c r="B5" s="104" t="str">
        <f>"for each month (see Note #2).  If formula was not in effect in Prior Year, do not populate Column 2 or 3, Lines "&amp;A24&amp;" to "&amp;A35&amp;"."</f>
        <v>for each month (see Note #2).  If formula was not in effect in Prior Year, do not populate Column 2 or 3, Lines 11 to 22.</v>
      </c>
      <c r="C5" s="247"/>
      <c r="D5" s="247"/>
      <c r="E5" s="247"/>
      <c r="F5" s="247"/>
      <c r="G5" s="247"/>
      <c r="H5" s="247"/>
      <c r="I5" s="247"/>
      <c r="J5" s="247"/>
      <c r="K5" s="247"/>
      <c r="L5" s="247"/>
    </row>
    <row r="6" spans="1:12" x14ac:dyDescent="0.2">
      <c r="A6" s="247"/>
      <c r="B6" s="552" t="s">
        <v>1711</v>
      </c>
      <c r="C6" s="247"/>
      <c r="D6" s="247"/>
      <c r="E6" s="247"/>
      <c r="F6" s="247"/>
      <c r="G6" s="247"/>
      <c r="H6" s="247"/>
      <c r="I6" s="247"/>
      <c r="J6" s="247"/>
      <c r="K6" s="247"/>
      <c r="L6" s="247"/>
    </row>
    <row r="7" spans="1:12" x14ac:dyDescent="0.2">
      <c r="A7" s="247"/>
      <c r="B7" s="13" t="s">
        <v>1156</v>
      </c>
      <c r="C7" s="247"/>
      <c r="D7" s="247"/>
      <c r="E7" s="247"/>
      <c r="F7" s="247"/>
      <c r="G7" s="247"/>
      <c r="H7" s="247"/>
      <c r="I7" s="247"/>
      <c r="J7" s="247"/>
      <c r="K7" s="247"/>
      <c r="L7" s="247"/>
    </row>
    <row r="8" spans="1:12" x14ac:dyDescent="0.2">
      <c r="A8" s="247"/>
      <c r="B8" s="13" t="str">
        <f>"d) Continue interest calculation through the end of the previous Rate Effective Period (Line "&amp;A44&amp;")."</f>
        <v>d) Continue interest calculation through the end of the previous Rate Effective Period (Line 31).</v>
      </c>
      <c r="C8" s="247"/>
      <c r="D8" s="247"/>
      <c r="E8" s="247"/>
      <c r="F8" s="247"/>
      <c r="G8" s="247"/>
      <c r="H8" s="247"/>
      <c r="I8" s="247"/>
      <c r="J8" s="247"/>
      <c r="K8" s="247"/>
      <c r="L8" s="247"/>
    </row>
    <row r="9" spans="1:12" x14ac:dyDescent="0.2">
      <c r="A9" s="247"/>
      <c r="B9" s="13" t="str">
        <f>"e) Amortize this ending balance from (d) over the current Rate Effective Period so that the ending balance on Line "&amp;A67&amp;" is equal to $0."</f>
        <v>e) Amortize this ending balance from (d) over the current Rate Effective Period so that the ending balance on Line 54 is equal to $0.</v>
      </c>
      <c r="C9" s="247"/>
      <c r="D9" s="247"/>
      <c r="E9" s="247"/>
      <c r="F9" s="247"/>
      <c r="G9" s="247"/>
      <c r="H9" s="247"/>
      <c r="I9" s="247"/>
      <c r="J9" s="247"/>
      <c r="K9" s="247"/>
      <c r="L9" s="247"/>
    </row>
    <row r="10" spans="1:12" x14ac:dyDescent="0.2">
      <c r="A10" s="247"/>
      <c r="B10" s="247"/>
      <c r="C10" s="247"/>
      <c r="D10" s="247"/>
      <c r="E10" s="247"/>
      <c r="F10" s="247"/>
      <c r="G10" s="247"/>
      <c r="H10" s="247"/>
      <c r="I10" s="247"/>
      <c r="J10" s="247"/>
      <c r="K10" s="247"/>
      <c r="L10" s="247"/>
    </row>
    <row r="11" spans="1:12" x14ac:dyDescent="0.2">
      <c r="A11" s="2"/>
      <c r="B11" s="89" t="s">
        <v>1712</v>
      </c>
      <c r="C11" s="247"/>
      <c r="D11" s="248"/>
      <c r="E11" s="249"/>
      <c r="F11" s="247"/>
      <c r="G11" s="247"/>
      <c r="H11" s="247"/>
      <c r="I11" s="247"/>
      <c r="J11" s="247"/>
      <c r="K11" s="108"/>
      <c r="L11" s="247"/>
    </row>
    <row r="12" spans="1:12" x14ac:dyDescent="0.2">
      <c r="A12" s="2"/>
      <c r="B12" s="89" t="s">
        <v>564</v>
      </c>
      <c r="C12" s="247"/>
      <c r="D12" s="248"/>
      <c r="E12" s="249"/>
      <c r="F12" s="247"/>
      <c r="G12" s="247"/>
      <c r="H12" s="247"/>
      <c r="I12" s="247"/>
      <c r="J12" s="247"/>
      <c r="K12" s="247"/>
      <c r="L12" s="247"/>
    </row>
    <row r="13" spans="1:12" x14ac:dyDescent="0.2">
      <c r="A13" s="54" t="s">
        <v>352</v>
      </c>
      <c r="B13" s="247"/>
      <c r="C13" s="89"/>
      <c r="D13" s="248"/>
      <c r="E13" s="249"/>
      <c r="F13" s="3"/>
      <c r="G13" s="247"/>
      <c r="H13" s="247"/>
      <c r="I13" s="247"/>
      <c r="J13" s="247"/>
      <c r="K13" s="247"/>
      <c r="L13" s="247"/>
    </row>
    <row r="14" spans="1:12" x14ac:dyDescent="0.2">
      <c r="A14" s="2">
        <f>A7+1</f>
        <v>1</v>
      </c>
      <c r="B14" s="247"/>
      <c r="C14" s="247"/>
      <c r="D14" s="575" t="s">
        <v>1709</v>
      </c>
      <c r="E14" s="249">
        <f>'4-TUTRR'!E72</f>
        <v>626424153.02268422</v>
      </c>
      <c r="F14" s="576" t="s">
        <v>2117</v>
      </c>
      <c r="G14" s="257"/>
      <c r="H14" s="247" t="str">
        <f>"Line "&amp;'4-TUTRR'!A72&amp;""</f>
        <v>Line 45</v>
      </c>
      <c r="I14" s="247"/>
      <c r="J14" s="247"/>
      <c r="K14" s="247"/>
      <c r="L14" s="247"/>
    </row>
    <row r="15" spans="1:12" x14ac:dyDescent="0.2">
      <c r="A15" s="2">
        <f>A14+1</f>
        <v>2</v>
      </c>
      <c r="B15" s="89"/>
      <c r="C15" s="247"/>
      <c r="D15" s="247"/>
      <c r="E15" s="247"/>
      <c r="F15" s="247"/>
      <c r="G15" s="247"/>
      <c r="H15" s="249"/>
      <c r="I15" s="247"/>
      <c r="J15" s="247"/>
      <c r="K15" s="247"/>
      <c r="L15" s="247"/>
    </row>
    <row r="16" spans="1:12" x14ac:dyDescent="0.2">
      <c r="A16" s="2">
        <f t="shared" ref="A16:A81" si="0">A15+1</f>
        <v>3</v>
      </c>
      <c r="B16" s="247"/>
      <c r="C16" s="247"/>
      <c r="D16" s="90" t="s">
        <v>396</v>
      </c>
      <c r="E16" s="90" t="s">
        <v>380</v>
      </c>
      <c r="F16" s="90" t="s">
        <v>381</v>
      </c>
      <c r="G16" s="90" t="s">
        <v>382</v>
      </c>
      <c r="H16" s="90" t="s">
        <v>383</v>
      </c>
      <c r="I16" s="90" t="s">
        <v>384</v>
      </c>
      <c r="J16" s="90" t="s">
        <v>385</v>
      </c>
      <c r="K16" s="90" t="s">
        <v>599</v>
      </c>
      <c r="L16" s="90" t="s">
        <v>1048</v>
      </c>
    </row>
    <row r="17" spans="1:12" x14ac:dyDescent="0.2">
      <c r="A17" s="2">
        <f t="shared" si="0"/>
        <v>4</v>
      </c>
      <c r="B17" s="247"/>
      <c r="C17" s="248" t="s">
        <v>1049</v>
      </c>
      <c r="D17" s="90"/>
      <c r="E17" s="93" t="s">
        <v>237</v>
      </c>
      <c r="F17" s="93" t="s">
        <v>313</v>
      </c>
      <c r="G17" s="93" t="s">
        <v>1050</v>
      </c>
      <c r="H17" s="101" t="s">
        <v>588</v>
      </c>
      <c r="I17" s="93" t="s">
        <v>1051</v>
      </c>
      <c r="J17" s="93" t="s">
        <v>586</v>
      </c>
      <c r="K17" s="93" t="s">
        <v>587</v>
      </c>
      <c r="L17" s="101" t="s">
        <v>1052</v>
      </c>
    </row>
    <row r="18" spans="1:12" x14ac:dyDescent="0.2">
      <c r="A18" s="2">
        <f t="shared" si="0"/>
        <v>5</v>
      </c>
      <c r="B18" s="247"/>
      <c r="C18" s="247"/>
      <c r="D18" s="90"/>
      <c r="G18" s="90"/>
      <c r="I18" s="90"/>
      <c r="J18" s="2" t="s">
        <v>225</v>
      </c>
      <c r="K18" s="90"/>
      <c r="L18" s="90"/>
    </row>
    <row r="19" spans="1:12" ht="15" x14ac:dyDescent="0.25">
      <c r="A19" s="2">
        <f t="shared" si="0"/>
        <v>6</v>
      </c>
      <c r="B19" s="247"/>
      <c r="C19" s="247"/>
      <c r="D19" s="90"/>
      <c r="G19" s="260" t="s">
        <v>1157</v>
      </c>
      <c r="I19" s="247"/>
      <c r="J19" s="2" t="s">
        <v>32</v>
      </c>
      <c r="K19" s="247"/>
      <c r="L19" s="2" t="s">
        <v>225</v>
      </c>
    </row>
    <row r="20" spans="1:12" x14ac:dyDescent="0.2">
      <c r="A20" s="2">
        <f t="shared" si="0"/>
        <v>7</v>
      </c>
      <c r="B20" s="247"/>
      <c r="C20" s="247"/>
      <c r="D20" s="90"/>
      <c r="F20" s="2" t="s">
        <v>563</v>
      </c>
      <c r="G20" s="2" t="s">
        <v>1053</v>
      </c>
      <c r="H20" s="2" t="s">
        <v>20</v>
      </c>
      <c r="I20" s="247"/>
      <c r="J20" s="2" t="s">
        <v>33</v>
      </c>
      <c r="K20" s="247"/>
      <c r="L20" s="2" t="s">
        <v>32</v>
      </c>
    </row>
    <row r="21" spans="1:12" x14ac:dyDescent="0.2">
      <c r="A21" s="2">
        <f t="shared" si="0"/>
        <v>8</v>
      </c>
      <c r="B21" s="247"/>
      <c r="C21" s="247"/>
      <c r="D21" s="2"/>
      <c r="E21" s="2" t="s">
        <v>20</v>
      </c>
      <c r="F21" s="2" t="s">
        <v>584</v>
      </c>
      <c r="G21" s="2" t="s">
        <v>220</v>
      </c>
      <c r="H21" s="2" t="s">
        <v>32</v>
      </c>
      <c r="I21" s="2" t="s">
        <v>20</v>
      </c>
      <c r="J21" s="2" t="s">
        <v>23</v>
      </c>
      <c r="K21" s="250" t="s">
        <v>24</v>
      </c>
      <c r="L21" s="2" t="s">
        <v>33</v>
      </c>
    </row>
    <row r="22" spans="1:12" x14ac:dyDescent="0.2">
      <c r="A22" s="2">
        <f t="shared" si="0"/>
        <v>9</v>
      </c>
      <c r="B22" s="247"/>
      <c r="C22" s="247"/>
      <c r="D22" s="2"/>
      <c r="E22" s="2" t="s">
        <v>309</v>
      </c>
      <c r="F22" s="2" t="s">
        <v>339</v>
      </c>
      <c r="G22" s="2" t="s">
        <v>309</v>
      </c>
      <c r="H22" s="2" t="s">
        <v>33</v>
      </c>
      <c r="I22" s="2" t="s">
        <v>24</v>
      </c>
      <c r="J22" s="2" t="s">
        <v>1158</v>
      </c>
      <c r="K22" s="2" t="s">
        <v>1159</v>
      </c>
      <c r="L22" s="2" t="s">
        <v>23</v>
      </c>
    </row>
    <row r="23" spans="1:12" x14ac:dyDescent="0.2">
      <c r="A23" s="2">
        <f t="shared" si="0"/>
        <v>10</v>
      </c>
      <c r="B23" s="247"/>
      <c r="C23" s="25" t="s">
        <v>213</v>
      </c>
      <c r="D23" s="25" t="s">
        <v>214</v>
      </c>
      <c r="E23" s="3" t="s">
        <v>1055</v>
      </c>
      <c r="F23" s="3" t="s">
        <v>22</v>
      </c>
      <c r="G23" s="3" t="s">
        <v>178</v>
      </c>
      <c r="H23" s="3" t="s">
        <v>23</v>
      </c>
      <c r="I23" s="3" t="s">
        <v>14</v>
      </c>
      <c r="J23" s="3" t="s">
        <v>1160</v>
      </c>
      <c r="K23" s="3" t="s">
        <v>213</v>
      </c>
      <c r="L23" s="3" t="s">
        <v>1056</v>
      </c>
    </row>
    <row r="24" spans="1:12" x14ac:dyDescent="0.2">
      <c r="A24" s="2">
        <f t="shared" si="0"/>
        <v>11</v>
      </c>
      <c r="B24" s="247"/>
      <c r="C24" s="20" t="s">
        <v>202</v>
      </c>
      <c r="D24" s="156">
        <v>2012</v>
      </c>
      <c r="E24" s="264">
        <f>$E$14/12</f>
        <v>52202012.751890354</v>
      </c>
      <c r="F24" s="251">
        <f>C108</f>
        <v>62699176.245275632</v>
      </c>
      <c r="G24" s="615">
        <v>-816839</v>
      </c>
      <c r="H24" s="249">
        <f>E24-F24+G24</f>
        <v>-11314002.493385278</v>
      </c>
      <c r="I24" s="253">
        <v>2.7000000000000001E-3</v>
      </c>
      <c r="J24" s="254">
        <f>H24</f>
        <v>-11314002.493385278</v>
      </c>
      <c r="K24" s="254">
        <f>((J24)/2)*I24</f>
        <v>-15273.903366070126</v>
      </c>
      <c r="L24" s="254">
        <f>J24+K24</f>
        <v>-11329276.396751348</v>
      </c>
    </row>
    <row r="25" spans="1:12" x14ac:dyDescent="0.2">
      <c r="A25" s="2">
        <f t="shared" si="0"/>
        <v>12</v>
      </c>
      <c r="B25" s="247"/>
      <c r="C25" s="21" t="s">
        <v>203</v>
      </c>
      <c r="D25" s="156">
        <v>2012</v>
      </c>
      <c r="E25" s="264">
        <f t="shared" ref="E25:E35" si="1">$E$14/12</f>
        <v>52202012.751890354</v>
      </c>
      <c r="F25" s="251">
        <f t="shared" ref="F25:F35" si="2">C109</f>
        <v>44848368.045275629</v>
      </c>
      <c r="G25" s="391">
        <v>0</v>
      </c>
      <c r="H25" s="249">
        <f t="shared" ref="H25:H34" si="3">E25-F25+G25</f>
        <v>7353644.7066147253</v>
      </c>
      <c r="I25" s="253">
        <v>2.7000000000000001E-3</v>
      </c>
      <c r="J25" s="254">
        <f>L24+H25</f>
        <v>-3975631.6901366226</v>
      </c>
      <c r="K25" s="254">
        <f>((L24+J25)/2)*I25</f>
        <v>-20661.625917298763</v>
      </c>
      <c r="L25" s="254">
        <f t="shared" ref="L25:L44" si="4">J25+K25</f>
        <v>-3996293.3160539214</v>
      </c>
    </row>
    <row r="26" spans="1:12" x14ac:dyDescent="0.2">
      <c r="A26" s="2">
        <f t="shared" si="0"/>
        <v>13</v>
      </c>
      <c r="B26" s="247"/>
      <c r="C26" s="21" t="s">
        <v>216</v>
      </c>
      <c r="D26" s="156">
        <v>2012</v>
      </c>
      <c r="E26" s="264">
        <f t="shared" si="1"/>
        <v>52202012.751890354</v>
      </c>
      <c r="F26" s="251">
        <f t="shared" si="2"/>
        <v>48724632.535275623</v>
      </c>
      <c r="G26" s="391">
        <v>0</v>
      </c>
      <c r="H26" s="249">
        <f t="shared" si="3"/>
        <v>3477380.2166147307</v>
      </c>
      <c r="I26" s="253">
        <v>2.7000000000000001E-3</v>
      </c>
      <c r="J26" s="254">
        <f t="shared" ref="J26:J44" si="5">L25+H26</f>
        <v>-518913.0994391907</v>
      </c>
      <c r="K26" s="254">
        <f t="shared" ref="K26:K44" si="6">((L25+J26)/2)*I26</f>
        <v>-6095.5286609157019</v>
      </c>
      <c r="L26" s="254">
        <f t="shared" si="4"/>
        <v>-525008.62810010638</v>
      </c>
    </row>
    <row r="27" spans="1:12" x14ac:dyDescent="0.2">
      <c r="A27" s="2">
        <f t="shared" si="0"/>
        <v>14</v>
      </c>
      <c r="B27" s="247"/>
      <c r="C27" s="20" t="s">
        <v>204</v>
      </c>
      <c r="D27" s="156">
        <v>2012</v>
      </c>
      <c r="E27" s="264">
        <f t="shared" si="1"/>
        <v>52202012.751890354</v>
      </c>
      <c r="F27" s="251">
        <f t="shared" si="2"/>
        <v>47002697.415275626</v>
      </c>
      <c r="G27" s="391">
        <v>0</v>
      </c>
      <c r="H27" s="249">
        <f t="shared" si="3"/>
        <v>5199315.336614728</v>
      </c>
      <c r="I27" s="253">
        <v>2.7000000000000001E-3</v>
      </c>
      <c r="J27" s="254">
        <f t="shared" si="5"/>
        <v>4674306.7085146215</v>
      </c>
      <c r="K27" s="254">
        <f t="shared" si="6"/>
        <v>5601.5524085595953</v>
      </c>
      <c r="L27" s="254">
        <f t="shared" si="4"/>
        <v>4679908.2609231807</v>
      </c>
    </row>
    <row r="28" spans="1:12" x14ac:dyDescent="0.2">
      <c r="A28" s="2">
        <f t="shared" si="0"/>
        <v>15</v>
      </c>
      <c r="B28" s="247"/>
      <c r="C28" s="21" t="s">
        <v>205</v>
      </c>
      <c r="D28" s="156">
        <v>2012</v>
      </c>
      <c r="E28" s="264">
        <f t="shared" si="1"/>
        <v>52202012.751890354</v>
      </c>
      <c r="F28" s="251">
        <f t="shared" si="2"/>
        <v>51845985.155275628</v>
      </c>
      <c r="G28" s="391">
        <v>0</v>
      </c>
      <c r="H28" s="249">
        <f t="shared" si="3"/>
        <v>356027.59661472589</v>
      </c>
      <c r="I28" s="253">
        <v>2.7000000000000001E-3</v>
      </c>
      <c r="J28" s="254">
        <f t="shared" si="5"/>
        <v>5035935.8575379066</v>
      </c>
      <c r="K28" s="254">
        <f t="shared" si="6"/>
        <v>13116.389559922469</v>
      </c>
      <c r="L28" s="254">
        <f t="shared" si="4"/>
        <v>5049052.2470978294</v>
      </c>
    </row>
    <row r="29" spans="1:12" x14ac:dyDescent="0.2">
      <c r="A29" s="2">
        <f t="shared" si="0"/>
        <v>16</v>
      </c>
      <c r="B29" s="247"/>
      <c r="C29" s="21" t="s">
        <v>206</v>
      </c>
      <c r="D29" s="156">
        <v>2012</v>
      </c>
      <c r="E29" s="264">
        <f t="shared" si="1"/>
        <v>52202012.751890354</v>
      </c>
      <c r="F29" s="251">
        <f t="shared" si="2"/>
        <v>50751026.605275624</v>
      </c>
      <c r="G29" s="391">
        <v>0</v>
      </c>
      <c r="H29" s="249">
        <f t="shared" si="3"/>
        <v>1450986.1466147304</v>
      </c>
      <c r="I29" s="253">
        <v>2.7000000000000001E-3</v>
      </c>
      <c r="J29" s="254">
        <f t="shared" si="5"/>
        <v>6500038.3937125597</v>
      </c>
      <c r="K29" s="254">
        <f t="shared" si="6"/>
        <v>15591.272365094026</v>
      </c>
      <c r="L29" s="254">
        <f t="shared" si="4"/>
        <v>6515629.6660776539</v>
      </c>
    </row>
    <row r="30" spans="1:12" x14ac:dyDescent="0.2">
      <c r="A30" s="2">
        <f t="shared" si="0"/>
        <v>17</v>
      </c>
      <c r="B30" s="247"/>
      <c r="C30" s="20" t="s">
        <v>207</v>
      </c>
      <c r="D30" s="156">
        <v>2012</v>
      </c>
      <c r="E30" s="264">
        <f t="shared" si="1"/>
        <v>52202012.751890354</v>
      </c>
      <c r="F30" s="251">
        <f t="shared" si="2"/>
        <v>59026622.865275621</v>
      </c>
      <c r="G30" s="391">
        <v>0</v>
      </c>
      <c r="H30" s="249">
        <f t="shared" si="3"/>
        <v>-6824610.1133852676</v>
      </c>
      <c r="I30" s="253">
        <v>2.7000000000000001E-3</v>
      </c>
      <c r="J30" s="254">
        <f t="shared" si="5"/>
        <v>-308980.44730761368</v>
      </c>
      <c r="K30" s="254">
        <f t="shared" si="6"/>
        <v>8378.9764453395546</v>
      </c>
      <c r="L30" s="254">
        <f t="shared" si="4"/>
        <v>-300601.47086227412</v>
      </c>
    </row>
    <row r="31" spans="1:12" x14ac:dyDescent="0.2">
      <c r="A31" s="2">
        <f t="shared" si="0"/>
        <v>18</v>
      </c>
      <c r="B31" s="247"/>
      <c r="C31" s="21" t="s">
        <v>208</v>
      </c>
      <c r="D31" s="156">
        <v>2012</v>
      </c>
      <c r="E31" s="264">
        <f t="shared" si="1"/>
        <v>52202012.751890354</v>
      </c>
      <c r="F31" s="251">
        <f t="shared" si="2"/>
        <v>73896640.065275624</v>
      </c>
      <c r="G31" s="391">
        <v>0</v>
      </c>
      <c r="H31" s="249">
        <f t="shared" si="3"/>
        <v>-21694627.313385271</v>
      </c>
      <c r="I31" s="253">
        <v>2.7000000000000001E-3</v>
      </c>
      <c r="J31" s="254">
        <f t="shared" si="5"/>
        <v>-21995228.784247544</v>
      </c>
      <c r="K31" s="254">
        <f t="shared" si="6"/>
        <v>-30099.370844398254</v>
      </c>
      <c r="L31" s="254">
        <f t="shared" si="4"/>
        <v>-22025328.155091941</v>
      </c>
    </row>
    <row r="32" spans="1:12" x14ac:dyDescent="0.2">
      <c r="A32" s="2">
        <f t="shared" si="0"/>
        <v>19</v>
      </c>
      <c r="B32" s="247"/>
      <c r="C32" s="21" t="s">
        <v>209</v>
      </c>
      <c r="D32" s="156">
        <v>2012</v>
      </c>
      <c r="E32" s="264">
        <f t="shared" si="1"/>
        <v>52202012.751890354</v>
      </c>
      <c r="F32" s="251">
        <f t="shared" si="2"/>
        <v>62815106.245275632</v>
      </c>
      <c r="G32" s="391">
        <v>0</v>
      </c>
      <c r="H32" s="249">
        <f t="shared" si="3"/>
        <v>-10613093.493385278</v>
      </c>
      <c r="I32" s="253">
        <v>2.7000000000000001E-3</v>
      </c>
      <c r="J32" s="254">
        <f t="shared" si="5"/>
        <v>-32638421.648477219</v>
      </c>
      <c r="K32" s="254">
        <f t="shared" si="6"/>
        <v>-73796.062234818368</v>
      </c>
      <c r="L32" s="254">
        <f t="shared" si="4"/>
        <v>-32712217.710712038</v>
      </c>
    </row>
    <row r="33" spans="1:12" x14ac:dyDescent="0.2">
      <c r="A33" s="2">
        <f t="shared" si="0"/>
        <v>20</v>
      </c>
      <c r="B33" s="247"/>
      <c r="C33" s="20" t="s">
        <v>212</v>
      </c>
      <c r="D33" s="156">
        <v>2012</v>
      </c>
      <c r="E33" s="264">
        <f t="shared" si="1"/>
        <v>52202012.751890354</v>
      </c>
      <c r="F33" s="251">
        <f t="shared" si="2"/>
        <v>58798242.746666662</v>
      </c>
      <c r="G33" s="391">
        <v>201245</v>
      </c>
      <c r="H33" s="249">
        <f t="shared" si="3"/>
        <v>-6394984.9947763085</v>
      </c>
      <c r="I33" s="253">
        <v>2.7000000000000001E-3</v>
      </c>
      <c r="J33" s="254">
        <f t="shared" si="5"/>
        <v>-39107202.705488347</v>
      </c>
      <c r="K33" s="254">
        <f t="shared" si="6"/>
        <v>-96956.217561870522</v>
      </c>
      <c r="L33" s="254">
        <f t="shared" si="4"/>
        <v>-39204158.923050217</v>
      </c>
    </row>
    <row r="34" spans="1:12" x14ac:dyDescent="0.2">
      <c r="A34" s="2">
        <f t="shared" si="0"/>
        <v>21</v>
      </c>
      <c r="B34" s="247"/>
      <c r="C34" s="20" t="s">
        <v>211</v>
      </c>
      <c r="D34" s="156">
        <v>2012</v>
      </c>
      <c r="E34" s="264">
        <f t="shared" si="1"/>
        <v>52202012.751890354</v>
      </c>
      <c r="F34" s="251">
        <f t="shared" si="2"/>
        <v>64774864.856666662</v>
      </c>
      <c r="G34" s="391">
        <v>201245</v>
      </c>
      <c r="H34" s="249">
        <f t="shared" si="3"/>
        <v>-12371607.104776308</v>
      </c>
      <c r="I34" s="253">
        <v>2.7000000000000001E-3</v>
      </c>
      <c r="J34" s="254">
        <f t="shared" si="5"/>
        <v>-51575766.027826525</v>
      </c>
      <c r="K34" s="254">
        <f t="shared" si="6"/>
        <v>-122552.89868368361</v>
      </c>
      <c r="L34" s="254">
        <f t="shared" si="4"/>
        <v>-51698318.926510207</v>
      </c>
    </row>
    <row r="35" spans="1:12" x14ac:dyDescent="0.2">
      <c r="A35" s="2">
        <f t="shared" si="0"/>
        <v>22</v>
      </c>
      <c r="B35" s="247"/>
      <c r="C35" s="21" t="s">
        <v>201</v>
      </c>
      <c r="D35" s="156">
        <v>2012</v>
      </c>
      <c r="E35" s="264">
        <f t="shared" si="1"/>
        <v>52202012.751890354</v>
      </c>
      <c r="F35" s="251">
        <f t="shared" si="2"/>
        <v>60990372.646666668</v>
      </c>
      <c r="G35" s="391">
        <v>201245</v>
      </c>
      <c r="H35" s="249">
        <f>E35-F35+G35</f>
        <v>-8587114.8947763145</v>
      </c>
      <c r="I35" s="253">
        <v>2.7000000000000001E-3</v>
      </c>
      <c r="J35" s="254">
        <f t="shared" si="5"/>
        <v>-60285433.821286522</v>
      </c>
      <c r="K35" s="254">
        <f t="shared" si="6"/>
        <v>-151178.0662095256</v>
      </c>
      <c r="L35" s="254">
        <f t="shared" si="4"/>
        <v>-60436611.887496047</v>
      </c>
    </row>
    <row r="36" spans="1:12" x14ac:dyDescent="0.2">
      <c r="A36" s="2">
        <f t="shared" si="0"/>
        <v>23</v>
      </c>
      <c r="B36" s="247"/>
      <c r="C36" s="20" t="s">
        <v>202</v>
      </c>
      <c r="D36" s="156">
        <v>2013</v>
      </c>
      <c r="E36" s="255" t="s">
        <v>88</v>
      </c>
      <c r="F36" s="255" t="s">
        <v>88</v>
      </c>
      <c r="G36" s="391">
        <v>201245</v>
      </c>
      <c r="H36" s="249">
        <f>+G36</f>
        <v>201245</v>
      </c>
      <c r="I36" s="253">
        <v>2.7000000000000001E-3</v>
      </c>
      <c r="J36" s="254">
        <f t="shared" si="5"/>
        <v>-60235366.887496047</v>
      </c>
      <c r="K36" s="254">
        <f t="shared" si="6"/>
        <v>-162907.17134623934</v>
      </c>
      <c r="L36" s="254">
        <f t="shared" si="4"/>
        <v>-60398274.058842286</v>
      </c>
    </row>
    <row r="37" spans="1:12" x14ac:dyDescent="0.2">
      <c r="A37" s="2">
        <f t="shared" si="0"/>
        <v>24</v>
      </c>
      <c r="B37" s="247"/>
      <c r="C37" s="21" t="s">
        <v>203</v>
      </c>
      <c r="D37" s="156">
        <v>2013</v>
      </c>
      <c r="E37" s="255" t="s">
        <v>88</v>
      </c>
      <c r="F37" s="255" t="s">
        <v>88</v>
      </c>
      <c r="G37" s="391">
        <v>201245</v>
      </c>
      <c r="H37" s="249">
        <f t="shared" ref="H37:H44" si="7">+G37</f>
        <v>201245</v>
      </c>
      <c r="I37" s="253">
        <v>2.7000000000000001E-3</v>
      </c>
      <c r="J37" s="254">
        <f t="shared" si="5"/>
        <v>-60197029.058842286</v>
      </c>
      <c r="K37" s="254">
        <f t="shared" si="6"/>
        <v>-162803.65920887419</v>
      </c>
      <c r="L37" s="254">
        <f t="shared" si="4"/>
        <v>-60359832.718051158</v>
      </c>
    </row>
    <row r="38" spans="1:12" x14ac:dyDescent="0.2">
      <c r="A38" s="2">
        <f t="shared" si="0"/>
        <v>25</v>
      </c>
      <c r="B38" s="247"/>
      <c r="C38" s="21" t="s">
        <v>216</v>
      </c>
      <c r="D38" s="156">
        <v>2013</v>
      </c>
      <c r="E38" s="255" t="s">
        <v>88</v>
      </c>
      <c r="F38" s="255" t="s">
        <v>88</v>
      </c>
      <c r="G38" s="391">
        <v>201245</v>
      </c>
      <c r="H38" s="249">
        <f t="shared" si="7"/>
        <v>201245</v>
      </c>
      <c r="I38" s="253">
        <v>2.7000000000000001E-3</v>
      </c>
      <c r="J38" s="254">
        <f t="shared" si="5"/>
        <v>-60158587.718051158</v>
      </c>
      <c r="K38" s="254">
        <f t="shared" si="6"/>
        <v>-162699.86758873813</v>
      </c>
      <c r="L38" s="254">
        <f t="shared" si="4"/>
        <v>-60321287.585639894</v>
      </c>
    </row>
    <row r="39" spans="1:12" x14ac:dyDescent="0.2">
      <c r="A39" s="2">
        <f t="shared" si="0"/>
        <v>26</v>
      </c>
      <c r="B39" s="247"/>
      <c r="C39" s="20" t="s">
        <v>204</v>
      </c>
      <c r="D39" s="156">
        <v>2013</v>
      </c>
      <c r="E39" s="255" t="s">
        <v>88</v>
      </c>
      <c r="F39" s="255" t="s">
        <v>88</v>
      </c>
      <c r="G39" s="391">
        <v>201245</v>
      </c>
      <c r="H39" s="249">
        <f t="shared" si="7"/>
        <v>201245</v>
      </c>
      <c r="I39" s="253">
        <v>2.7000000000000001E-3</v>
      </c>
      <c r="J39" s="254">
        <f t="shared" si="5"/>
        <v>-60120042.585639894</v>
      </c>
      <c r="K39" s="254">
        <f t="shared" si="6"/>
        <v>-162595.79573122773</v>
      </c>
      <c r="L39" s="254">
        <f t="shared" si="4"/>
        <v>-60282638.381371118</v>
      </c>
    </row>
    <row r="40" spans="1:12" x14ac:dyDescent="0.2">
      <c r="A40" s="2">
        <f t="shared" si="0"/>
        <v>27</v>
      </c>
      <c r="B40" s="247"/>
      <c r="C40" s="21" t="s">
        <v>205</v>
      </c>
      <c r="D40" s="156">
        <v>2013</v>
      </c>
      <c r="E40" s="255" t="s">
        <v>88</v>
      </c>
      <c r="F40" s="255" t="s">
        <v>88</v>
      </c>
      <c r="G40" s="391">
        <v>201245</v>
      </c>
      <c r="H40" s="249">
        <f t="shared" si="7"/>
        <v>201245</v>
      </c>
      <c r="I40" s="253">
        <v>2.7000000000000001E-3</v>
      </c>
      <c r="J40" s="254">
        <f t="shared" si="5"/>
        <v>-60081393.381371118</v>
      </c>
      <c r="K40" s="254">
        <f t="shared" si="6"/>
        <v>-162491.44287970202</v>
      </c>
      <c r="L40" s="254">
        <f t="shared" si="4"/>
        <v>-60243884.824250817</v>
      </c>
    </row>
    <row r="41" spans="1:12" x14ac:dyDescent="0.2">
      <c r="A41" s="2">
        <f t="shared" si="0"/>
        <v>28</v>
      </c>
      <c r="B41" s="247"/>
      <c r="C41" s="21" t="s">
        <v>206</v>
      </c>
      <c r="D41" s="156">
        <v>2013</v>
      </c>
      <c r="E41" s="255" t="s">
        <v>88</v>
      </c>
      <c r="F41" s="255" t="s">
        <v>88</v>
      </c>
      <c r="G41" s="391">
        <v>201245</v>
      </c>
      <c r="H41" s="249">
        <f t="shared" si="7"/>
        <v>201245</v>
      </c>
      <c r="I41" s="253">
        <v>2.7000000000000001E-3</v>
      </c>
      <c r="J41" s="254">
        <f t="shared" si="5"/>
        <v>-60042639.824250817</v>
      </c>
      <c r="K41" s="254">
        <f t="shared" si="6"/>
        <v>-162386.8082754772</v>
      </c>
      <c r="L41" s="254">
        <f t="shared" si="4"/>
        <v>-60205026.632526293</v>
      </c>
    </row>
    <row r="42" spans="1:12" x14ac:dyDescent="0.2">
      <c r="A42" s="2">
        <f t="shared" si="0"/>
        <v>29</v>
      </c>
      <c r="B42" s="247"/>
      <c r="C42" s="20" t="s">
        <v>207</v>
      </c>
      <c r="D42" s="156">
        <v>2013</v>
      </c>
      <c r="E42" s="255" t="s">
        <v>88</v>
      </c>
      <c r="F42" s="255" t="s">
        <v>88</v>
      </c>
      <c r="G42" s="391">
        <v>201245</v>
      </c>
      <c r="H42" s="249">
        <f t="shared" si="7"/>
        <v>201245</v>
      </c>
      <c r="I42" s="253">
        <v>2.7000000000000001E-3</v>
      </c>
      <c r="J42" s="254">
        <f t="shared" si="5"/>
        <v>-60003781.632526293</v>
      </c>
      <c r="K42" s="254">
        <f t="shared" si="6"/>
        <v>-162281.891157821</v>
      </c>
      <c r="L42" s="254">
        <f t="shared" si="4"/>
        <v>-60166063.523684114</v>
      </c>
    </row>
    <row r="43" spans="1:12" x14ac:dyDescent="0.2">
      <c r="A43" s="2">
        <f t="shared" si="0"/>
        <v>30</v>
      </c>
      <c r="B43" s="247"/>
      <c r="C43" s="21" t="s">
        <v>208</v>
      </c>
      <c r="D43" s="156">
        <v>2013</v>
      </c>
      <c r="E43" s="255" t="s">
        <v>88</v>
      </c>
      <c r="F43" s="255" t="s">
        <v>88</v>
      </c>
      <c r="G43" s="391">
        <v>201245</v>
      </c>
      <c r="H43" s="249">
        <f t="shared" si="7"/>
        <v>201245</v>
      </c>
      <c r="I43" s="253">
        <v>2.7000000000000001E-3</v>
      </c>
      <c r="J43" s="254">
        <f t="shared" si="5"/>
        <v>-59964818.523684114</v>
      </c>
      <c r="K43" s="254">
        <f t="shared" si="6"/>
        <v>-162176.69076394712</v>
      </c>
      <c r="L43" s="254">
        <f t="shared" si="4"/>
        <v>-60126995.214448065</v>
      </c>
    </row>
    <row r="44" spans="1:12" x14ac:dyDescent="0.2">
      <c r="A44" s="2">
        <f t="shared" si="0"/>
        <v>31</v>
      </c>
      <c r="B44" s="247"/>
      <c r="C44" s="21" t="s">
        <v>209</v>
      </c>
      <c r="D44" s="156">
        <v>2013</v>
      </c>
      <c r="E44" s="255" t="s">
        <v>88</v>
      </c>
      <c r="F44" s="255" t="s">
        <v>88</v>
      </c>
      <c r="G44" s="391">
        <v>201245</v>
      </c>
      <c r="H44" s="249">
        <f t="shared" si="7"/>
        <v>201245</v>
      </c>
      <c r="I44" s="253">
        <v>2.7000000000000001E-3</v>
      </c>
      <c r="J44" s="254">
        <f t="shared" si="5"/>
        <v>-59925750.214448065</v>
      </c>
      <c r="K44" s="254">
        <f t="shared" si="6"/>
        <v>-162071.20632900979</v>
      </c>
      <c r="L44" s="254">
        <f t="shared" si="4"/>
        <v>-60087821.420777075</v>
      </c>
    </row>
    <row r="45" spans="1:12" x14ac:dyDescent="0.2">
      <c r="A45" s="117">
        <f t="shared" si="0"/>
        <v>32</v>
      </c>
      <c r="B45" s="247"/>
      <c r="C45" s="21" t="s">
        <v>212</v>
      </c>
      <c r="D45" s="156">
        <v>2013</v>
      </c>
      <c r="E45" s="255" t="s">
        <v>88</v>
      </c>
      <c r="F45" s="255" t="s">
        <v>88</v>
      </c>
      <c r="G45" s="408">
        <v>0</v>
      </c>
      <c r="H45" s="249">
        <f t="shared" ref="H45:H47" si="8">+G45</f>
        <v>0</v>
      </c>
      <c r="I45" s="253">
        <v>2.7000000000000001E-3</v>
      </c>
      <c r="J45" s="254">
        <f t="shared" ref="J45:J47" si="9">L44+H45</f>
        <v>-60087821.420777075</v>
      </c>
      <c r="K45" s="254">
        <f t="shared" ref="K45:K47" si="10">((L44+J45)/2)*I45</f>
        <v>-162237.1178360981</v>
      </c>
      <c r="L45" s="254">
        <f t="shared" ref="L45:L47" si="11">J45+K45</f>
        <v>-60250058.53861317</v>
      </c>
    </row>
    <row r="46" spans="1:12" x14ac:dyDescent="0.2">
      <c r="A46" s="117">
        <f t="shared" si="0"/>
        <v>33</v>
      </c>
      <c r="B46" s="247"/>
      <c r="C46" s="21" t="s">
        <v>211</v>
      </c>
      <c r="D46" s="156">
        <v>2013</v>
      </c>
      <c r="E46" s="255" t="s">
        <v>88</v>
      </c>
      <c r="F46" s="255" t="s">
        <v>88</v>
      </c>
      <c r="G46" s="408">
        <v>0</v>
      </c>
      <c r="H46" s="249">
        <f t="shared" si="8"/>
        <v>0</v>
      </c>
      <c r="I46" s="253">
        <v>2.7000000000000001E-3</v>
      </c>
      <c r="J46" s="254">
        <f t="shared" si="9"/>
        <v>-60250058.53861317</v>
      </c>
      <c r="K46" s="254">
        <f t="shared" si="10"/>
        <v>-162675.15805425556</v>
      </c>
      <c r="L46" s="254">
        <f t="shared" si="11"/>
        <v>-60412733.696667425</v>
      </c>
    </row>
    <row r="47" spans="1:12" x14ac:dyDescent="0.2">
      <c r="A47" s="117">
        <f t="shared" si="0"/>
        <v>34</v>
      </c>
      <c r="B47" s="247"/>
      <c r="C47" s="21" t="s">
        <v>201</v>
      </c>
      <c r="D47" s="156">
        <v>2013</v>
      </c>
      <c r="E47" s="255" t="s">
        <v>88</v>
      </c>
      <c r="F47" s="255" t="s">
        <v>88</v>
      </c>
      <c r="G47" s="408">
        <v>0</v>
      </c>
      <c r="H47" s="249">
        <f t="shared" si="8"/>
        <v>0</v>
      </c>
      <c r="I47" s="253">
        <v>2.7000000000000001E-3</v>
      </c>
      <c r="J47" s="254">
        <f t="shared" si="9"/>
        <v>-60412733.696667425</v>
      </c>
      <c r="K47" s="254">
        <f t="shared" si="10"/>
        <v>-163114.38098100206</v>
      </c>
      <c r="L47" s="254">
        <f t="shared" si="11"/>
        <v>-60575848.077648431</v>
      </c>
    </row>
    <row r="48" spans="1:12" x14ac:dyDescent="0.2">
      <c r="A48" s="117">
        <f t="shared" si="0"/>
        <v>35</v>
      </c>
      <c r="B48" s="247"/>
      <c r="C48" s="21"/>
      <c r="D48" s="24"/>
      <c r="E48" s="256"/>
      <c r="F48" s="256"/>
      <c r="G48" s="257"/>
      <c r="H48" s="251"/>
      <c r="I48" s="258"/>
      <c r="J48" s="254"/>
      <c r="K48" s="254"/>
      <c r="L48" s="254"/>
    </row>
    <row r="49" spans="1:12" x14ac:dyDescent="0.2">
      <c r="A49" s="117">
        <f t="shared" si="0"/>
        <v>36</v>
      </c>
      <c r="B49" s="22" t="s">
        <v>2697</v>
      </c>
      <c r="D49" s="24"/>
      <c r="E49" s="256"/>
      <c r="F49" s="256"/>
      <c r="G49" s="257"/>
      <c r="H49" s="251"/>
      <c r="I49" s="258"/>
      <c r="J49" s="254"/>
      <c r="K49" s="254"/>
      <c r="L49" s="254"/>
    </row>
    <row r="50" spans="1:12" x14ac:dyDescent="0.2">
      <c r="A50" s="117">
        <f t="shared" si="0"/>
        <v>37</v>
      </c>
      <c r="B50" s="22"/>
      <c r="D50" s="90" t="s">
        <v>396</v>
      </c>
      <c r="E50" s="90" t="s">
        <v>380</v>
      </c>
      <c r="F50" s="90" t="s">
        <v>381</v>
      </c>
      <c r="G50" s="90" t="s">
        <v>382</v>
      </c>
      <c r="H50" s="90" t="s">
        <v>383</v>
      </c>
      <c r="I50" s="90" t="s">
        <v>384</v>
      </c>
      <c r="J50" s="90" t="s">
        <v>385</v>
      </c>
      <c r="K50" s="90" t="s">
        <v>599</v>
      </c>
      <c r="L50" s="254"/>
    </row>
    <row r="51" spans="1:12" x14ac:dyDescent="0.2">
      <c r="A51" s="117">
        <f t="shared" si="0"/>
        <v>38</v>
      </c>
      <c r="B51" s="22"/>
      <c r="D51" s="90"/>
      <c r="E51" s="93" t="s">
        <v>1161</v>
      </c>
      <c r="F51" s="93" t="s">
        <v>1162</v>
      </c>
      <c r="G51" s="93" t="s">
        <v>1163</v>
      </c>
      <c r="H51" s="101" t="s">
        <v>1164</v>
      </c>
      <c r="I51" s="93" t="s">
        <v>1165</v>
      </c>
      <c r="J51" s="101" t="s">
        <v>1166</v>
      </c>
      <c r="K51" s="255" t="s">
        <v>1167</v>
      </c>
      <c r="L51" s="254"/>
    </row>
    <row r="52" spans="1:12" ht="15" x14ac:dyDescent="0.25">
      <c r="A52" s="117">
        <f t="shared" si="0"/>
        <v>39</v>
      </c>
      <c r="B52" s="22"/>
      <c r="D52" s="90"/>
      <c r="E52" s="93"/>
      <c r="F52" s="93"/>
      <c r="G52" s="260"/>
      <c r="H52" s="260" t="s">
        <v>213</v>
      </c>
      <c r="I52" s="93"/>
      <c r="J52" s="254"/>
      <c r="K52" s="260" t="s">
        <v>309</v>
      </c>
      <c r="L52" s="254"/>
    </row>
    <row r="53" spans="1:12" ht="15" x14ac:dyDescent="0.25">
      <c r="A53" s="117">
        <f t="shared" si="0"/>
        <v>40</v>
      </c>
      <c r="B53" s="247"/>
      <c r="C53" s="21"/>
      <c r="D53" s="24"/>
      <c r="E53" s="2" t="s">
        <v>20</v>
      </c>
      <c r="F53" s="259" t="s">
        <v>213</v>
      </c>
      <c r="G53" s="260"/>
      <c r="H53" s="259" t="s">
        <v>1058</v>
      </c>
      <c r="I53" s="250" t="s">
        <v>24</v>
      </c>
      <c r="J53" s="260" t="s">
        <v>213</v>
      </c>
      <c r="K53" s="260" t="s">
        <v>178</v>
      </c>
      <c r="L53" s="254"/>
    </row>
    <row r="54" spans="1:12" ht="15" x14ac:dyDescent="0.25">
      <c r="A54" s="117">
        <f t="shared" si="0"/>
        <v>41</v>
      </c>
      <c r="B54" s="247"/>
      <c r="D54" s="24"/>
      <c r="E54" s="2" t="s">
        <v>24</v>
      </c>
      <c r="F54" s="259" t="s">
        <v>1057</v>
      </c>
      <c r="G54" s="260"/>
      <c r="H54" s="259" t="s">
        <v>1059</v>
      </c>
      <c r="I54" s="2" t="s">
        <v>1159</v>
      </c>
      <c r="J54" s="259" t="s">
        <v>1058</v>
      </c>
      <c r="K54" s="260" t="s">
        <v>1168</v>
      </c>
      <c r="L54" s="254"/>
    </row>
    <row r="55" spans="1:12" ht="15" x14ac:dyDescent="0.25">
      <c r="A55" s="117">
        <f t="shared" si="0"/>
        <v>42</v>
      </c>
      <c r="B55" s="247"/>
      <c r="C55" s="21"/>
      <c r="D55" s="25" t="s">
        <v>214</v>
      </c>
      <c r="E55" s="3" t="s">
        <v>14</v>
      </c>
      <c r="F55" s="261" t="s">
        <v>1059</v>
      </c>
      <c r="G55" s="262" t="s">
        <v>1169</v>
      </c>
      <c r="H55" s="262" t="s">
        <v>1054</v>
      </c>
      <c r="I55" s="3" t="s">
        <v>213</v>
      </c>
      <c r="J55" s="261" t="s">
        <v>1059</v>
      </c>
      <c r="K55" s="262" t="s">
        <v>1170</v>
      </c>
      <c r="L55" s="254"/>
    </row>
    <row r="56" spans="1:12" x14ac:dyDescent="0.2">
      <c r="A56" s="117">
        <f t="shared" si="0"/>
        <v>43</v>
      </c>
      <c r="B56" s="247"/>
      <c r="C56" s="588" t="s">
        <v>202</v>
      </c>
      <c r="D56" s="757">
        <v>2014</v>
      </c>
      <c r="E56" s="258">
        <f>AVERAGE($I$36:$I$47)</f>
        <v>2.7000000000000006E-3</v>
      </c>
      <c r="F56" s="254">
        <f>L47</f>
        <v>-60575848.077648431</v>
      </c>
      <c r="G56" s="7">
        <f>$I$70/12</f>
        <v>5130091.8262840938</v>
      </c>
      <c r="H56" s="7">
        <f>F56+G56</f>
        <v>-55445756.251364335</v>
      </c>
      <c r="I56" s="7">
        <f>((F56+H56)/2)*E56</f>
        <v>-156629.16584416726</v>
      </c>
      <c r="J56" s="7">
        <f>H56+I56</f>
        <v>-55602385.4172085</v>
      </c>
      <c r="K56" s="7">
        <f>-G56</f>
        <v>-5130091.8262840938</v>
      </c>
      <c r="L56" s="254"/>
    </row>
    <row r="57" spans="1:12" x14ac:dyDescent="0.2">
      <c r="A57" s="117">
        <f t="shared" si="0"/>
        <v>44</v>
      </c>
      <c r="B57" s="247"/>
      <c r="C57" s="588" t="s">
        <v>203</v>
      </c>
      <c r="D57" s="757">
        <v>2014</v>
      </c>
      <c r="E57" s="258">
        <f t="shared" ref="E57:E67" si="12">AVERAGE($I$36:$I$47)</f>
        <v>2.7000000000000006E-3</v>
      </c>
      <c r="F57" s="254">
        <f>J56</f>
        <v>-55602385.4172085</v>
      </c>
      <c r="G57" s="7">
        <f t="shared" ref="G57:G67" si="13">$I$70/12</f>
        <v>5130091.8262840938</v>
      </c>
      <c r="H57" s="7">
        <f t="shared" ref="H57:H67" si="14">F57+G57</f>
        <v>-50472293.590924405</v>
      </c>
      <c r="I57" s="7">
        <f t="shared" ref="I57:I67" si="15">((F57+H57)/2)*E57</f>
        <v>-143200.81666097944</v>
      </c>
      <c r="J57" s="7">
        <f>H57+I57</f>
        <v>-50615494.407585382</v>
      </c>
      <c r="K57" s="7">
        <f t="shared" ref="K57:K67" si="16">-G57</f>
        <v>-5130091.8262840938</v>
      </c>
      <c r="L57" s="254"/>
    </row>
    <row r="58" spans="1:12" x14ac:dyDescent="0.2">
      <c r="A58" s="117">
        <f t="shared" si="0"/>
        <v>45</v>
      </c>
      <c r="B58" s="247"/>
      <c r="C58" s="588" t="s">
        <v>216</v>
      </c>
      <c r="D58" s="757">
        <v>2014</v>
      </c>
      <c r="E58" s="258">
        <f t="shared" si="12"/>
        <v>2.7000000000000006E-3</v>
      </c>
      <c r="F58" s="254">
        <f t="shared" ref="F58:F67" si="17">J57</f>
        <v>-50615494.407585382</v>
      </c>
      <c r="G58" s="7">
        <f t="shared" si="13"/>
        <v>5130091.8262840938</v>
      </c>
      <c r="H58" s="7">
        <f t="shared" si="14"/>
        <v>-45485402.581301287</v>
      </c>
      <c r="I58" s="7">
        <f t="shared" si="15"/>
        <v>-129736.21093499703</v>
      </c>
      <c r="J58" s="7">
        <f t="shared" ref="J58:J67" si="18">H58+I58</f>
        <v>-45615138.792236283</v>
      </c>
      <c r="K58" s="7">
        <f t="shared" si="16"/>
        <v>-5130091.8262840938</v>
      </c>
      <c r="L58" s="254"/>
    </row>
    <row r="59" spans="1:12" x14ac:dyDescent="0.2">
      <c r="A59" s="117">
        <f t="shared" si="0"/>
        <v>46</v>
      </c>
      <c r="B59" s="247"/>
      <c r="C59" s="588" t="s">
        <v>204</v>
      </c>
      <c r="D59" s="757">
        <v>2014</v>
      </c>
      <c r="E59" s="258">
        <f t="shared" si="12"/>
        <v>2.7000000000000006E-3</v>
      </c>
      <c r="F59" s="254">
        <f t="shared" si="17"/>
        <v>-45615138.792236283</v>
      </c>
      <c r="G59" s="7">
        <f t="shared" si="13"/>
        <v>5130091.8262840938</v>
      </c>
      <c r="H59" s="7">
        <f t="shared" si="14"/>
        <v>-40485046.965952188</v>
      </c>
      <c r="I59" s="7">
        <f t="shared" si="15"/>
        <v>-116235.25077355446</v>
      </c>
      <c r="J59" s="7">
        <f t="shared" si="18"/>
        <v>-40601282.216725744</v>
      </c>
      <c r="K59" s="7">
        <f t="shared" si="16"/>
        <v>-5130091.8262840938</v>
      </c>
      <c r="L59" s="254"/>
    </row>
    <row r="60" spans="1:12" x14ac:dyDescent="0.2">
      <c r="A60" s="117">
        <f t="shared" si="0"/>
        <v>47</v>
      </c>
      <c r="B60" s="247"/>
      <c r="C60" s="588" t="s">
        <v>205</v>
      </c>
      <c r="D60" s="757">
        <v>2014</v>
      </c>
      <c r="E60" s="258">
        <f t="shared" si="12"/>
        <v>2.7000000000000006E-3</v>
      </c>
      <c r="F60" s="254">
        <f t="shared" si="17"/>
        <v>-40601282.216725744</v>
      </c>
      <c r="G60" s="7">
        <f t="shared" si="13"/>
        <v>5130091.8262840938</v>
      </c>
      <c r="H60" s="7">
        <f t="shared" si="14"/>
        <v>-35471190.390441649</v>
      </c>
      <c r="I60" s="7">
        <f t="shared" si="15"/>
        <v>-102697.838019676</v>
      </c>
      <c r="J60" s="7">
        <f t="shared" si="18"/>
        <v>-35573888.228461325</v>
      </c>
      <c r="K60" s="7">
        <f t="shared" si="16"/>
        <v>-5130091.8262840938</v>
      </c>
      <c r="L60" s="254"/>
    </row>
    <row r="61" spans="1:12" x14ac:dyDescent="0.2">
      <c r="A61" s="117">
        <f t="shared" si="0"/>
        <v>48</v>
      </c>
      <c r="B61" s="247"/>
      <c r="C61" s="588" t="s">
        <v>1690</v>
      </c>
      <c r="D61" s="757">
        <v>2014</v>
      </c>
      <c r="E61" s="258">
        <f t="shared" si="12"/>
        <v>2.7000000000000006E-3</v>
      </c>
      <c r="F61" s="254">
        <f t="shared" si="17"/>
        <v>-35573888.228461325</v>
      </c>
      <c r="G61" s="7">
        <f t="shared" si="13"/>
        <v>5130091.8262840938</v>
      </c>
      <c r="H61" s="7">
        <f t="shared" si="14"/>
        <v>-30443796.40217723</v>
      </c>
      <c r="I61" s="7">
        <f t="shared" si="15"/>
        <v>-89123.874251362067</v>
      </c>
      <c r="J61" s="7">
        <f t="shared" si="18"/>
        <v>-30532920.276428591</v>
      </c>
      <c r="K61" s="7">
        <f t="shared" si="16"/>
        <v>-5130091.8262840938</v>
      </c>
      <c r="L61" s="254"/>
    </row>
    <row r="62" spans="1:12" x14ac:dyDescent="0.2">
      <c r="A62" s="117">
        <f t="shared" si="0"/>
        <v>49</v>
      </c>
      <c r="B62" s="247"/>
      <c r="C62" s="588" t="s">
        <v>207</v>
      </c>
      <c r="D62" s="757">
        <v>2014</v>
      </c>
      <c r="E62" s="258">
        <f t="shared" si="12"/>
        <v>2.7000000000000006E-3</v>
      </c>
      <c r="F62" s="254">
        <f t="shared" si="17"/>
        <v>-30532920.276428591</v>
      </c>
      <c r="G62" s="7">
        <f t="shared" si="13"/>
        <v>5130091.8262840938</v>
      </c>
      <c r="H62" s="7">
        <f t="shared" si="14"/>
        <v>-25402828.4501445</v>
      </c>
      <c r="I62" s="7">
        <f t="shared" si="15"/>
        <v>-75513.260780873694</v>
      </c>
      <c r="J62" s="7">
        <f t="shared" si="18"/>
        <v>-25478341.710925374</v>
      </c>
      <c r="K62" s="7">
        <f t="shared" si="16"/>
        <v>-5130091.8262840938</v>
      </c>
      <c r="L62" s="254"/>
    </row>
    <row r="63" spans="1:12" x14ac:dyDescent="0.2">
      <c r="A63" s="117">
        <f t="shared" si="0"/>
        <v>50</v>
      </c>
      <c r="B63" s="247"/>
      <c r="C63" s="588" t="s">
        <v>208</v>
      </c>
      <c r="D63" s="757">
        <v>2014</v>
      </c>
      <c r="E63" s="258">
        <f t="shared" si="12"/>
        <v>2.7000000000000006E-3</v>
      </c>
      <c r="F63" s="254">
        <f t="shared" si="17"/>
        <v>-25478341.710925374</v>
      </c>
      <c r="G63" s="7">
        <f t="shared" si="13"/>
        <v>5130091.8262840938</v>
      </c>
      <c r="H63" s="7">
        <f t="shared" si="14"/>
        <v>-20348249.884641282</v>
      </c>
      <c r="I63" s="7">
        <f t="shared" si="15"/>
        <v>-61865.898654015007</v>
      </c>
      <c r="J63" s="7">
        <f t="shared" si="18"/>
        <v>-20410115.783295296</v>
      </c>
      <c r="K63" s="7">
        <f t="shared" si="16"/>
        <v>-5130091.8262840938</v>
      </c>
      <c r="L63" s="254"/>
    </row>
    <row r="64" spans="1:12" x14ac:dyDescent="0.2">
      <c r="A64" s="117">
        <f t="shared" si="0"/>
        <v>51</v>
      </c>
      <c r="B64" s="247"/>
      <c r="C64" s="588" t="s">
        <v>209</v>
      </c>
      <c r="D64" s="757">
        <v>2014</v>
      </c>
      <c r="E64" s="258">
        <f t="shared" si="12"/>
        <v>2.7000000000000006E-3</v>
      </c>
      <c r="F64" s="254">
        <f t="shared" si="17"/>
        <v>-20410115.783295296</v>
      </c>
      <c r="G64" s="7">
        <f t="shared" si="13"/>
        <v>5130091.8262840938</v>
      </c>
      <c r="H64" s="7">
        <f t="shared" si="14"/>
        <v>-15280023.957011202</v>
      </c>
      <c r="I64" s="7">
        <f t="shared" si="15"/>
        <v>-48181.68864941378</v>
      </c>
      <c r="J64" s="7">
        <f t="shared" si="18"/>
        <v>-15328205.645660616</v>
      </c>
      <c r="K64" s="7">
        <f t="shared" si="16"/>
        <v>-5130091.8262840938</v>
      </c>
      <c r="L64" s="254"/>
    </row>
    <row r="65" spans="1:13" x14ac:dyDescent="0.2">
      <c r="A65" s="117">
        <f t="shared" si="0"/>
        <v>52</v>
      </c>
      <c r="B65" s="247"/>
      <c r="C65" s="588" t="s">
        <v>212</v>
      </c>
      <c r="D65" s="757">
        <v>2014</v>
      </c>
      <c r="E65" s="258">
        <f t="shared" si="12"/>
        <v>2.7000000000000006E-3</v>
      </c>
      <c r="F65" s="254">
        <f t="shared" si="17"/>
        <v>-15328205.645660616</v>
      </c>
      <c r="G65" s="7">
        <f t="shared" si="13"/>
        <v>5130091.8262840938</v>
      </c>
      <c r="H65" s="7">
        <f t="shared" si="14"/>
        <v>-10198113.819376523</v>
      </c>
      <c r="I65" s="7">
        <f t="shared" si="15"/>
        <v>-34460.531277800146</v>
      </c>
      <c r="J65" s="7">
        <f t="shared" si="18"/>
        <v>-10232574.350654323</v>
      </c>
      <c r="K65" s="7">
        <f t="shared" si="16"/>
        <v>-5130091.8262840938</v>
      </c>
      <c r="L65" s="254"/>
    </row>
    <row r="66" spans="1:13" x14ac:dyDescent="0.2">
      <c r="A66" s="117">
        <f t="shared" si="0"/>
        <v>53</v>
      </c>
      <c r="B66" s="247"/>
      <c r="C66" s="588" t="s">
        <v>211</v>
      </c>
      <c r="D66" s="757">
        <v>2014</v>
      </c>
      <c r="E66" s="258">
        <f t="shared" si="12"/>
        <v>2.7000000000000006E-3</v>
      </c>
      <c r="F66" s="254">
        <f t="shared" si="17"/>
        <v>-10232574.350654323</v>
      </c>
      <c r="G66" s="7">
        <f t="shared" si="13"/>
        <v>5130091.8262840938</v>
      </c>
      <c r="H66" s="7">
        <f t="shared" si="14"/>
        <v>-5102482.5243702289</v>
      </c>
      <c r="I66" s="7">
        <f t="shared" si="15"/>
        <v>-20702.326781283147</v>
      </c>
      <c r="J66" s="7">
        <f t="shared" si="18"/>
        <v>-5123184.851151512</v>
      </c>
      <c r="K66" s="7">
        <f t="shared" si="16"/>
        <v>-5130091.8262840938</v>
      </c>
      <c r="L66" s="254"/>
    </row>
    <row r="67" spans="1:13" ht="12.75" customHeight="1" x14ac:dyDescent="0.2">
      <c r="A67" s="117">
        <f t="shared" si="0"/>
        <v>54</v>
      </c>
      <c r="B67" s="247"/>
      <c r="C67" s="588" t="s">
        <v>201</v>
      </c>
      <c r="D67" s="757">
        <v>2014</v>
      </c>
      <c r="E67" s="258">
        <f t="shared" si="12"/>
        <v>2.7000000000000006E-3</v>
      </c>
      <c r="F67" s="254">
        <f t="shared" si="17"/>
        <v>-5123184.851151512</v>
      </c>
      <c r="G67" s="97">
        <f t="shared" si="13"/>
        <v>5130091.8262840938</v>
      </c>
      <c r="H67" s="7">
        <f t="shared" si="14"/>
        <v>6906.9751325817779</v>
      </c>
      <c r="I67" s="7">
        <f t="shared" si="15"/>
        <v>-6906.9751326255573</v>
      </c>
      <c r="J67" s="7">
        <f t="shared" si="18"/>
        <v>-4.3779436964541674E-8</v>
      </c>
      <c r="K67" s="97">
        <f t="shared" si="16"/>
        <v>-5130091.8262840938</v>
      </c>
      <c r="L67" s="254"/>
      <c r="M67" s="98"/>
    </row>
    <row r="68" spans="1:13" x14ac:dyDescent="0.2">
      <c r="A68" s="117">
        <f t="shared" si="0"/>
        <v>55</v>
      </c>
      <c r="B68" s="247"/>
      <c r="C68" s="21"/>
      <c r="D68" s="24"/>
      <c r="E68" s="256"/>
      <c r="F68" s="256"/>
      <c r="G68" s="251">
        <f>SUM(G56:G67)</f>
        <v>61561101.91540914</v>
      </c>
      <c r="I68" s="258"/>
      <c r="J68" s="248" t="s">
        <v>1172</v>
      </c>
      <c r="K68" s="254">
        <f>SUM(K56:K67)</f>
        <v>-61561101.91540914</v>
      </c>
      <c r="L68" s="254"/>
    </row>
    <row r="69" spans="1:13" x14ac:dyDescent="0.2">
      <c r="A69" s="117">
        <f t="shared" si="0"/>
        <v>56</v>
      </c>
      <c r="B69" s="247"/>
      <c r="C69" s="21"/>
      <c r="D69" s="24"/>
      <c r="E69" s="256"/>
      <c r="F69" s="256"/>
      <c r="G69" s="257"/>
      <c r="H69" s="251"/>
      <c r="I69" s="258"/>
      <c r="J69" s="254"/>
      <c r="K69" s="254"/>
      <c r="L69" s="254"/>
    </row>
    <row r="70" spans="1:13" x14ac:dyDescent="0.2">
      <c r="A70" s="117">
        <f t="shared" si="0"/>
        <v>57</v>
      </c>
      <c r="B70" s="247"/>
      <c r="C70" s="21"/>
      <c r="D70" s="24"/>
      <c r="E70" s="256"/>
      <c r="F70" s="256"/>
      <c r="G70" s="257"/>
      <c r="H70" s="263" t="s">
        <v>1171</v>
      </c>
      <c r="I70" s="251">
        <v>61561101.915409125</v>
      </c>
      <c r="J70" s="254"/>
      <c r="K70" s="254"/>
      <c r="L70" s="254"/>
    </row>
    <row r="71" spans="1:13" x14ac:dyDescent="0.2">
      <c r="A71" s="117">
        <f t="shared" si="0"/>
        <v>58</v>
      </c>
      <c r="B71" s="247"/>
      <c r="C71" s="21"/>
      <c r="D71" s="24"/>
      <c r="E71" s="247"/>
      <c r="F71" s="264"/>
      <c r="G71" s="258"/>
      <c r="H71" s="409"/>
      <c r="I71" s="247"/>
      <c r="J71" s="247"/>
      <c r="K71" s="247"/>
      <c r="L71" s="247"/>
    </row>
    <row r="72" spans="1:13" x14ac:dyDescent="0.2">
      <c r="A72" s="117">
        <f t="shared" si="0"/>
        <v>59</v>
      </c>
      <c r="B72" s="1" t="s">
        <v>546</v>
      </c>
      <c r="C72" s="21"/>
      <c r="D72" s="24"/>
      <c r="E72" s="247"/>
      <c r="F72" s="264"/>
      <c r="G72" s="258"/>
      <c r="H72" s="264"/>
      <c r="I72" s="247"/>
      <c r="J72" s="247"/>
      <c r="K72" s="247"/>
      <c r="L72" s="247"/>
    </row>
    <row r="73" spans="1:13" x14ac:dyDescent="0.2">
      <c r="A73" s="117">
        <f t="shared" si="0"/>
        <v>60</v>
      </c>
      <c r="B73" s="1"/>
      <c r="C73" s="21"/>
      <c r="D73" s="24"/>
      <c r="E73" s="247"/>
      <c r="F73" s="584" t="s">
        <v>258</v>
      </c>
      <c r="G73" s="258"/>
      <c r="H73" s="264"/>
      <c r="I73" s="247"/>
      <c r="J73" s="247"/>
      <c r="K73" s="247"/>
      <c r="L73" s="247"/>
    </row>
    <row r="74" spans="1:13" x14ac:dyDescent="0.2">
      <c r="A74" s="117">
        <f t="shared" si="0"/>
        <v>61</v>
      </c>
      <c r="B74" s="247"/>
      <c r="C74" s="21"/>
      <c r="D74" s="248" t="s">
        <v>1172</v>
      </c>
      <c r="E74" s="393">
        <f>K68</f>
        <v>-61561101.91540914</v>
      </c>
      <c r="F74" s="547" t="s">
        <v>2773</v>
      </c>
      <c r="G74" s="258"/>
      <c r="H74" s="264"/>
      <c r="I74" s="247"/>
      <c r="J74" s="247"/>
      <c r="K74" s="247"/>
      <c r="L74" s="247"/>
    </row>
    <row r="75" spans="1:13" x14ac:dyDescent="0.2">
      <c r="A75" s="117">
        <f t="shared" si="0"/>
        <v>62</v>
      </c>
      <c r="B75" s="247"/>
      <c r="C75" s="21"/>
      <c r="D75" s="91" t="s">
        <v>34</v>
      </c>
      <c r="E75" s="249">
        <f>E74</f>
        <v>-61561101.91540914</v>
      </c>
      <c r="F75" s="155" t="str">
        <f>"Line "&amp;A74&amp;".  Positive amount is to be collected by SCE (included in Base TRR as a positive amount)."</f>
        <v>Line 61.  Positive amount is to be collected by SCE (included in Base TRR as a positive amount).</v>
      </c>
      <c r="G75" s="258"/>
      <c r="H75" s="264"/>
      <c r="I75" s="247"/>
      <c r="J75" s="247"/>
      <c r="K75" s="247"/>
      <c r="L75" s="247"/>
    </row>
    <row r="76" spans="1:13" x14ac:dyDescent="0.2">
      <c r="A76" s="117">
        <f t="shared" si="0"/>
        <v>63</v>
      </c>
      <c r="B76" s="247"/>
      <c r="C76" s="247"/>
      <c r="D76" s="247"/>
      <c r="E76" s="247"/>
      <c r="F76" s="583" t="s">
        <v>1760</v>
      </c>
      <c r="G76" s="247"/>
      <c r="H76" s="247"/>
      <c r="I76" s="247"/>
      <c r="J76" s="247"/>
      <c r="K76" s="247"/>
      <c r="L76" s="247"/>
    </row>
    <row r="77" spans="1:13" x14ac:dyDescent="0.2">
      <c r="A77" s="117">
        <f t="shared" si="0"/>
        <v>64</v>
      </c>
      <c r="B77" s="1" t="s">
        <v>1060</v>
      </c>
      <c r="C77" s="247"/>
      <c r="D77" s="247"/>
      <c r="E77" s="247"/>
      <c r="F77" s="266"/>
      <c r="G77" s="247"/>
      <c r="H77" s="247"/>
      <c r="I77" s="247"/>
      <c r="J77" s="247"/>
      <c r="K77" s="247"/>
      <c r="L77" s="247"/>
    </row>
    <row r="78" spans="1:13" x14ac:dyDescent="0.2">
      <c r="A78" s="117">
        <f t="shared" si="0"/>
        <v>65</v>
      </c>
      <c r="B78" s="13" t="s">
        <v>411</v>
      </c>
      <c r="C78" s="247"/>
      <c r="D78" s="247"/>
      <c r="E78" s="247"/>
      <c r="F78" s="247"/>
      <c r="G78" s="247"/>
      <c r="H78" s="247"/>
      <c r="I78" s="247"/>
      <c r="J78" s="247"/>
      <c r="K78" s="247"/>
      <c r="L78" s="247"/>
    </row>
    <row r="79" spans="1:13" x14ac:dyDescent="0.2">
      <c r="A79" s="117">
        <f t="shared" si="0"/>
        <v>66</v>
      </c>
      <c r="B79" s="13" t="s">
        <v>412</v>
      </c>
      <c r="C79" s="247"/>
      <c r="D79" s="247"/>
      <c r="E79" s="247"/>
      <c r="F79" s="247"/>
      <c r="G79" s="247"/>
      <c r="H79" s="247"/>
      <c r="I79" s="247"/>
      <c r="J79" s="247"/>
      <c r="K79" s="247"/>
      <c r="L79" s="247"/>
    </row>
    <row r="80" spans="1:13" x14ac:dyDescent="0.2">
      <c r="A80" s="117">
        <f t="shared" si="0"/>
        <v>67</v>
      </c>
      <c r="B80" s="13" t="s">
        <v>413</v>
      </c>
      <c r="C80" s="247"/>
      <c r="D80" s="247"/>
      <c r="E80" s="247"/>
      <c r="F80" s="247"/>
      <c r="G80" s="247"/>
      <c r="H80" s="247"/>
      <c r="I80" s="247"/>
      <c r="J80" s="247"/>
      <c r="K80" s="247"/>
      <c r="L80" s="247"/>
    </row>
    <row r="81" spans="1:12" x14ac:dyDescent="0.2">
      <c r="A81" s="117">
        <f t="shared" si="0"/>
        <v>68</v>
      </c>
      <c r="B81" s="247"/>
      <c r="C81" s="247"/>
      <c r="D81" s="247"/>
      <c r="E81" s="247"/>
      <c r="F81" s="247"/>
      <c r="G81" s="247"/>
      <c r="H81" s="247"/>
      <c r="I81" s="247"/>
      <c r="J81" s="247"/>
      <c r="K81" s="247"/>
      <c r="L81" s="247"/>
    </row>
    <row r="82" spans="1:12" x14ac:dyDescent="0.2">
      <c r="A82" s="117">
        <f t="shared" ref="A82:A122" si="19">A81+1</f>
        <v>69</v>
      </c>
      <c r="B82" s="1" t="s">
        <v>1349</v>
      </c>
      <c r="C82" s="247"/>
      <c r="D82" s="247"/>
      <c r="E82" s="247"/>
      <c r="F82" s="247"/>
      <c r="G82" s="247"/>
      <c r="H82" s="247"/>
      <c r="I82" s="247"/>
      <c r="J82" s="247"/>
      <c r="K82" s="247"/>
      <c r="L82" s="247"/>
    </row>
    <row r="83" spans="1:12" x14ac:dyDescent="0.2">
      <c r="A83" s="117">
        <f t="shared" si="19"/>
        <v>70</v>
      </c>
      <c r="B83" s="247"/>
      <c r="C83" s="247"/>
      <c r="D83" s="250" t="s">
        <v>1290</v>
      </c>
      <c r="E83" s="247"/>
      <c r="G83" s="247"/>
      <c r="H83" s="247"/>
      <c r="I83" s="247"/>
      <c r="J83" s="247"/>
      <c r="K83" s="247"/>
      <c r="L83" s="247"/>
    </row>
    <row r="84" spans="1:12" x14ac:dyDescent="0.2">
      <c r="A84" s="117">
        <f t="shared" si="19"/>
        <v>71</v>
      </c>
      <c r="B84" s="247"/>
      <c r="C84" s="25" t="s">
        <v>213</v>
      </c>
      <c r="D84" s="3" t="s">
        <v>1173</v>
      </c>
      <c r="E84" s="3" t="s">
        <v>264</v>
      </c>
      <c r="G84" s="257"/>
      <c r="H84" s="257"/>
      <c r="I84" s="257"/>
      <c r="J84" s="257"/>
      <c r="K84" s="257"/>
      <c r="L84" s="257"/>
    </row>
    <row r="85" spans="1:12" x14ac:dyDescent="0.2">
      <c r="A85" s="117">
        <f t="shared" si="19"/>
        <v>72</v>
      </c>
      <c r="B85" s="247"/>
      <c r="C85" s="20" t="s">
        <v>202</v>
      </c>
      <c r="D85" s="132">
        <v>6.3763211440757639E-2</v>
      </c>
      <c r="E85" s="13" t="s">
        <v>1369</v>
      </c>
      <c r="G85" s="257"/>
      <c r="H85" s="257"/>
      <c r="I85" s="257"/>
      <c r="J85" s="257"/>
      <c r="K85" s="257"/>
      <c r="L85" s="257"/>
    </row>
    <row r="86" spans="1:12" x14ac:dyDescent="0.2">
      <c r="A86" s="117">
        <f t="shared" si="19"/>
        <v>73</v>
      </c>
      <c r="B86" s="247"/>
      <c r="C86" s="21" t="s">
        <v>203</v>
      </c>
      <c r="D86" s="132">
        <v>5.6553289888256801E-2</v>
      </c>
      <c r="G86" s="257"/>
      <c r="H86" s="257"/>
      <c r="I86" s="257"/>
      <c r="J86" s="257"/>
      <c r="K86" s="257"/>
      <c r="L86" s="257"/>
    </row>
    <row r="87" spans="1:12" x14ac:dyDescent="0.2">
      <c r="A87" s="117">
        <f t="shared" si="19"/>
        <v>74</v>
      </c>
      <c r="B87" s="247"/>
      <c r="C87" s="21" t="s">
        <v>216</v>
      </c>
      <c r="D87" s="132">
        <v>7.1828142218240867E-2</v>
      </c>
      <c r="E87" s="13"/>
      <c r="G87" s="257"/>
      <c r="H87" s="257"/>
      <c r="I87" s="257"/>
      <c r="J87" s="257"/>
      <c r="K87" s="257"/>
      <c r="L87" s="257"/>
    </row>
    <row r="88" spans="1:12" x14ac:dyDescent="0.2">
      <c r="A88" s="117">
        <f t="shared" si="19"/>
        <v>75</v>
      </c>
      <c r="B88" s="247"/>
      <c r="C88" s="20" t="s">
        <v>204</v>
      </c>
      <c r="D88" s="132">
        <v>8.2236801934806855E-2</v>
      </c>
      <c r="E88" s="159"/>
      <c r="G88" s="257"/>
      <c r="H88" s="257"/>
      <c r="I88" s="257"/>
      <c r="J88" s="257"/>
      <c r="K88" s="257"/>
      <c r="L88" s="257"/>
    </row>
    <row r="89" spans="1:12" x14ac:dyDescent="0.2">
      <c r="A89" s="117">
        <f t="shared" si="19"/>
        <v>76</v>
      </c>
      <c r="B89" s="247"/>
      <c r="C89" s="21" t="s">
        <v>205</v>
      </c>
      <c r="D89" s="132">
        <v>8.01837425905748E-2</v>
      </c>
      <c r="E89" s="267"/>
      <c r="G89" s="257"/>
      <c r="H89" s="257"/>
      <c r="I89" s="257"/>
      <c r="J89" s="257"/>
      <c r="K89" s="257"/>
      <c r="L89" s="257"/>
    </row>
    <row r="90" spans="1:12" x14ac:dyDescent="0.2">
      <c r="A90" s="117">
        <f t="shared" si="19"/>
        <v>77</v>
      </c>
      <c r="B90" s="247"/>
      <c r="C90" s="21" t="s">
        <v>206</v>
      </c>
      <c r="D90" s="132">
        <v>8.9450501877561497E-2</v>
      </c>
      <c r="E90" s="267"/>
      <c r="G90" s="257"/>
      <c r="H90" s="257"/>
      <c r="I90" s="257"/>
      <c r="J90" s="257"/>
      <c r="K90" s="257"/>
      <c r="L90" s="257"/>
    </row>
    <row r="91" spans="1:12" x14ac:dyDescent="0.2">
      <c r="A91" s="117">
        <f t="shared" si="19"/>
        <v>78</v>
      </c>
      <c r="B91" s="247"/>
      <c r="C91" s="20" t="s">
        <v>207</v>
      </c>
      <c r="D91" s="132">
        <v>9.8908415854749826E-2</v>
      </c>
      <c r="E91" s="267"/>
      <c r="G91" s="257"/>
      <c r="H91" s="257"/>
      <c r="I91" s="257"/>
      <c r="J91" s="257"/>
      <c r="K91" s="257"/>
      <c r="L91" s="257"/>
    </row>
    <row r="92" spans="1:12" x14ac:dyDescent="0.2">
      <c r="A92" s="117">
        <f t="shared" si="19"/>
        <v>79</v>
      </c>
      <c r="B92" s="247"/>
      <c r="C92" s="21" t="s">
        <v>208</v>
      </c>
      <c r="D92" s="132">
        <v>0.10141004323318151</v>
      </c>
      <c r="E92" s="267"/>
      <c r="G92" s="257"/>
      <c r="H92" s="257"/>
      <c r="I92" s="257"/>
      <c r="J92" s="257"/>
      <c r="K92" s="257"/>
      <c r="L92" s="257"/>
    </row>
    <row r="93" spans="1:12" x14ac:dyDescent="0.2">
      <c r="A93" s="117">
        <f t="shared" si="19"/>
        <v>80</v>
      </c>
      <c r="B93" s="247"/>
      <c r="C93" s="21" t="s">
        <v>209</v>
      </c>
      <c r="D93" s="132">
        <v>0.10217900008822713</v>
      </c>
      <c r="E93" s="267"/>
      <c r="G93" s="257"/>
      <c r="H93" s="257"/>
      <c r="I93" s="257"/>
      <c r="J93" s="257"/>
      <c r="K93" s="257"/>
      <c r="L93" s="257"/>
    </row>
    <row r="94" spans="1:12" x14ac:dyDescent="0.2">
      <c r="A94" s="117">
        <f t="shared" si="19"/>
        <v>81</v>
      </c>
      <c r="B94" s="247"/>
      <c r="C94" s="20" t="s">
        <v>212</v>
      </c>
      <c r="D94" s="132">
        <v>9.1787269171678454E-2</v>
      </c>
      <c r="E94" s="267"/>
      <c r="G94" s="257"/>
      <c r="H94" s="257"/>
      <c r="I94" s="257"/>
      <c r="J94" s="257"/>
      <c r="K94" s="257"/>
      <c r="L94" s="257"/>
    </row>
    <row r="95" spans="1:12" x14ac:dyDescent="0.2">
      <c r="A95" s="117">
        <f t="shared" si="19"/>
        <v>82</v>
      </c>
      <c r="B95" s="247"/>
      <c r="C95" s="20" t="s">
        <v>211</v>
      </c>
      <c r="D95" s="132">
        <v>7.5296938318149625E-2</v>
      </c>
      <c r="E95" s="267"/>
      <c r="G95" s="247"/>
      <c r="H95" s="247"/>
      <c r="I95" s="247"/>
      <c r="J95" s="247"/>
      <c r="K95" s="247"/>
      <c r="L95" s="247"/>
    </row>
    <row r="96" spans="1:12" x14ac:dyDescent="0.2">
      <c r="A96" s="117">
        <f t="shared" si="19"/>
        <v>83</v>
      </c>
      <c r="B96" s="247"/>
      <c r="C96" s="21" t="s">
        <v>201</v>
      </c>
      <c r="D96" s="410">
        <v>8.640264338381512E-2</v>
      </c>
      <c r="E96" s="164"/>
      <c r="G96" s="247"/>
      <c r="H96" s="247"/>
      <c r="I96" s="247"/>
      <c r="J96" s="247"/>
      <c r="K96" s="247"/>
      <c r="L96" s="247"/>
    </row>
    <row r="97" spans="1:12" x14ac:dyDescent="0.2">
      <c r="A97" s="117">
        <f t="shared" si="19"/>
        <v>84</v>
      </c>
      <c r="B97" s="247"/>
      <c r="C97" s="34" t="s">
        <v>5</v>
      </c>
      <c r="D97" s="443">
        <f>SUM(D85:D96)</f>
        <v>1.0000000000000002</v>
      </c>
      <c r="E97" s="247"/>
      <c r="G97" s="247"/>
      <c r="H97" s="247"/>
      <c r="I97" s="247"/>
      <c r="J97" s="247"/>
      <c r="K97" s="247"/>
      <c r="L97" s="247"/>
    </row>
    <row r="98" spans="1:12" x14ac:dyDescent="0.2">
      <c r="A98" s="117">
        <f t="shared" si="19"/>
        <v>85</v>
      </c>
      <c r="B98" s="247"/>
      <c r="C98" s="247"/>
      <c r="D98" s="247"/>
      <c r="E98" s="247"/>
      <c r="F98" s="2"/>
      <c r="G98" s="247"/>
      <c r="H98" s="247"/>
      <c r="I98" s="247"/>
      <c r="J98" s="247"/>
      <c r="K98" s="247"/>
      <c r="L98" s="247"/>
    </row>
    <row r="99" spans="1:12" x14ac:dyDescent="0.2">
      <c r="A99" s="117">
        <f t="shared" si="19"/>
        <v>86</v>
      </c>
      <c r="B99" s="1" t="s">
        <v>1429</v>
      </c>
      <c r="C99" s="247"/>
      <c r="D99" s="247"/>
      <c r="E99" s="247"/>
      <c r="F99" s="2"/>
      <c r="G99" s="247"/>
      <c r="H99" s="247"/>
      <c r="I99" s="247"/>
      <c r="J99" s="247"/>
      <c r="K99" s="247"/>
      <c r="L99" s="247"/>
    </row>
    <row r="100" spans="1:12" x14ac:dyDescent="0.2">
      <c r="A100" s="117">
        <f t="shared" si="19"/>
        <v>87</v>
      </c>
      <c r="B100" s="247"/>
      <c r="C100" s="247"/>
      <c r="D100" s="247"/>
      <c r="E100" s="247"/>
      <c r="F100" s="2"/>
      <c r="G100" s="247"/>
      <c r="H100" s="247"/>
      <c r="I100" s="247"/>
      <c r="J100" s="247"/>
      <c r="K100" s="247"/>
      <c r="L100" s="247"/>
    </row>
    <row r="101" spans="1:12" x14ac:dyDescent="0.2">
      <c r="A101" s="117">
        <f t="shared" si="19"/>
        <v>88</v>
      </c>
      <c r="B101" s="247"/>
      <c r="C101" s="90" t="s">
        <v>396</v>
      </c>
      <c r="D101" s="90" t="s">
        <v>380</v>
      </c>
      <c r="E101" s="90" t="s">
        <v>381</v>
      </c>
      <c r="F101" s="90" t="s">
        <v>382</v>
      </c>
      <c r="G101" s="90" t="s">
        <v>383</v>
      </c>
      <c r="H101" s="90" t="s">
        <v>384</v>
      </c>
      <c r="I101" s="90" t="s">
        <v>385</v>
      </c>
    </row>
    <row r="102" spans="1:12" x14ac:dyDescent="0.2">
      <c r="A102" s="117">
        <f t="shared" si="19"/>
        <v>89</v>
      </c>
      <c r="B102" s="247"/>
      <c r="C102" s="93" t="s">
        <v>1174</v>
      </c>
      <c r="D102" s="93" t="s">
        <v>1433</v>
      </c>
      <c r="E102" s="90"/>
      <c r="F102" s="90"/>
      <c r="G102" s="90"/>
      <c r="H102" s="90"/>
      <c r="I102" s="93" t="s">
        <v>590</v>
      </c>
    </row>
    <row r="103" spans="1:12" x14ac:dyDescent="0.2">
      <c r="A103" s="117">
        <f t="shared" si="19"/>
        <v>90</v>
      </c>
      <c r="B103" s="247"/>
      <c r="C103" s="247"/>
      <c r="D103" s="247"/>
      <c r="E103" s="247"/>
      <c r="F103" s="2"/>
      <c r="G103" s="247"/>
      <c r="H103" s="247"/>
      <c r="I103" s="247"/>
    </row>
    <row r="104" spans="1:12" x14ac:dyDescent="0.2">
      <c r="A104" s="117">
        <f t="shared" si="19"/>
        <v>91</v>
      </c>
      <c r="B104" s="247"/>
      <c r="C104" s="2" t="s">
        <v>563</v>
      </c>
      <c r="D104" s="247"/>
      <c r="E104" s="247"/>
      <c r="F104" s="2"/>
      <c r="G104" s="247"/>
      <c r="H104" s="247"/>
      <c r="I104" s="2" t="s">
        <v>20</v>
      </c>
    </row>
    <row r="105" spans="1:12" x14ac:dyDescent="0.2">
      <c r="A105" s="117">
        <f t="shared" si="19"/>
        <v>92</v>
      </c>
      <c r="B105" s="250" t="s">
        <v>448</v>
      </c>
      <c r="C105" s="2" t="s">
        <v>584</v>
      </c>
      <c r="D105" s="247"/>
      <c r="E105" s="247"/>
      <c r="F105" s="90"/>
      <c r="G105" s="247"/>
      <c r="H105" s="247"/>
      <c r="I105" s="2" t="s">
        <v>217</v>
      </c>
    </row>
    <row r="106" spans="1:12" x14ac:dyDescent="0.2">
      <c r="A106" s="117">
        <f t="shared" si="19"/>
        <v>93</v>
      </c>
      <c r="B106" s="250" t="s">
        <v>214</v>
      </c>
      <c r="C106" s="2" t="s">
        <v>339</v>
      </c>
      <c r="D106" s="2" t="s">
        <v>394</v>
      </c>
      <c r="E106" s="2"/>
      <c r="F106" s="2"/>
      <c r="G106" s="2" t="s">
        <v>582</v>
      </c>
      <c r="H106" s="2"/>
      <c r="I106" s="2" t="s">
        <v>21</v>
      </c>
    </row>
    <row r="107" spans="1:12" x14ac:dyDescent="0.2">
      <c r="A107" s="117">
        <f t="shared" si="19"/>
        <v>94</v>
      </c>
      <c r="B107" s="3" t="s">
        <v>213</v>
      </c>
      <c r="C107" s="3" t="s">
        <v>22</v>
      </c>
      <c r="D107" s="3" t="s">
        <v>339</v>
      </c>
      <c r="E107" s="3" t="s">
        <v>338</v>
      </c>
      <c r="F107" s="3" t="s">
        <v>581</v>
      </c>
      <c r="G107" s="3" t="s">
        <v>583</v>
      </c>
      <c r="H107" s="3" t="s">
        <v>394</v>
      </c>
      <c r="I107" s="3" t="s">
        <v>89</v>
      </c>
    </row>
    <row r="108" spans="1:12" x14ac:dyDescent="0.2">
      <c r="A108" s="117">
        <f t="shared" si="19"/>
        <v>95</v>
      </c>
      <c r="B108" s="268" t="s">
        <v>76</v>
      </c>
      <c r="C108" s="265">
        <v>62699176.245275632</v>
      </c>
      <c r="D108" s="265">
        <v>-11414788.5</v>
      </c>
      <c r="E108" s="265">
        <v>320216212.91000003</v>
      </c>
      <c r="F108" s="265">
        <v>371503556.31999999</v>
      </c>
      <c r="G108" s="265">
        <v>59483856</v>
      </c>
      <c r="H108" s="252">
        <v>12914817.674724374</v>
      </c>
      <c r="I108" s="249">
        <f>SUM(C108:H108)</f>
        <v>815402830.64999998</v>
      </c>
    </row>
    <row r="109" spans="1:12" x14ac:dyDescent="0.2">
      <c r="A109" s="117">
        <f t="shared" si="19"/>
        <v>96</v>
      </c>
      <c r="B109" s="268" t="s">
        <v>77</v>
      </c>
      <c r="C109" s="265">
        <v>44848368.045275629</v>
      </c>
      <c r="D109" s="265">
        <v>-6286183.4899999928</v>
      </c>
      <c r="E109" s="265">
        <v>289014247.88999999</v>
      </c>
      <c r="F109" s="265">
        <v>341017247.08999997</v>
      </c>
      <c r="G109" s="265">
        <v>45573688.770000003</v>
      </c>
      <c r="H109" s="265">
        <v>19908557.154724374</v>
      </c>
      <c r="I109" s="249">
        <f t="shared" ref="I109:I118" si="20">SUM(C109:H109)</f>
        <v>734075925.45999992</v>
      </c>
    </row>
    <row r="110" spans="1:12" x14ac:dyDescent="0.2">
      <c r="A110" s="117">
        <f t="shared" si="19"/>
        <v>97</v>
      </c>
      <c r="B110" s="268" t="s">
        <v>78</v>
      </c>
      <c r="C110" s="265">
        <v>48724632.535275623</v>
      </c>
      <c r="D110" s="265">
        <v>-6913825.04</v>
      </c>
      <c r="E110" s="265">
        <v>309615849.49000001</v>
      </c>
      <c r="F110" s="265">
        <v>364449216.79999995</v>
      </c>
      <c r="G110" s="265">
        <v>45038751.549999997</v>
      </c>
      <c r="H110" s="265">
        <v>20855292.564724375</v>
      </c>
      <c r="I110" s="249">
        <f t="shared" si="20"/>
        <v>781769917.89999986</v>
      </c>
    </row>
    <row r="111" spans="1:12" x14ac:dyDescent="0.2">
      <c r="A111" s="117">
        <f t="shared" si="19"/>
        <v>98</v>
      </c>
      <c r="B111" s="268" t="s">
        <v>79</v>
      </c>
      <c r="C111" s="265">
        <v>47002697.415275626</v>
      </c>
      <c r="D111" s="265">
        <v>-6775005.1999999993</v>
      </c>
      <c r="E111" s="265">
        <v>296750725.43000001</v>
      </c>
      <c r="F111" s="265">
        <v>347143052.66000003</v>
      </c>
      <c r="G111" s="265">
        <v>41271264.969999999</v>
      </c>
      <c r="H111" s="265">
        <v>20251558.614724375</v>
      </c>
      <c r="I111" s="249">
        <f t="shared" si="20"/>
        <v>745644293.8900001</v>
      </c>
    </row>
    <row r="112" spans="1:12" x14ac:dyDescent="0.2">
      <c r="A112" s="117">
        <f t="shared" si="19"/>
        <v>99</v>
      </c>
      <c r="B112" s="93" t="s">
        <v>205</v>
      </c>
      <c r="C112" s="265">
        <v>51845985.155275628</v>
      </c>
      <c r="D112" s="265">
        <v>-7411186.9900000002</v>
      </c>
      <c r="E112" s="265">
        <v>321131817.83999997</v>
      </c>
      <c r="F112" s="265">
        <v>374575513.87</v>
      </c>
      <c r="G112" s="265">
        <v>50658215.980000004</v>
      </c>
      <c r="H112" s="265">
        <v>21508757.464724377</v>
      </c>
      <c r="I112" s="249">
        <f t="shared" si="20"/>
        <v>812309103.32000005</v>
      </c>
    </row>
    <row r="113" spans="1:12" x14ac:dyDescent="0.2">
      <c r="A113" s="117">
        <f t="shared" si="19"/>
        <v>100</v>
      </c>
      <c r="B113" s="268" t="s">
        <v>80</v>
      </c>
      <c r="C113" s="265">
        <v>50751026.605275624</v>
      </c>
      <c r="D113" s="265">
        <v>-7560259.0399999991</v>
      </c>
      <c r="E113" s="265">
        <v>344281163.29000002</v>
      </c>
      <c r="F113" s="265">
        <v>653862668.37</v>
      </c>
      <c r="G113" s="265">
        <v>45531380.619999997</v>
      </c>
      <c r="H113" s="265">
        <v>21397457.144724376</v>
      </c>
      <c r="I113" s="249">
        <f t="shared" si="20"/>
        <v>1108263436.99</v>
      </c>
    </row>
    <row r="114" spans="1:12" x14ac:dyDescent="0.2">
      <c r="A114" s="117">
        <f t="shared" si="19"/>
        <v>101</v>
      </c>
      <c r="B114" s="268" t="s">
        <v>81</v>
      </c>
      <c r="C114" s="265">
        <v>59026622.865275621</v>
      </c>
      <c r="D114" s="265">
        <v>-8477078.5899999999</v>
      </c>
      <c r="E114" s="265">
        <v>281230545.75</v>
      </c>
      <c r="F114" s="265">
        <v>598110978.29999995</v>
      </c>
      <c r="G114" s="265">
        <v>57135375.509999998</v>
      </c>
      <c r="H114" s="265">
        <v>24445257.734724376</v>
      </c>
      <c r="I114" s="249">
        <f t="shared" si="20"/>
        <v>1011471701.5699999</v>
      </c>
    </row>
    <row r="115" spans="1:12" x14ac:dyDescent="0.2">
      <c r="A115" s="117">
        <f t="shared" si="19"/>
        <v>102</v>
      </c>
      <c r="B115" s="268" t="s">
        <v>82</v>
      </c>
      <c r="C115" s="265">
        <v>73896640.065275624</v>
      </c>
      <c r="D115" s="265">
        <v>-9894154.3499999996</v>
      </c>
      <c r="E115" s="265">
        <v>425405324.75999999</v>
      </c>
      <c r="F115" s="265">
        <v>803027719.28999996</v>
      </c>
      <c r="G115" s="265">
        <v>111017614.75999999</v>
      </c>
      <c r="H115" s="265">
        <v>26276300.104724374</v>
      </c>
      <c r="I115" s="249">
        <f t="shared" si="20"/>
        <v>1429729444.6299999</v>
      </c>
    </row>
    <row r="116" spans="1:12" x14ac:dyDescent="0.2">
      <c r="A116" s="117">
        <f t="shared" si="19"/>
        <v>103</v>
      </c>
      <c r="B116" s="268" t="s">
        <v>83</v>
      </c>
      <c r="C116" s="265">
        <v>62815106.245275632</v>
      </c>
      <c r="D116" s="265">
        <v>-8821336.4600000009</v>
      </c>
      <c r="E116" s="265">
        <v>386406472.56</v>
      </c>
      <c r="F116" s="265">
        <v>679540086.74000001</v>
      </c>
      <c r="G116" s="265">
        <v>106092548.42</v>
      </c>
      <c r="H116" s="265">
        <v>23571467.994724374</v>
      </c>
      <c r="I116" s="249">
        <f t="shared" si="20"/>
        <v>1249604345.5</v>
      </c>
    </row>
    <row r="117" spans="1:12" x14ac:dyDescent="0.2">
      <c r="A117" s="117">
        <f t="shared" si="19"/>
        <v>104</v>
      </c>
      <c r="B117" s="268" t="s">
        <v>84</v>
      </c>
      <c r="C117" s="265">
        <v>58798242.746666662</v>
      </c>
      <c r="D117" s="265">
        <v>-7674907.5899999999</v>
      </c>
      <c r="E117" s="265">
        <v>344893628.13999999</v>
      </c>
      <c r="F117" s="265">
        <v>374233883.43000007</v>
      </c>
      <c r="G117" s="265">
        <v>75935894.170000002</v>
      </c>
      <c r="H117" s="265">
        <v>21379454.563333333</v>
      </c>
      <c r="I117" s="249">
        <f t="shared" si="20"/>
        <v>867566195.46000004</v>
      </c>
    </row>
    <row r="118" spans="1:12" x14ac:dyDescent="0.2">
      <c r="A118" s="117">
        <f t="shared" si="19"/>
        <v>105</v>
      </c>
      <c r="B118" s="268" t="s">
        <v>85</v>
      </c>
      <c r="C118" s="265">
        <v>64774864.856666662</v>
      </c>
      <c r="D118" s="265">
        <v>-6815265.1300000008</v>
      </c>
      <c r="E118" s="265">
        <v>300027363.51999998</v>
      </c>
      <c r="F118" s="265">
        <v>333631887.90999997</v>
      </c>
      <c r="G118" s="265">
        <v>46659388.879999995</v>
      </c>
      <c r="H118" s="265">
        <v>21902991.463333335</v>
      </c>
      <c r="I118" s="249">
        <f t="shared" si="20"/>
        <v>760181231.5</v>
      </c>
    </row>
    <row r="119" spans="1:12" x14ac:dyDescent="0.2">
      <c r="A119" s="117">
        <f t="shared" si="19"/>
        <v>106</v>
      </c>
      <c r="B119" s="268" t="s">
        <v>86</v>
      </c>
      <c r="C119" s="115">
        <v>60990372.646666668</v>
      </c>
      <c r="D119" s="115">
        <v>-7031444.6500000004</v>
      </c>
      <c r="E119" s="115">
        <v>327684040.89999998</v>
      </c>
      <c r="F119" s="115">
        <v>349509406.15999997</v>
      </c>
      <c r="G119" s="115">
        <v>52147706.629999995</v>
      </c>
      <c r="H119" s="115">
        <v>52903005.153333336</v>
      </c>
      <c r="I119" s="97">
        <f>SUM(C119:H119)</f>
        <v>836203086.83999991</v>
      </c>
    </row>
    <row r="120" spans="1:12" x14ac:dyDescent="0.2">
      <c r="A120" s="117">
        <f t="shared" si="19"/>
        <v>107</v>
      </c>
      <c r="B120" s="93" t="s">
        <v>218</v>
      </c>
      <c r="C120" s="249">
        <f t="shared" ref="C120:I120" si="21">SUM(C108:C119)</f>
        <v>686173735.42748058</v>
      </c>
      <c r="D120" s="249">
        <f t="shared" si="21"/>
        <v>-95075435.030000001</v>
      </c>
      <c r="E120" s="249">
        <f t="shared" si="21"/>
        <v>3946657392.4799995</v>
      </c>
      <c r="F120" s="249">
        <f t="shared" si="21"/>
        <v>5590605216.9399996</v>
      </c>
      <c r="G120" s="249">
        <f t="shared" si="21"/>
        <v>736545686.25999987</v>
      </c>
      <c r="H120" s="249">
        <f t="shared" si="21"/>
        <v>287314917.63251936</v>
      </c>
      <c r="I120" s="249">
        <f t="shared" si="21"/>
        <v>11152221513.709999</v>
      </c>
    </row>
    <row r="121" spans="1:12" x14ac:dyDescent="0.2">
      <c r="A121" s="117">
        <f t="shared" si="19"/>
        <v>108</v>
      </c>
      <c r="B121" s="247"/>
      <c r="C121" s="247"/>
      <c r="D121" s="247"/>
      <c r="E121" s="247"/>
      <c r="F121" s="247"/>
      <c r="G121" s="247"/>
      <c r="H121" s="99"/>
      <c r="I121" s="247"/>
      <c r="J121" s="247"/>
      <c r="K121" s="247"/>
      <c r="L121" s="247"/>
    </row>
    <row r="122" spans="1:12" x14ac:dyDescent="0.2">
      <c r="A122" s="117">
        <f t="shared" si="19"/>
        <v>109</v>
      </c>
      <c r="B122" s="247"/>
      <c r="C122" s="247"/>
      <c r="D122" s="247"/>
      <c r="E122" s="247"/>
      <c r="F122" s="247"/>
      <c r="G122" s="247"/>
      <c r="H122" s="99" t="s">
        <v>585</v>
      </c>
      <c r="I122" s="252">
        <v>11152221514</v>
      </c>
      <c r="J122" s="247"/>
      <c r="K122" s="247"/>
      <c r="L122" s="247"/>
    </row>
    <row r="123" spans="1:12" x14ac:dyDescent="0.2">
      <c r="A123" s="247"/>
      <c r="B123" s="247"/>
      <c r="C123" s="247"/>
      <c r="D123" s="247"/>
      <c r="E123" s="247"/>
      <c r="F123" s="247"/>
      <c r="G123" s="247"/>
      <c r="H123" s="247"/>
      <c r="I123" s="247"/>
      <c r="J123" s="247"/>
      <c r="K123" s="247"/>
      <c r="L123" s="247"/>
    </row>
    <row r="124" spans="1:12" x14ac:dyDescent="0.2">
      <c r="A124" s="2"/>
      <c r="B124" s="44" t="s">
        <v>422</v>
      </c>
      <c r="C124" s="257"/>
      <c r="D124" s="257"/>
      <c r="E124" s="257"/>
      <c r="F124" s="257"/>
      <c r="G124" s="257"/>
      <c r="H124" s="257"/>
      <c r="I124" s="251"/>
      <c r="J124" s="257"/>
      <c r="K124" s="257"/>
      <c r="L124" s="247"/>
    </row>
    <row r="125" spans="1:12" x14ac:dyDescent="0.2">
      <c r="A125" s="2"/>
      <c r="B125" s="547" t="s">
        <v>2698</v>
      </c>
      <c r="C125" s="257"/>
      <c r="D125" s="257"/>
      <c r="E125" s="257"/>
      <c r="F125" s="257"/>
      <c r="G125" s="257"/>
      <c r="H125" s="257"/>
      <c r="I125" s="257"/>
      <c r="J125" s="257"/>
      <c r="K125" s="257"/>
      <c r="L125" s="247"/>
    </row>
    <row r="126" spans="1:12" x14ac:dyDescent="0.2">
      <c r="A126" s="2"/>
      <c r="B126" s="547" t="s">
        <v>2699</v>
      </c>
      <c r="C126" s="257"/>
      <c r="D126" s="257"/>
      <c r="E126" s="257"/>
      <c r="F126" s="257"/>
      <c r="G126" s="257"/>
      <c r="H126" s="257"/>
      <c r="I126" s="257"/>
      <c r="J126" s="257"/>
      <c r="K126" s="257"/>
      <c r="L126" s="247"/>
    </row>
    <row r="127" spans="1:12" x14ac:dyDescent="0.2">
      <c r="A127" s="2"/>
      <c r="B127" s="162" t="s">
        <v>1175</v>
      </c>
      <c r="C127" s="257"/>
      <c r="D127" s="257"/>
      <c r="E127" s="257"/>
      <c r="F127" s="257"/>
      <c r="G127" s="257"/>
      <c r="H127" s="257"/>
      <c r="I127" s="257"/>
      <c r="J127" s="257"/>
      <c r="K127" s="257"/>
      <c r="L127" s="247"/>
    </row>
    <row r="128" spans="1:12" x14ac:dyDescent="0.2">
      <c r="A128" s="2"/>
      <c r="B128" s="46" t="s">
        <v>1061</v>
      </c>
      <c r="C128" s="257"/>
      <c r="D128" s="257"/>
      <c r="E128" s="257"/>
      <c r="F128" s="257"/>
      <c r="G128" s="257"/>
      <c r="H128" s="257"/>
      <c r="I128" s="257"/>
      <c r="J128" s="257"/>
      <c r="K128" s="257"/>
      <c r="L128" s="247"/>
    </row>
    <row r="129" spans="1:12" x14ac:dyDescent="0.2">
      <c r="A129" s="2"/>
      <c r="B129" s="1129" t="s">
        <v>2700</v>
      </c>
      <c r="C129" s="257"/>
      <c r="D129" s="257"/>
      <c r="E129" s="257"/>
      <c r="F129" s="257"/>
      <c r="G129" s="257"/>
      <c r="H129" s="257"/>
      <c r="I129" s="257"/>
      <c r="J129" s="257"/>
      <c r="K129" s="257"/>
      <c r="L129" s="247"/>
    </row>
    <row r="130" spans="1:12" x14ac:dyDescent="0.2">
      <c r="A130" s="2"/>
      <c r="B130" s="547" t="s">
        <v>2701</v>
      </c>
      <c r="C130" s="257"/>
      <c r="D130" s="257"/>
      <c r="E130" s="257"/>
      <c r="F130" s="257"/>
      <c r="G130" s="257"/>
      <c r="H130" s="257"/>
      <c r="I130" s="257"/>
      <c r="J130" s="257"/>
      <c r="K130" s="257"/>
      <c r="L130" s="247"/>
    </row>
    <row r="131" spans="1:12" x14ac:dyDescent="0.2">
      <c r="A131" s="2"/>
      <c r="B131" s="1130" t="s">
        <v>2702</v>
      </c>
      <c r="C131" s="257"/>
      <c r="D131" s="257"/>
      <c r="E131" s="257"/>
      <c r="F131" s="257"/>
      <c r="G131" s="257"/>
      <c r="H131" s="257"/>
      <c r="I131" s="257"/>
      <c r="J131" s="257"/>
      <c r="K131" s="257"/>
      <c r="L131" s="247"/>
    </row>
    <row r="132" spans="1:12" x14ac:dyDescent="0.2">
      <c r="A132" s="679"/>
      <c r="B132" s="1130" t="str">
        <f>"This instruction requires that the amount on Line "&amp;A70&amp;" Column 6 be calculated so that any over or under collection at the beginning of the Rate Effective Period"</f>
        <v>This instruction requires that the amount on Line 57 Column 6 be calculated so that any over or under collection at the beginning of the Rate Effective Period</v>
      </c>
      <c r="C132" s="257"/>
      <c r="D132" s="257"/>
      <c r="E132" s="257"/>
      <c r="F132" s="257"/>
      <c r="G132" s="257"/>
      <c r="H132" s="257"/>
      <c r="I132" s="257"/>
      <c r="J132" s="257"/>
      <c r="K132" s="257"/>
    </row>
    <row r="133" spans="1:12" x14ac:dyDescent="0.2">
      <c r="A133" s="679"/>
      <c r="B133" s="1130" t="str">
        <f>"is completely amortized over the following 12 months, as reflected by the Line "&amp;A67&amp;", Column 7 amount being equal to zero.  It may be necessary to iterate for"</f>
        <v>is completely amortized over the following 12 months, as reflected by the Line 54, Column 7 amount being equal to zero.  It may be necessary to iterate for</v>
      </c>
      <c r="C133" s="257"/>
      <c r="D133" s="257"/>
      <c r="E133" s="257"/>
      <c r="F133" s="257"/>
      <c r="G133" s="257"/>
      <c r="H133" s="257"/>
      <c r="I133" s="257"/>
      <c r="J133" s="257"/>
      <c r="K133" s="257"/>
      <c r="L133" s="247"/>
    </row>
    <row r="134" spans="1:12" x14ac:dyDescent="0.2">
      <c r="A134" s="679"/>
      <c r="B134" s="1129" t="s">
        <v>2279</v>
      </c>
      <c r="C134" s="14"/>
      <c r="D134" s="257"/>
      <c r="E134" s="257"/>
      <c r="F134" s="257"/>
      <c r="G134" s="257"/>
      <c r="H134" s="257"/>
      <c r="I134" s="257"/>
      <c r="J134" s="257"/>
      <c r="K134" s="257"/>
      <c r="L134" s="247"/>
    </row>
    <row r="135" spans="1:12" x14ac:dyDescent="0.2">
      <c r="A135" s="2"/>
      <c r="B135" s="547" t="s">
        <v>2615</v>
      </c>
      <c r="C135" s="257"/>
      <c r="D135" s="257"/>
      <c r="E135" s="257"/>
      <c r="F135" s="257"/>
      <c r="G135" s="257"/>
      <c r="H135" s="257"/>
      <c r="I135" s="257"/>
      <c r="J135" s="257"/>
      <c r="K135" s="257"/>
      <c r="L135" s="247"/>
    </row>
    <row r="136" spans="1:12" x14ac:dyDescent="0.2">
      <c r="A136" s="2"/>
      <c r="B136" s="518" t="s">
        <v>2009</v>
      </c>
      <c r="C136" s="257"/>
      <c r="D136" s="257"/>
      <c r="E136" s="257"/>
      <c r="F136" s="257"/>
      <c r="G136" s="257"/>
      <c r="H136" s="257"/>
      <c r="I136" s="257"/>
      <c r="J136" s="257"/>
      <c r="K136" s="257"/>
      <c r="L136" s="247"/>
    </row>
    <row r="137" spans="1:12" x14ac:dyDescent="0.2">
      <c r="A137" s="2"/>
      <c r="B137" s="407" t="s">
        <v>547</v>
      </c>
      <c r="C137" s="257"/>
      <c r="D137" s="257"/>
      <c r="E137" s="257"/>
      <c r="F137" s="257"/>
      <c r="G137" s="257"/>
      <c r="H137" s="257"/>
      <c r="I137" s="257"/>
      <c r="J137" s="257"/>
      <c r="K137" s="257"/>
      <c r="L137" s="247"/>
    </row>
    <row r="138" spans="1:12" x14ac:dyDescent="0.2">
      <c r="A138" s="2"/>
      <c r="B138" s="1131" t="s">
        <v>1715</v>
      </c>
      <c r="C138" s="257"/>
      <c r="D138" s="257"/>
      <c r="E138" s="257"/>
      <c r="F138" s="257"/>
      <c r="G138" s="257"/>
      <c r="H138" s="257"/>
      <c r="I138" s="257"/>
      <c r="J138" s="257"/>
      <c r="K138" s="257"/>
      <c r="L138" s="247"/>
    </row>
    <row r="139" spans="1:12" x14ac:dyDescent="0.2">
      <c r="A139" s="2"/>
      <c r="B139" s="1132" t="s">
        <v>1176</v>
      </c>
      <c r="C139" s="257"/>
      <c r="D139" s="257"/>
      <c r="E139" s="257"/>
      <c r="F139" s="257"/>
      <c r="G139" s="257"/>
      <c r="H139" s="257"/>
      <c r="I139" s="257"/>
      <c r="J139" s="257"/>
      <c r="K139" s="257"/>
      <c r="L139" s="247"/>
    </row>
    <row r="140" spans="1:12" x14ac:dyDescent="0.2">
      <c r="A140" s="2"/>
      <c r="B140" s="1132" t="str">
        <f>"Entering on Line "&amp;A24&amp;" ensures these One Time Adjustments are recovered from or returned to customers."</f>
        <v>Entering on Line 11 ensures these One Time Adjustments are recovered from or returned to customers.</v>
      </c>
      <c r="C140" s="257"/>
      <c r="D140" s="257"/>
      <c r="E140" s="257"/>
      <c r="F140" s="257"/>
      <c r="G140" s="257"/>
      <c r="H140" s="257"/>
      <c r="I140" s="257"/>
      <c r="J140" s="257"/>
      <c r="K140" s="257"/>
      <c r="L140" s="247"/>
    </row>
    <row r="141" spans="1:12" x14ac:dyDescent="0.2">
      <c r="A141" s="2"/>
      <c r="B141" s="407" t="s">
        <v>1338</v>
      </c>
      <c r="C141" s="1133"/>
      <c r="D141" s="257"/>
      <c r="E141" s="257"/>
      <c r="F141" s="257"/>
      <c r="G141" s="257"/>
      <c r="H141" s="257"/>
      <c r="I141" s="257"/>
      <c r="J141" s="257"/>
      <c r="K141" s="257"/>
      <c r="L141" s="247"/>
    </row>
    <row r="142" spans="1:12" x14ac:dyDescent="0.2">
      <c r="A142" s="2"/>
      <c r="B142" s="547" t="s">
        <v>2703</v>
      </c>
      <c r="C142" s="257"/>
      <c r="D142" s="257"/>
      <c r="E142" s="257"/>
      <c r="F142" s="257"/>
      <c r="G142" s="257"/>
      <c r="H142" s="257"/>
      <c r="I142" s="257"/>
      <c r="J142" s="14"/>
      <c r="K142" s="257"/>
      <c r="L142" s="247"/>
    </row>
    <row r="143" spans="1:12" x14ac:dyDescent="0.2">
      <c r="A143" s="2"/>
      <c r="B143" s="547" t="s">
        <v>2704</v>
      </c>
      <c r="C143" s="257"/>
      <c r="D143" s="257"/>
      <c r="E143" s="257"/>
      <c r="F143" s="257"/>
      <c r="G143" s="257"/>
      <c r="H143" s="257"/>
      <c r="I143" s="257"/>
      <c r="J143" s="257"/>
      <c r="K143" s="257"/>
      <c r="L143" s="247"/>
    </row>
    <row r="144" spans="1:12" x14ac:dyDescent="0.2">
      <c r="A144" s="2"/>
      <c r="B144" s="547" t="s">
        <v>1716</v>
      </c>
      <c r="C144" s="257"/>
      <c r="D144" s="257"/>
      <c r="E144" s="257"/>
      <c r="F144" s="257"/>
      <c r="G144" s="257"/>
      <c r="H144" s="257"/>
      <c r="I144" s="257"/>
      <c r="J144" s="257"/>
      <c r="K144" s="257"/>
      <c r="L144" s="247"/>
    </row>
    <row r="145" spans="1:12" x14ac:dyDescent="0.2">
      <c r="A145" s="2"/>
      <c r="B145" s="405" t="s">
        <v>1177</v>
      </c>
      <c r="C145" s="257"/>
      <c r="D145" s="257"/>
      <c r="E145" s="257"/>
      <c r="F145" s="257"/>
      <c r="G145" s="257"/>
      <c r="H145" s="257"/>
      <c r="I145" s="257"/>
      <c r="J145" s="257"/>
      <c r="K145" s="257"/>
      <c r="L145" s="247"/>
    </row>
    <row r="146" spans="1:12" x14ac:dyDescent="0.2">
      <c r="A146" s="2"/>
      <c r="B146" s="1114" t="s">
        <v>258</v>
      </c>
      <c r="C146" s="257"/>
      <c r="D146" s="257"/>
      <c r="E146" s="257"/>
      <c r="F146" s="257"/>
      <c r="G146" s="257"/>
      <c r="H146" s="257"/>
      <c r="I146" s="257"/>
      <c r="J146" s="257"/>
      <c r="K146" s="257"/>
      <c r="L146" s="247"/>
    </row>
    <row r="147" spans="1:12" x14ac:dyDescent="0.2">
      <c r="A147" s="2"/>
      <c r="B147" s="547" t="s">
        <v>1713</v>
      </c>
      <c r="C147" s="257"/>
      <c r="D147" s="257"/>
      <c r="E147" s="257"/>
      <c r="F147" s="257"/>
      <c r="G147" s="257"/>
      <c r="H147" s="257"/>
      <c r="I147" s="257"/>
      <c r="J147" s="257"/>
      <c r="K147" s="257"/>
      <c r="L147" s="247"/>
    </row>
    <row r="148" spans="1:12" x14ac:dyDescent="0.2">
      <c r="A148" s="2"/>
      <c r="B148" s="577" t="s">
        <v>1714</v>
      </c>
      <c r="C148" s="257"/>
      <c r="D148" s="257"/>
      <c r="E148" s="257"/>
      <c r="F148" s="257"/>
      <c r="G148" s="257"/>
      <c r="H148" s="257"/>
      <c r="I148" s="257"/>
      <c r="J148" s="257"/>
      <c r="K148" s="257"/>
      <c r="L148" s="247"/>
    </row>
    <row r="149" spans="1:12" x14ac:dyDescent="0.2">
      <c r="A149" s="2"/>
      <c r="B149" s="162" t="str">
        <f>"a Partial Year True Up, use the Partial Year TRR Attribution Allocation Factors on Lines "&amp;A85&amp;" to "&amp;A96&amp;" for each month of Partial Year True Up  ."</f>
        <v>a Partial Year True Up, use the Partial Year TRR Attribution Allocation Factors on Lines 72 to 83 for each month of Partial Year True Up  .</v>
      </c>
      <c r="C149" s="257"/>
      <c r="D149" s="257"/>
      <c r="E149" s="257"/>
      <c r="F149" s="257"/>
      <c r="G149" s="257"/>
      <c r="H149" s="257"/>
      <c r="I149" s="257"/>
      <c r="J149" s="257"/>
      <c r="K149" s="257"/>
      <c r="L149" s="247"/>
    </row>
    <row r="150" spans="1:12" x14ac:dyDescent="0.2">
      <c r="A150" s="582"/>
      <c r="B150" s="162" t="str">
        <f>"Only enter in the Prior Year, Lines "&amp;A24&amp;" to "&amp;A35&amp;", or portion of year formula was in effect in case of Partial Year True Up."</f>
        <v>Only enter in the Prior Year, Lines 11 to 22, or portion of year formula was in effect in case of Partial Year True Up.</v>
      </c>
      <c r="C150" s="257"/>
      <c r="D150" s="257"/>
      <c r="E150" s="257"/>
      <c r="F150" s="257"/>
      <c r="G150" s="257"/>
      <c r="H150" s="257"/>
      <c r="I150" s="257"/>
      <c r="J150" s="257"/>
      <c r="K150" s="257"/>
      <c r="L150" s="247"/>
    </row>
    <row r="151" spans="1:12" x14ac:dyDescent="0.2">
      <c r="A151" s="679"/>
      <c r="B151" s="696" t="s">
        <v>2243</v>
      </c>
      <c r="C151" s="257"/>
      <c r="D151" s="257"/>
      <c r="E151" s="257"/>
      <c r="F151" s="257"/>
      <c r="G151" s="257"/>
      <c r="H151" s="257"/>
      <c r="I151" s="257"/>
      <c r="J151" s="257"/>
      <c r="K151" s="257"/>
      <c r="L151" s="247"/>
    </row>
    <row r="152" spans="1:12" x14ac:dyDescent="0.2">
      <c r="A152" s="2"/>
      <c r="B152" s="157" t="s">
        <v>1178</v>
      </c>
      <c r="C152" s="257"/>
      <c r="D152" s="257"/>
      <c r="E152" s="257"/>
      <c r="F152" s="257"/>
      <c r="G152" s="257"/>
      <c r="H152" s="257"/>
      <c r="I152" s="257"/>
      <c r="J152" s="257"/>
      <c r="K152" s="257"/>
      <c r="L152" s="247"/>
    </row>
    <row r="153" spans="1:12" x14ac:dyDescent="0.2">
      <c r="A153" s="2"/>
      <c r="B153" s="162" t="str">
        <f>"as shown on Lines "&amp;A108&amp;" to"&amp;A119&amp;", Column 1."</f>
        <v>as shown on Lines 95 to106, Column 1.</v>
      </c>
      <c r="C153" s="257"/>
      <c r="D153" s="257"/>
      <c r="E153" s="257"/>
      <c r="F153" s="257"/>
      <c r="G153" s="257"/>
      <c r="H153" s="257"/>
      <c r="I153" s="257"/>
      <c r="J153" s="257"/>
      <c r="K153" s="257"/>
      <c r="L153" s="247"/>
    </row>
    <row r="154" spans="1:12" x14ac:dyDescent="0.2">
      <c r="A154" s="2"/>
      <c r="B154" s="157" t="s">
        <v>1179</v>
      </c>
      <c r="C154" s="257"/>
      <c r="D154" s="257"/>
      <c r="E154" s="257"/>
      <c r="F154" s="257"/>
      <c r="G154" s="257"/>
      <c r="H154" s="257"/>
      <c r="I154" s="257"/>
      <c r="J154" s="257"/>
      <c r="K154" s="257"/>
      <c r="L154" s="247"/>
    </row>
    <row r="155" spans="1:12" x14ac:dyDescent="0.2">
      <c r="A155" s="2"/>
      <c r="B155" s="696" t="s">
        <v>2705</v>
      </c>
      <c r="C155" s="257"/>
      <c r="D155" s="257"/>
      <c r="E155" s="257"/>
      <c r="F155" s="257"/>
      <c r="G155" s="257"/>
      <c r="H155" s="257"/>
      <c r="I155" s="257"/>
      <c r="J155" s="257"/>
      <c r="K155" s="257"/>
      <c r="L155" s="247"/>
    </row>
    <row r="156" spans="1:12" x14ac:dyDescent="0.2">
      <c r="A156" s="2"/>
      <c r="B156" s="696" t="s">
        <v>2706</v>
      </c>
      <c r="C156" s="257"/>
      <c r="D156" s="257"/>
      <c r="E156" s="257"/>
      <c r="F156" s="257"/>
      <c r="G156" s="257"/>
      <c r="H156" s="257"/>
      <c r="I156" s="257"/>
      <c r="J156" s="257"/>
      <c r="K156" s="257"/>
      <c r="L156" s="247"/>
    </row>
    <row r="157" spans="1:12" x14ac:dyDescent="0.2">
      <c r="A157" s="679"/>
      <c r="B157" s="696" t="s">
        <v>2916</v>
      </c>
      <c r="C157" s="257"/>
      <c r="D157" s="257"/>
      <c r="E157" s="257"/>
      <c r="F157" s="257"/>
      <c r="G157" s="257"/>
      <c r="H157" s="257"/>
      <c r="I157" s="257"/>
      <c r="J157" s="257"/>
      <c r="K157" s="257"/>
      <c r="L157" s="247"/>
    </row>
    <row r="158" spans="1:12" x14ac:dyDescent="0.2">
      <c r="A158" s="679"/>
      <c r="B158" s="696" t="s">
        <v>2917</v>
      </c>
      <c r="C158" s="257"/>
      <c r="D158" s="257"/>
      <c r="E158" s="257"/>
      <c r="F158" s="257"/>
      <c r="G158" s="257"/>
      <c r="H158" s="257"/>
      <c r="I158" s="257"/>
      <c r="J158" s="257"/>
      <c r="K158" s="257"/>
      <c r="L158" s="247"/>
    </row>
    <row r="159" spans="1:12" x14ac:dyDescent="0.2">
      <c r="A159" s="2"/>
      <c r="B159" s="696" t="s">
        <v>2008</v>
      </c>
      <c r="C159" s="257"/>
      <c r="D159" s="257"/>
      <c r="E159" s="257"/>
      <c r="F159" s="257"/>
      <c r="G159" s="257"/>
      <c r="H159" s="257"/>
      <c r="I159" s="257"/>
      <c r="J159" s="257"/>
      <c r="K159" s="257"/>
      <c r="L159" s="247"/>
    </row>
    <row r="160" spans="1:12" x14ac:dyDescent="0.2">
      <c r="A160" s="2"/>
      <c r="B160" s="577" t="s">
        <v>1862</v>
      </c>
      <c r="C160" s="257"/>
      <c r="D160" s="257"/>
      <c r="E160" s="257"/>
      <c r="F160" s="257"/>
      <c r="G160" s="257"/>
      <c r="H160" s="257"/>
      <c r="I160" s="257"/>
      <c r="J160" s="257"/>
      <c r="K160" s="257"/>
      <c r="L160" s="247"/>
    </row>
    <row r="161" spans="1:12" x14ac:dyDescent="0.2">
      <c r="A161" s="2"/>
      <c r="B161" s="46" t="s">
        <v>1180</v>
      </c>
      <c r="C161" s="257"/>
      <c r="D161" s="257"/>
      <c r="E161" s="257"/>
      <c r="F161" s="257"/>
      <c r="G161" s="257"/>
      <c r="H161" s="257"/>
      <c r="I161" s="257"/>
      <c r="J161" s="257"/>
      <c r="K161" s="257"/>
      <c r="L161" s="247"/>
    </row>
    <row r="162" spans="1:12" x14ac:dyDescent="0.2">
      <c r="A162" s="2"/>
      <c r="B162" s="405" t="s">
        <v>1181</v>
      </c>
      <c r="C162" s="257"/>
      <c r="D162" s="257"/>
      <c r="E162" s="257"/>
      <c r="F162" s="257"/>
      <c r="G162" s="257"/>
      <c r="H162" s="257"/>
      <c r="I162" s="257"/>
      <c r="J162" s="257"/>
      <c r="K162" s="257"/>
      <c r="L162" s="247"/>
    </row>
    <row r="163" spans="1:12" x14ac:dyDescent="0.2">
      <c r="A163" s="2"/>
      <c r="B163" s="46" t="s">
        <v>1182</v>
      </c>
      <c r="C163" s="257"/>
      <c r="D163" s="257"/>
      <c r="E163" s="257"/>
      <c r="F163" s="257"/>
      <c r="G163" s="257"/>
      <c r="H163" s="257"/>
      <c r="I163" s="257"/>
      <c r="J163" s="257"/>
      <c r="K163" s="257"/>
      <c r="L163" s="247"/>
    </row>
    <row r="164" spans="1:12" x14ac:dyDescent="0.2">
      <c r="A164" s="2"/>
      <c r="B164" s="1134" t="s">
        <v>1183</v>
      </c>
      <c r="C164" s="257"/>
      <c r="D164" s="257"/>
      <c r="E164" s="257"/>
      <c r="F164" s="257"/>
      <c r="G164" s="257"/>
      <c r="H164" s="257"/>
      <c r="I164" s="257"/>
      <c r="J164" s="257"/>
      <c r="K164" s="257"/>
      <c r="L164" s="247"/>
    </row>
    <row r="165" spans="1:12" x14ac:dyDescent="0.2">
      <c r="A165" s="2"/>
      <c r="B165" s="547" t="s">
        <v>2707</v>
      </c>
      <c r="C165" s="257"/>
      <c r="D165" s="257"/>
      <c r="E165" s="257"/>
      <c r="F165" s="257"/>
      <c r="G165" s="257"/>
      <c r="H165" s="257"/>
      <c r="I165" s="257"/>
      <c r="J165" s="257"/>
      <c r="K165" s="257"/>
      <c r="L165" s="247"/>
    </row>
    <row r="166" spans="1:12" x14ac:dyDescent="0.2">
      <c r="A166" s="2"/>
      <c r="B166" s="1135" t="s">
        <v>2708</v>
      </c>
      <c r="C166" s="257"/>
      <c r="D166" s="257"/>
      <c r="E166" s="257"/>
      <c r="F166" s="257"/>
      <c r="G166" s="257"/>
      <c r="H166" s="257"/>
      <c r="I166" s="257"/>
      <c r="J166" s="257"/>
      <c r="K166" s="257"/>
      <c r="L166" s="247"/>
    </row>
    <row r="167" spans="1:12" x14ac:dyDescent="0.2">
      <c r="A167" s="2"/>
      <c r="B167" s="527" t="s">
        <v>2709</v>
      </c>
      <c r="C167" s="257"/>
      <c r="D167" s="257"/>
      <c r="E167" s="257"/>
      <c r="F167" s="257"/>
      <c r="G167" s="257"/>
      <c r="H167" s="257"/>
      <c r="I167" s="257"/>
      <c r="J167" s="257"/>
      <c r="K167" s="257"/>
      <c r="L167" s="247"/>
    </row>
    <row r="168" spans="1:12" x14ac:dyDescent="0.2">
      <c r="A168" s="247"/>
      <c r="B168" s="527" t="s">
        <v>1761</v>
      </c>
      <c r="C168" s="257"/>
      <c r="D168" s="257"/>
      <c r="E168" s="257"/>
      <c r="F168" s="257"/>
      <c r="G168" s="257"/>
      <c r="H168" s="257"/>
      <c r="I168" s="257"/>
      <c r="J168" s="257"/>
      <c r="K168" s="257"/>
      <c r="L168" s="247"/>
    </row>
    <row r="169" spans="1:12" x14ac:dyDescent="0.2">
      <c r="A169" s="247"/>
      <c r="B169" s="46" t="s">
        <v>1432</v>
      </c>
      <c r="C169" s="257"/>
      <c r="D169" s="257"/>
      <c r="E169" s="257"/>
      <c r="F169" s="257"/>
      <c r="G169" s="257"/>
      <c r="H169" s="257"/>
      <c r="I169" s="257"/>
      <c r="J169" s="257"/>
      <c r="K169" s="257"/>
      <c r="L169" s="247"/>
    </row>
    <row r="170" spans="1:12" x14ac:dyDescent="0.2">
      <c r="A170" s="247"/>
      <c r="B170" s="46" t="s">
        <v>1430</v>
      </c>
      <c r="C170" s="257"/>
      <c r="D170" s="257"/>
      <c r="E170" s="257"/>
      <c r="F170" s="257"/>
      <c r="G170" s="257"/>
      <c r="H170" s="257"/>
      <c r="I170" s="257"/>
      <c r="J170" s="257"/>
      <c r="K170" s="257"/>
      <c r="L170" s="247"/>
    </row>
    <row r="171" spans="1:12" x14ac:dyDescent="0.2">
      <c r="A171" s="247"/>
      <c r="B171" s="405" t="s">
        <v>589</v>
      </c>
      <c r="C171" s="257"/>
      <c r="D171" s="257"/>
      <c r="E171" s="257"/>
      <c r="F171" s="257"/>
      <c r="G171" s="257"/>
      <c r="H171" s="257"/>
      <c r="I171" s="257"/>
      <c r="J171" s="257"/>
      <c r="K171" s="257"/>
      <c r="L171" s="247"/>
    </row>
    <row r="172" spans="1:12" x14ac:dyDescent="0.2">
      <c r="A172" s="247"/>
      <c r="B172" s="1129" t="s">
        <v>2320</v>
      </c>
      <c r="C172" s="257"/>
      <c r="D172" s="257"/>
      <c r="E172" s="257"/>
      <c r="F172" s="257"/>
      <c r="G172" s="257"/>
      <c r="H172" s="257"/>
      <c r="I172" s="257"/>
      <c r="J172" s="257"/>
      <c r="K172" s="257"/>
      <c r="L172" s="247"/>
    </row>
    <row r="173" spans="1:12" x14ac:dyDescent="0.2">
      <c r="A173" s="247"/>
      <c r="B173" s="1129" t="s">
        <v>2321</v>
      </c>
      <c r="C173" s="257"/>
      <c r="D173" s="257"/>
      <c r="E173" s="257"/>
      <c r="F173" s="257"/>
      <c r="G173" s="257"/>
      <c r="H173" s="257"/>
      <c r="I173" s="257"/>
      <c r="J173" s="257"/>
      <c r="K173" s="257"/>
      <c r="L173" s="247"/>
    </row>
    <row r="174" spans="1:12" x14ac:dyDescent="0.2">
      <c r="A174" s="247"/>
      <c r="B174" s="46" t="s">
        <v>1431</v>
      </c>
      <c r="C174" s="257"/>
      <c r="D174" s="257"/>
      <c r="E174" s="257"/>
      <c r="F174" s="257"/>
      <c r="G174" s="257"/>
      <c r="H174" s="257"/>
      <c r="I174" s="257"/>
      <c r="J174" s="257"/>
      <c r="K174" s="257"/>
      <c r="L174" s="247"/>
    </row>
    <row r="175" spans="1:12" x14ac:dyDescent="0.2">
      <c r="A175" s="247"/>
      <c r="B175" s="1129" t="s">
        <v>2618</v>
      </c>
      <c r="C175" s="257"/>
      <c r="D175" s="257"/>
      <c r="E175" s="257"/>
      <c r="F175" s="257"/>
      <c r="G175" s="257"/>
      <c r="H175" s="257"/>
      <c r="I175" s="257"/>
      <c r="J175" s="257"/>
      <c r="K175" s="257"/>
      <c r="L175" s="247"/>
    </row>
    <row r="176" spans="1:12" x14ac:dyDescent="0.2">
      <c r="A176" s="247"/>
      <c r="B176" s="1129" t="s">
        <v>2617</v>
      </c>
      <c r="C176" s="257"/>
      <c r="D176" s="257"/>
      <c r="E176" s="257"/>
      <c r="F176" s="257"/>
      <c r="G176" s="257"/>
      <c r="H176" s="257"/>
      <c r="I176" s="257"/>
      <c r="J176" s="257"/>
      <c r="K176" s="257"/>
      <c r="L176" s="247"/>
    </row>
    <row r="177" spans="1:12" x14ac:dyDescent="0.2">
      <c r="A177" s="247"/>
      <c r="B177" s="1129" t="s">
        <v>2616</v>
      </c>
      <c r="C177" s="257"/>
      <c r="D177" s="257"/>
      <c r="E177" s="257"/>
      <c r="F177" s="257"/>
      <c r="G177" s="257"/>
      <c r="H177" s="257"/>
      <c r="I177" s="257"/>
      <c r="J177" s="257"/>
      <c r="K177" s="257"/>
      <c r="L177" s="247"/>
    </row>
    <row r="178" spans="1:12" x14ac:dyDescent="0.2">
      <c r="A178" s="247"/>
      <c r="B178" s="405" t="s">
        <v>1062</v>
      </c>
      <c r="C178" s="257"/>
      <c r="D178" s="257"/>
      <c r="E178" s="257"/>
      <c r="F178" s="257"/>
      <c r="G178" s="257"/>
      <c r="H178" s="257"/>
      <c r="I178" s="257"/>
      <c r="J178" s="257"/>
      <c r="K178" s="257"/>
      <c r="L178" s="247"/>
    </row>
    <row r="179" spans="1:12" x14ac:dyDescent="0.2">
      <c r="A179" s="247"/>
      <c r="C179" s="247"/>
      <c r="D179" s="247"/>
      <c r="E179" s="247"/>
      <c r="F179" s="247"/>
      <c r="G179" s="247"/>
      <c r="H179" s="247"/>
      <c r="I179" s="247"/>
      <c r="J179" s="247"/>
      <c r="K179" s="247"/>
      <c r="L179" s="247"/>
    </row>
    <row r="180" spans="1:12" x14ac:dyDescent="0.2">
      <c r="A180" s="247"/>
      <c r="B180" s="247"/>
      <c r="C180" s="247"/>
      <c r="D180" s="247"/>
      <c r="E180" s="247"/>
      <c r="F180" s="247"/>
      <c r="G180" s="247"/>
      <c r="H180" s="247"/>
      <c r="I180" s="247"/>
      <c r="J180" s="247"/>
      <c r="K180" s="247"/>
      <c r="L180" s="247"/>
    </row>
    <row r="181" spans="1:12" x14ac:dyDescent="0.2">
      <c r="A181" s="247"/>
      <c r="B181" s="247"/>
      <c r="C181" s="247"/>
      <c r="D181" s="247"/>
      <c r="E181" s="247"/>
      <c r="F181" s="247"/>
      <c r="G181" s="247"/>
      <c r="H181" s="247"/>
      <c r="I181" s="247"/>
      <c r="J181" s="247"/>
      <c r="K181" s="247"/>
      <c r="L181" s="247"/>
    </row>
    <row r="182" spans="1:12" x14ac:dyDescent="0.2">
      <c r="A182" s="247"/>
      <c r="B182" s="247"/>
      <c r="C182" s="247"/>
      <c r="D182" s="247"/>
      <c r="E182" s="247"/>
      <c r="F182" s="247"/>
      <c r="G182" s="247"/>
      <c r="H182" s="247"/>
      <c r="I182" s="247"/>
      <c r="J182" s="247"/>
      <c r="K182" s="247"/>
      <c r="L182" s="247"/>
    </row>
    <row r="183" spans="1:12" x14ac:dyDescent="0.2">
      <c r="A183" s="247"/>
      <c r="B183" s="247"/>
      <c r="C183" s="247"/>
      <c r="D183" s="247"/>
      <c r="E183" s="247"/>
      <c r="F183" s="247"/>
      <c r="G183" s="247"/>
      <c r="H183" s="247"/>
      <c r="I183" s="247"/>
      <c r="J183" s="247"/>
      <c r="K183" s="247"/>
      <c r="L183" s="247"/>
    </row>
    <row r="184" spans="1:12" x14ac:dyDescent="0.2">
      <c r="A184" s="247"/>
      <c r="B184" s="247"/>
      <c r="C184" s="247"/>
      <c r="D184" s="247"/>
      <c r="E184" s="247"/>
      <c r="F184" s="247"/>
      <c r="G184" s="247"/>
      <c r="H184" s="247"/>
      <c r="I184" s="247"/>
      <c r="J184" s="247"/>
      <c r="K184" s="247"/>
      <c r="L184" s="247"/>
    </row>
    <row r="185" spans="1:12" x14ac:dyDescent="0.2">
      <c r="A185" s="247"/>
      <c r="B185" s="247"/>
      <c r="C185" s="247"/>
      <c r="D185" s="247"/>
      <c r="E185" s="247"/>
      <c r="F185" s="247"/>
      <c r="G185" s="247"/>
      <c r="H185" s="247"/>
      <c r="I185" s="247"/>
      <c r="J185" s="247"/>
      <c r="K185" s="247"/>
      <c r="L185" s="247"/>
    </row>
    <row r="186" spans="1:12" x14ac:dyDescent="0.2">
      <c r="A186" s="247"/>
      <c r="B186" s="247"/>
      <c r="C186" s="247"/>
      <c r="D186" s="247"/>
      <c r="E186" s="247"/>
      <c r="F186" s="247"/>
      <c r="G186" s="247"/>
      <c r="H186" s="247"/>
      <c r="I186" s="247"/>
      <c r="J186" s="247"/>
      <c r="K186" s="247"/>
      <c r="L186" s="247"/>
    </row>
    <row r="187" spans="1:12" x14ac:dyDescent="0.2">
      <c r="A187" s="247"/>
      <c r="B187" s="247"/>
      <c r="C187" s="247"/>
      <c r="D187" s="247"/>
      <c r="E187" s="247"/>
      <c r="F187" s="247"/>
      <c r="G187" s="247"/>
      <c r="H187" s="247"/>
      <c r="I187" s="247"/>
      <c r="J187" s="247"/>
      <c r="K187" s="247"/>
      <c r="L187" s="247"/>
    </row>
    <row r="188" spans="1:12" x14ac:dyDescent="0.2">
      <c r="A188" s="247"/>
      <c r="B188" s="247"/>
      <c r="C188" s="247"/>
      <c r="D188" s="247"/>
      <c r="E188" s="247"/>
      <c r="F188" s="247"/>
      <c r="G188" s="247"/>
      <c r="H188" s="247"/>
      <c r="I188" s="247"/>
      <c r="J188" s="247"/>
      <c r="K188" s="247"/>
      <c r="L188" s="247"/>
    </row>
    <row r="189" spans="1:12" x14ac:dyDescent="0.2">
      <c r="A189" s="247"/>
      <c r="B189" s="247"/>
      <c r="C189" s="247"/>
      <c r="D189" s="247"/>
      <c r="E189" s="247"/>
      <c r="F189" s="247"/>
      <c r="G189" s="247"/>
      <c r="H189" s="247"/>
      <c r="I189" s="247"/>
      <c r="J189" s="247"/>
      <c r="K189" s="247"/>
      <c r="L189" s="247"/>
    </row>
    <row r="190" spans="1:12" x14ac:dyDescent="0.2">
      <c r="A190" s="247"/>
      <c r="B190" s="247"/>
      <c r="C190" s="247"/>
      <c r="D190" s="247"/>
      <c r="E190" s="247"/>
      <c r="F190" s="247"/>
      <c r="G190" s="247"/>
      <c r="H190" s="247"/>
      <c r="I190" s="247"/>
      <c r="J190" s="247"/>
      <c r="K190" s="247"/>
      <c r="L190" s="247"/>
    </row>
    <row r="191" spans="1:12" x14ac:dyDescent="0.2">
      <c r="A191" s="247"/>
      <c r="B191" s="247"/>
      <c r="C191" s="247"/>
      <c r="D191" s="247"/>
      <c r="E191" s="247"/>
      <c r="F191" s="247"/>
      <c r="G191" s="247"/>
      <c r="H191" s="247"/>
      <c r="I191" s="247"/>
      <c r="J191" s="247"/>
      <c r="K191" s="247"/>
      <c r="L191" s="247"/>
    </row>
    <row r="192" spans="1:12" x14ac:dyDescent="0.2">
      <c r="A192" s="247"/>
      <c r="B192" s="247"/>
      <c r="C192" s="247"/>
      <c r="D192" s="247"/>
      <c r="E192" s="247"/>
      <c r="F192" s="247"/>
      <c r="G192" s="247"/>
      <c r="H192" s="247"/>
      <c r="I192" s="247"/>
      <c r="J192" s="247"/>
      <c r="K192" s="247"/>
      <c r="L192" s="247"/>
    </row>
    <row r="193" spans="1:12" x14ac:dyDescent="0.2">
      <c r="A193" s="247"/>
      <c r="B193" s="247"/>
      <c r="C193" s="247"/>
      <c r="D193" s="247"/>
      <c r="E193" s="247"/>
      <c r="F193" s="247"/>
      <c r="G193" s="247"/>
      <c r="H193" s="247"/>
      <c r="I193" s="247"/>
      <c r="J193" s="247"/>
      <c r="K193" s="247"/>
      <c r="L193" s="247"/>
    </row>
    <row r="194" spans="1:12" x14ac:dyDescent="0.2">
      <c r="A194" s="247"/>
      <c r="B194" s="247"/>
      <c r="C194" s="247"/>
      <c r="D194" s="247"/>
      <c r="E194" s="247"/>
      <c r="F194" s="247"/>
      <c r="G194" s="247"/>
      <c r="H194" s="247"/>
      <c r="I194" s="247"/>
      <c r="J194" s="247"/>
      <c r="K194" s="247"/>
      <c r="L194" s="247"/>
    </row>
    <row r="195" spans="1:12" x14ac:dyDescent="0.2">
      <c r="A195" s="247"/>
      <c r="B195" s="247"/>
      <c r="C195" s="247"/>
      <c r="D195" s="247"/>
      <c r="E195" s="247"/>
      <c r="F195" s="247"/>
      <c r="G195" s="247"/>
      <c r="H195" s="247"/>
      <c r="I195" s="247"/>
      <c r="J195" s="247"/>
      <c r="K195" s="247"/>
      <c r="L195" s="247"/>
    </row>
    <row r="196" spans="1:12" x14ac:dyDescent="0.2">
      <c r="A196" s="247"/>
      <c r="B196" s="247"/>
      <c r="C196" s="247"/>
      <c r="D196" s="247"/>
      <c r="E196" s="247"/>
      <c r="F196" s="247"/>
      <c r="G196" s="247"/>
      <c r="H196" s="247"/>
      <c r="I196" s="247"/>
      <c r="J196" s="247"/>
      <c r="K196" s="247"/>
      <c r="L196" s="247"/>
    </row>
    <row r="197" spans="1:12" x14ac:dyDescent="0.2">
      <c r="A197" s="247"/>
      <c r="B197" s="247"/>
      <c r="C197" s="247"/>
      <c r="D197" s="247"/>
      <c r="E197" s="247"/>
      <c r="F197" s="247"/>
      <c r="G197" s="247"/>
      <c r="H197" s="247"/>
      <c r="I197" s="247"/>
      <c r="J197" s="247"/>
      <c r="K197" s="247"/>
      <c r="L197" s="247"/>
    </row>
    <row r="198" spans="1:12" x14ac:dyDescent="0.2">
      <c r="A198" s="247"/>
      <c r="B198" s="247"/>
      <c r="C198" s="247"/>
      <c r="D198" s="247"/>
      <c r="E198" s="247"/>
      <c r="F198" s="247"/>
      <c r="G198" s="247"/>
      <c r="H198" s="247"/>
      <c r="I198" s="247"/>
      <c r="J198" s="247"/>
      <c r="K198" s="247"/>
      <c r="L198" s="247"/>
    </row>
    <row r="199" spans="1:12" x14ac:dyDescent="0.2">
      <c r="A199" s="247"/>
      <c r="B199" s="247"/>
      <c r="C199" s="247"/>
      <c r="D199" s="247"/>
      <c r="E199" s="247"/>
      <c r="F199" s="247"/>
      <c r="G199" s="247"/>
      <c r="H199" s="247"/>
      <c r="I199" s="247"/>
      <c r="J199" s="247"/>
      <c r="K199" s="247"/>
      <c r="L199" s="247"/>
    </row>
    <row r="200" spans="1:12" x14ac:dyDescent="0.2">
      <c r="A200" s="247"/>
      <c r="B200" s="247"/>
      <c r="C200" s="247"/>
      <c r="D200" s="247"/>
      <c r="E200" s="247"/>
      <c r="F200" s="247"/>
      <c r="G200" s="247"/>
      <c r="H200" s="247"/>
      <c r="I200" s="247"/>
      <c r="J200" s="247"/>
      <c r="K200" s="247"/>
      <c r="L200" s="247"/>
    </row>
    <row r="201" spans="1:12" x14ac:dyDescent="0.2">
      <c r="A201" s="247"/>
      <c r="B201" s="247"/>
      <c r="C201" s="247"/>
      <c r="D201" s="247"/>
      <c r="E201" s="247"/>
      <c r="F201" s="247"/>
      <c r="G201" s="247"/>
      <c r="H201" s="247"/>
      <c r="I201" s="247"/>
      <c r="J201" s="247"/>
      <c r="K201" s="247"/>
      <c r="L201" s="247"/>
    </row>
    <row r="202" spans="1:12" x14ac:dyDescent="0.2">
      <c r="A202" s="247"/>
      <c r="B202" s="247"/>
      <c r="C202" s="247"/>
      <c r="D202" s="247"/>
      <c r="E202" s="247"/>
      <c r="F202" s="247"/>
      <c r="G202" s="247"/>
      <c r="H202" s="247"/>
      <c r="I202" s="247"/>
      <c r="J202" s="247"/>
      <c r="K202" s="247"/>
      <c r="L202" s="247"/>
    </row>
    <row r="203" spans="1:12" x14ac:dyDescent="0.2">
      <c r="A203" s="247"/>
      <c r="B203" s="247"/>
      <c r="C203" s="247"/>
      <c r="D203" s="247"/>
      <c r="E203" s="247"/>
      <c r="F203" s="247"/>
      <c r="G203" s="247"/>
      <c r="H203" s="247"/>
      <c r="I203" s="247"/>
      <c r="J203" s="247"/>
      <c r="K203" s="247"/>
      <c r="L203" s="247"/>
    </row>
  </sheetData>
  <pageMargins left="0.7" right="0.7" top="0.75" bottom="0.75" header="0.3" footer="0.3"/>
  <pageSetup scale="72" orientation="landscape" cellComments="asDisplayed" r:id="rId1"/>
  <headerFooter>
    <oddHeader>&amp;CSchedule 3
True Up Adjustment
&amp;RTO8 Annual Update (Revised)
Attachment  1</oddHeader>
    <oddFooter>&amp;R3-TrueUpAdjust</oddFooter>
  </headerFooter>
  <rowBreaks count="3" manualBreakCount="3">
    <brk id="48" max="16383" man="1"/>
    <brk id="81" max="16383" man="1"/>
    <brk id="1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view="pageLayout" zoomScaleNormal="90" workbookViewId="0">
      <selection activeCell="H38" sqref="H38:H40"/>
    </sheetView>
  </sheetViews>
  <sheetFormatPr defaultRowHeight="12.75" x14ac:dyDescent="0.2"/>
  <cols>
    <col min="1" max="2" width="4.7109375" customWidth="1"/>
    <col min="3" max="3" width="18.7109375" customWidth="1"/>
    <col min="4" max="4" width="10.28515625" bestFit="1" customWidth="1"/>
    <col min="5" max="7" width="15.7109375" customWidth="1"/>
    <col min="8" max="8" width="24.7109375" customWidth="1"/>
    <col min="9" max="9" width="4.5703125" customWidth="1"/>
    <col min="10" max="10" width="15.7109375" customWidth="1"/>
  </cols>
  <sheetData>
    <row r="1" spans="1:10" x14ac:dyDescent="0.2">
      <c r="A1" s="1" t="s">
        <v>1964</v>
      </c>
    </row>
    <row r="2" spans="1:10" x14ac:dyDescent="0.2">
      <c r="H2" s="14"/>
    </row>
    <row r="3" spans="1:10" x14ac:dyDescent="0.2">
      <c r="B3" s="89" t="s">
        <v>1706</v>
      </c>
    </row>
    <row r="4" spans="1:10" x14ac:dyDescent="0.2">
      <c r="B4" s="75"/>
      <c r="F4" s="2" t="s">
        <v>173</v>
      </c>
      <c r="G4" s="2"/>
      <c r="H4" s="2" t="s">
        <v>190</v>
      </c>
    </row>
    <row r="5" spans="1:10" x14ac:dyDescent="0.2">
      <c r="A5" s="54" t="s">
        <v>352</v>
      </c>
      <c r="B5" s="16"/>
      <c r="C5" s="52" t="s">
        <v>171</v>
      </c>
      <c r="F5" s="3" t="s">
        <v>172</v>
      </c>
      <c r="G5" s="3" t="s">
        <v>189</v>
      </c>
      <c r="H5" s="3" t="s">
        <v>191</v>
      </c>
      <c r="J5" s="3" t="s">
        <v>196</v>
      </c>
    </row>
    <row r="6" spans="1:10" x14ac:dyDescent="0.2">
      <c r="A6" s="117">
        <v>1</v>
      </c>
      <c r="B6" s="14"/>
      <c r="C6" s="116" t="s">
        <v>1149</v>
      </c>
      <c r="D6" s="14"/>
      <c r="E6" s="14"/>
      <c r="F6" s="14" t="s">
        <v>11</v>
      </c>
      <c r="G6" s="14"/>
      <c r="H6" s="116" t="str">
        <f>"6-PlantInService, Line "&amp;'6-PlantInService'!A42&amp;""</f>
        <v>6-PlantInService, Line 18</v>
      </c>
      <c r="I6" s="14"/>
      <c r="J6" s="1285">
        <f>'6-PlantInService'!D42</f>
        <v>3645278335.1812367</v>
      </c>
    </row>
    <row r="7" spans="1:10" x14ac:dyDescent="0.2">
      <c r="A7" s="117">
        <f>A6+1</f>
        <v>2</v>
      </c>
      <c r="B7" s="14"/>
      <c r="C7" s="116" t="s">
        <v>1344</v>
      </c>
      <c r="D7" s="14"/>
      <c r="E7" s="14"/>
      <c r="F7" s="14" t="s">
        <v>174</v>
      </c>
      <c r="G7" s="14"/>
      <c r="H7" s="116" t="str">
        <f>"6-PlantInService, Line "&amp;'6-PlantInService'!A58&amp;""</f>
        <v>6-PlantInService, Line 24</v>
      </c>
      <c r="I7" s="14"/>
      <c r="J7" s="1285">
        <f>'6-PlantInService'!F58</f>
        <v>144597591.87310612</v>
      </c>
    </row>
    <row r="8" spans="1:10" x14ac:dyDescent="0.2">
      <c r="A8" s="117">
        <f>A7+1</f>
        <v>3</v>
      </c>
      <c r="B8" s="14"/>
      <c r="C8" s="116" t="s">
        <v>176</v>
      </c>
      <c r="D8" s="14"/>
      <c r="E8" s="14"/>
      <c r="F8" s="14" t="s">
        <v>174</v>
      </c>
      <c r="G8" s="14"/>
      <c r="H8" s="14" t="str">
        <f>"11-PHFU, Line "&amp;'11-PHFU'!A41&amp;""</f>
        <v>11-PHFU, Line 9</v>
      </c>
      <c r="I8" s="14"/>
      <c r="J8" s="862">
        <f>'11-PHFU'!D41</f>
        <v>9942155</v>
      </c>
    </row>
    <row r="9" spans="1:10" x14ac:dyDescent="0.2">
      <c r="A9" s="117">
        <f>A8+1</f>
        <v>4</v>
      </c>
      <c r="B9" s="14"/>
      <c r="C9" s="116" t="s">
        <v>345</v>
      </c>
      <c r="D9" s="14"/>
      <c r="E9" s="14"/>
      <c r="F9" s="14" t="s">
        <v>174</v>
      </c>
      <c r="G9" s="14"/>
      <c r="H9" s="15" t="str">
        <f>"12-AbandonedPlant Line "&amp;'12-AbandonedPlant'!A21&amp;""</f>
        <v>12-AbandonedPlant Line 4</v>
      </c>
      <c r="I9" s="14"/>
      <c r="J9" s="862">
        <f>'12-AbandonedPlant'!G21</f>
        <v>5514000</v>
      </c>
    </row>
    <row r="10" spans="1:10" x14ac:dyDescent="0.2">
      <c r="A10" s="117"/>
      <c r="B10" s="14"/>
      <c r="C10" s="116"/>
      <c r="D10" s="14"/>
      <c r="E10" s="14"/>
      <c r="F10" s="14"/>
      <c r="G10" s="14"/>
      <c r="H10" s="14"/>
      <c r="I10" s="14"/>
      <c r="J10" s="862"/>
    </row>
    <row r="11" spans="1:10" x14ac:dyDescent="0.2">
      <c r="A11" s="117"/>
      <c r="B11" s="14"/>
      <c r="C11" s="45" t="s">
        <v>307</v>
      </c>
      <c r="D11" s="14"/>
      <c r="E11" s="14"/>
      <c r="F11" s="14"/>
      <c r="G11" s="14"/>
      <c r="H11" s="14"/>
      <c r="I11" s="14"/>
      <c r="J11" s="862"/>
    </row>
    <row r="12" spans="1:10" x14ac:dyDescent="0.2">
      <c r="A12" s="117">
        <f>A9+1</f>
        <v>5</v>
      </c>
      <c r="B12" s="14"/>
      <c r="C12" s="46" t="s">
        <v>104</v>
      </c>
      <c r="D12" s="14"/>
      <c r="E12" s="14"/>
      <c r="F12" s="14" t="s">
        <v>11</v>
      </c>
      <c r="G12" s="14"/>
      <c r="H12" s="116" t="str">
        <f>"13-WorkCap, Line "&amp;'13-WorkCap'!A27&amp;""</f>
        <v>13-WorkCap, Line 17</v>
      </c>
      <c r="I12" s="14"/>
      <c r="J12" s="1285">
        <f>'13-WorkCap'!F27</f>
        <v>11870352.876835456</v>
      </c>
    </row>
    <row r="13" spans="1:10" x14ac:dyDescent="0.2">
      <c r="A13" s="117">
        <f>A12+1</f>
        <v>6</v>
      </c>
      <c r="B13" s="14"/>
      <c r="C13" s="120" t="s">
        <v>105</v>
      </c>
      <c r="D13" s="14"/>
      <c r="E13" s="14"/>
      <c r="F13" s="14" t="s">
        <v>11</v>
      </c>
      <c r="G13" s="14"/>
      <c r="H13" s="116" t="str">
        <f>"13-WorkCap, Line "&amp;'13-WorkCap'!A51&amp;""</f>
        <v>13-WorkCap, Line 33</v>
      </c>
      <c r="I13" s="14"/>
      <c r="J13" s="1285">
        <f>'13-WorkCap'!F51</f>
        <v>1853021.6013951434</v>
      </c>
    </row>
    <row r="14" spans="1:10" x14ac:dyDescent="0.2">
      <c r="A14" s="117">
        <f>A13+1</f>
        <v>7</v>
      </c>
      <c r="B14" s="14"/>
      <c r="C14" s="46" t="s">
        <v>193</v>
      </c>
      <c r="D14" s="14"/>
      <c r="E14" s="14"/>
      <c r="F14" s="550" t="s">
        <v>2919</v>
      </c>
      <c r="G14" s="14"/>
      <c r="H14" s="14" t="str">
        <f>"1-Base TRR Line "&amp;'1-BaseTRR'!A17&amp;""</f>
        <v>1-Base TRR Line 7</v>
      </c>
      <c r="I14" s="14"/>
      <c r="J14" s="1286">
        <f>'1-BaseTRR'!K17</f>
        <v>7080196.2435117904</v>
      </c>
    </row>
    <row r="15" spans="1:10" x14ac:dyDescent="0.2">
      <c r="A15" s="117">
        <f>A14+1</f>
        <v>8</v>
      </c>
      <c r="B15" s="14"/>
      <c r="C15" s="46" t="s">
        <v>103</v>
      </c>
      <c r="D15" s="14"/>
      <c r="E15" s="14"/>
      <c r="F15" s="14"/>
      <c r="G15" s="14"/>
      <c r="H15" s="14" t="str">
        <f>"Line "&amp;A12&amp;" + Line "&amp;A13&amp;" + Line "&amp;A14&amp;""</f>
        <v>Line 5 + Line 6 + Line 7</v>
      </c>
      <c r="I15" s="14"/>
      <c r="J15" s="1285">
        <f>SUM(J12:J14)</f>
        <v>20803570.721742392</v>
      </c>
    </row>
    <row r="16" spans="1:10" x14ac:dyDescent="0.2">
      <c r="A16" s="117"/>
      <c r="B16" s="14"/>
      <c r="C16" s="46"/>
      <c r="D16" s="14"/>
      <c r="E16" s="14"/>
      <c r="F16" s="14"/>
      <c r="G16" s="14"/>
      <c r="H16" s="14"/>
      <c r="I16" s="14"/>
      <c r="J16" s="862"/>
    </row>
    <row r="17" spans="1:10" x14ac:dyDescent="0.2">
      <c r="A17" s="117"/>
      <c r="B17" s="14"/>
      <c r="C17" s="1136" t="s">
        <v>308</v>
      </c>
      <c r="D17" s="14"/>
      <c r="E17" s="14"/>
      <c r="F17" s="14"/>
      <c r="G17" s="14"/>
      <c r="H17" s="14"/>
      <c r="I17" s="14"/>
      <c r="J17" s="862"/>
    </row>
    <row r="18" spans="1:10" x14ac:dyDescent="0.2">
      <c r="A18" s="117">
        <f>A15+1</f>
        <v>9</v>
      </c>
      <c r="B18" s="14"/>
      <c r="C18" s="547" t="s">
        <v>1918</v>
      </c>
      <c r="D18" s="14"/>
      <c r="E18" s="14"/>
      <c r="F18" s="14" t="s">
        <v>11</v>
      </c>
      <c r="G18" s="14" t="s">
        <v>170</v>
      </c>
      <c r="H18" s="116" t="str">
        <f>"8-AccDep, Line "&amp;'8-AccDep'!A25&amp;", Col. 12"</f>
        <v>8-AccDep, Line 14, Col. 12</v>
      </c>
      <c r="I18" s="14"/>
      <c r="J18" s="1285">
        <f>-'8-AccDep'!N25</f>
        <v>-1016502799.254263</v>
      </c>
    </row>
    <row r="19" spans="1:10" x14ac:dyDescent="0.2">
      <c r="A19" s="117">
        <f>A18+1</f>
        <v>10</v>
      </c>
      <c r="B19" s="14"/>
      <c r="C19" s="547" t="s">
        <v>1919</v>
      </c>
      <c r="D19" s="14"/>
      <c r="E19" s="14"/>
      <c r="F19" s="14" t="s">
        <v>174</v>
      </c>
      <c r="G19" s="14" t="s">
        <v>170</v>
      </c>
      <c r="H19" s="116" t="str">
        <f>"8-AccDep, Line "&amp;'8-AccDep'!A35&amp;", Col. 5"</f>
        <v>8-AccDep, Line 17, Col. 5</v>
      </c>
      <c r="I19" s="14"/>
      <c r="J19" s="1285">
        <f>-'8-AccDep'!G35</f>
        <v>-1125318.0869653528</v>
      </c>
    </row>
    <row r="20" spans="1:10" x14ac:dyDescent="0.2">
      <c r="A20" s="117">
        <f>A19+1</f>
        <v>11</v>
      </c>
      <c r="B20" s="14"/>
      <c r="C20" s="46" t="s">
        <v>340</v>
      </c>
      <c r="D20" s="22"/>
      <c r="E20" s="14"/>
      <c r="F20" s="14" t="s">
        <v>174</v>
      </c>
      <c r="G20" s="14" t="s">
        <v>170</v>
      </c>
      <c r="H20" s="116" t="str">
        <f>"8-AccDep, Line "&amp;'8-AccDep'!A53&amp;""</f>
        <v>8-AccDep, Line 23</v>
      </c>
      <c r="I20" s="14"/>
      <c r="J20" s="1286">
        <f>-'8-AccDep'!F53</f>
        <v>-52619745.790288039</v>
      </c>
    </row>
    <row r="21" spans="1:10" x14ac:dyDescent="0.2">
      <c r="A21" s="117">
        <f>A20+1</f>
        <v>12</v>
      </c>
      <c r="B21" s="14"/>
      <c r="C21" s="1137" t="s">
        <v>183</v>
      </c>
      <c r="D21" s="22"/>
      <c r="E21" s="14"/>
      <c r="F21" s="14"/>
      <c r="G21" s="14"/>
      <c r="H21" s="14" t="str">
        <f>"Line "&amp;A18&amp;" + Line "&amp;A19&amp;" + Line "&amp;A20&amp;""</f>
        <v>Line 9 + Line 10 + Line 11</v>
      </c>
      <c r="I21" s="14"/>
      <c r="J21" s="1285">
        <f>SUM(J18:J20)</f>
        <v>-1070247863.1315165</v>
      </c>
    </row>
    <row r="22" spans="1:10" x14ac:dyDescent="0.2">
      <c r="A22" s="117"/>
      <c r="B22" s="14"/>
      <c r="C22" s="15"/>
      <c r="D22" s="14"/>
      <c r="E22" s="14"/>
      <c r="F22" s="14"/>
      <c r="G22" s="14"/>
      <c r="H22" s="14"/>
      <c r="I22" s="14"/>
      <c r="J22" s="862"/>
    </row>
    <row r="23" spans="1:10" x14ac:dyDescent="0.2">
      <c r="A23" s="117">
        <f>A21+1</f>
        <v>13</v>
      </c>
      <c r="B23" s="14"/>
      <c r="C23" s="1123" t="s">
        <v>184</v>
      </c>
      <c r="D23" s="14"/>
      <c r="E23" s="14"/>
      <c r="F23" s="14" t="s">
        <v>174</v>
      </c>
      <c r="G23" s="14"/>
      <c r="H23" s="116" t="str">
        <f>"9-ADIT, Line "&amp;'9-ADIT'!A24&amp;""</f>
        <v>9-ADIT, Line 15</v>
      </c>
      <c r="I23" s="14"/>
      <c r="J23" s="1285">
        <f>'9-ADIT'!D24</f>
        <v>-553934005.51528001</v>
      </c>
    </row>
    <row r="24" spans="1:10" x14ac:dyDescent="0.2">
      <c r="A24" s="117">
        <f>A23+1</f>
        <v>14</v>
      </c>
      <c r="B24" s="14"/>
      <c r="C24" s="116" t="s">
        <v>268</v>
      </c>
      <c r="D24" s="14"/>
      <c r="E24" s="14"/>
      <c r="F24" s="14" t="s">
        <v>11</v>
      </c>
      <c r="G24" s="14"/>
      <c r="H24" s="116" t="str">
        <f>"14-IncentivePlant, L "&amp;'14-IncentivePlant'!A37&amp;", C2"</f>
        <v>14-IncentivePlant, L 12, C2</v>
      </c>
      <c r="I24" s="14"/>
      <c r="J24" s="1285">
        <f>'14-IncentivePlant'!F37</f>
        <v>1414509946.9398568</v>
      </c>
    </row>
    <row r="25" spans="1:10" x14ac:dyDescent="0.2">
      <c r="A25" s="117">
        <f>A24+1</f>
        <v>15</v>
      </c>
      <c r="B25" s="14"/>
      <c r="C25" s="1123" t="s">
        <v>66</v>
      </c>
      <c r="D25" s="14"/>
      <c r="E25" s="14"/>
      <c r="F25" s="14" t="s">
        <v>174</v>
      </c>
      <c r="G25" s="14" t="s">
        <v>170</v>
      </c>
      <c r="H25" s="116" t="str">
        <f>"22-NUCs, Line "&amp;'22-NUCs'!A17&amp;""</f>
        <v>22-NUCs, Line 9</v>
      </c>
      <c r="I25" s="14"/>
      <c r="J25" s="862">
        <f>-'22-NUCs'!E17</f>
        <v>-15595540</v>
      </c>
    </row>
    <row r="26" spans="1:10" x14ac:dyDescent="0.2">
      <c r="A26" s="117" t="s">
        <v>905</v>
      </c>
      <c r="B26" s="14"/>
      <c r="C26" s="1125" t="s">
        <v>2490</v>
      </c>
      <c r="D26" s="14"/>
      <c r="E26" s="14"/>
      <c r="F26" s="14"/>
      <c r="G26" s="14"/>
      <c r="H26" s="15" t="str">
        <f>"34-UnfundedReserves, Line "&amp;'34-UnfundedReserves'!A10&amp;""</f>
        <v>34-UnfundedReserves, Line 7</v>
      </c>
      <c r="I26" s="14"/>
      <c r="J26" s="1285">
        <f>'34-UnfundedReserves'!K10</f>
        <v>-8128032.9490774116</v>
      </c>
    </row>
    <row r="27" spans="1:10" x14ac:dyDescent="0.2">
      <c r="A27" s="117">
        <v>16</v>
      </c>
      <c r="B27" s="14"/>
      <c r="C27" s="1123" t="s">
        <v>400</v>
      </c>
      <c r="D27" s="14"/>
      <c r="E27" s="14"/>
      <c r="F27" s="14" t="s">
        <v>174</v>
      </c>
      <c r="G27" s="14"/>
      <c r="H27" s="116" t="str">
        <f>"23-RegAssets, Line "&amp;'23-RegAssets'!A18&amp;""</f>
        <v>23-RegAssets, Line 15</v>
      </c>
      <c r="I27" s="14"/>
      <c r="J27" s="862">
        <f>'23-RegAssets'!E18</f>
        <v>0</v>
      </c>
    </row>
    <row r="28" spans="1:10" x14ac:dyDescent="0.2">
      <c r="A28" s="117"/>
      <c r="B28" s="14"/>
      <c r="C28" s="1123"/>
      <c r="D28" s="14"/>
      <c r="E28" s="14"/>
      <c r="F28" s="14"/>
      <c r="G28" s="14"/>
      <c r="H28" s="14"/>
      <c r="I28" s="14"/>
      <c r="J28" s="622"/>
    </row>
    <row r="29" spans="1:10" x14ac:dyDescent="0.2">
      <c r="A29" s="117">
        <v>17</v>
      </c>
      <c r="B29" s="14"/>
      <c r="C29" s="14" t="s">
        <v>194</v>
      </c>
      <c r="D29" s="14"/>
      <c r="E29" s="14"/>
      <c r="F29" s="14"/>
      <c r="G29" s="14"/>
      <c r="H29" s="14" t="str">
        <f>"L"&amp;A6&amp;"+L"&amp;A7&amp;"+L"&amp;A8&amp;"+L"&amp;A9&amp;"+L"&amp;A15&amp;"+L"&amp;A21&amp;"+"</f>
        <v>L1+L2+L3+L4+L8+L12+</v>
      </c>
      <c r="I29" s="14"/>
      <c r="J29" s="1285">
        <f>J6+ J7+J8+J9+J15+J21+J23+J24+J25+J26+J27</f>
        <v>3592740158.1200676</v>
      </c>
    </row>
    <row r="30" spans="1:10" x14ac:dyDescent="0.2">
      <c r="A30" s="117"/>
      <c r="B30" s="14"/>
      <c r="C30" s="14"/>
      <c r="D30" s="14"/>
      <c r="E30" s="14"/>
      <c r="F30" s="14"/>
      <c r="G30" s="14"/>
      <c r="H30" s="14" t="str">
        <f>"L"&amp;A23&amp;"+L"&amp;A24&amp;"+L"&amp;A25&amp;"+L"&amp;A26&amp;"+L"&amp;A27&amp;""</f>
        <v>L13+L14+L15+L15a+L16</v>
      </c>
      <c r="I30" s="14"/>
      <c r="J30" s="862"/>
    </row>
    <row r="31" spans="1:10" x14ac:dyDescent="0.2">
      <c r="A31" s="117"/>
      <c r="B31" s="44" t="s">
        <v>2949</v>
      </c>
      <c r="D31" s="14"/>
      <c r="E31" s="14"/>
      <c r="F31" s="14"/>
      <c r="G31" s="14"/>
      <c r="H31" s="14"/>
      <c r="I31" s="14"/>
      <c r="J31" s="862"/>
    </row>
    <row r="32" spans="1:10" x14ac:dyDescent="0.2">
      <c r="A32" s="653" t="s">
        <v>352</v>
      </c>
      <c r="B32" s="14"/>
      <c r="C32" s="44"/>
      <c r="D32" s="14"/>
      <c r="E32" s="14"/>
      <c r="F32" s="14"/>
      <c r="G32" s="14"/>
      <c r="H32" s="14"/>
      <c r="I32" s="14"/>
      <c r="J32" s="862"/>
    </row>
    <row r="33" spans="1:10" x14ac:dyDescent="0.2">
      <c r="A33" s="117">
        <f>A29+1</f>
        <v>18</v>
      </c>
      <c r="B33" s="14"/>
      <c r="C33" s="14" t="s">
        <v>64</v>
      </c>
      <c r="D33" s="14"/>
      <c r="E33" s="14"/>
      <c r="F33" s="14"/>
      <c r="G33" s="550" t="s">
        <v>2269</v>
      </c>
      <c r="H33" s="550" t="str">
        <f>"Instruction 1, Line "&amp;B97&amp;""</f>
        <v>Instruction 1, Line j</v>
      </c>
      <c r="I33" s="14"/>
      <c r="J33" s="1375">
        <f>E97</f>
        <v>7.4939357100168899E-2</v>
      </c>
    </row>
    <row r="34" spans="1:10" x14ac:dyDescent="0.2">
      <c r="A34" s="2">
        <f>A33+1</f>
        <v>19</v>
      </c>
      <c r="C34" s="15" t="s">
        <v>65</v>
      </c>
      <c r="D34" s="15"/>
      <c r="E34" s="15"/>
      <c r="F34" s="15"/>
      <c r="G34" s="15"/>
      <c r="H34" t="str">
        <f>"Line "&amp;A29&amp;" * Line "&amp;A33&amp;""</f>
        <v>Line 17 * Line 18</v>
      </c>
      <c r="J34" s="1287">
        <f>J29*J33</f>
        <v>269237637.677477</v>
      </c>
    </row>
    <row r="35" spans="1:10" x14ac:dyDescent="0.2">
      <c r="A35" s="2"/>
      <c r="B35" s="16"/>
      <c r="J35" s="61"/>
    </row>
    <row r="36" spans="1:10" x14ac:dyDescent="0.2">
      <c r="A36" s="2"/>
      <c r="B36" s="1" t="s">
        <v>2950</v>
      </c>
      <c r="J36" s="61"/>
    </row>
    <row r="37" spans="1:10" x14ac:dyDescent="0.2">
      <c r="A37" s="117"/>
      <c r="B37" s="120"/>
      <c r="C37" s="14"/>
      <c r="D37" s="14"/>
      <c r="E37" s="14"/>
      <c r="F37" s="14"/>
      <c r="G37" s="14"/>
      <c r="H37" s="14"/>
      <c r="I37" s="14"/>
      <c r="J37" s="622"/>
    </row>
    <row r="38" spans="1:10" x14ac:dyDescent="0.2">
      <c r="A38" s="117">
        <f>A34+1</f>
        <v>20</v>
      </c>
      <c r="B38" s="14"/>
      <c r="C38" s="550" t="s">
        <v>2922</v>
      </c>
      <c r="D38" s="14"/>
      <c r="E38" s="14"/>
      <c r="F38" s="14"/>
      <c r="G38" s="14"/>
      <c r="H38" s="14"/>
      <c r="I38" s="14"/>
      <c r="J38" s="1285">
        <f>(((J29*J42) + J45) *(J43/(1-J43)))+(J44/(1-J43))</f>
        <v>126327570.84962386</v>
      </c>
    </row>
    <row r="39" spans="1:10" x14ac:dyDescent="0.2">
      <c r="A39" s="117"/>
      <c r="B39" s="14"/>
      <c r="C39" s="14"/>
      <c r="D39" s="14"/>
      <c r="E39" s="14"/>
      <c r="F39" s="14"/>
      <c r="G39" s="14"/>
      <c r="H39" s="14"/>
      <c r="I39" s="14"/>
      <c r="J39" s="40"/>
    </row>
    <row r="40" spans="1:10" x14ac:dyDescent="0.2">
      <c r="A40" s="117"/>
      <c r="B40" s="14"/>
      <c r="C40" s="14"/>
      <c r="D40" s="14" t="s">
        <v>242</v>
      </c>
      <c r="E40" s="14"/>
      <c r="F40" s="14"/>
      <c r="G40" s="14"/>
      <c r="H40" s="14"/>
      <c r="I40" s="14"/>
      <c r="J40" s="622"/>
    </row>
    <row r="41" spans="1:10" x14ac:dyDescent="0.2">
      <c r="A41" s="117">
        <f>A38+1</f>
        <v>21</v>
      </c>
      <c r="B41" s="14"/>
      <c r="C41" s="14"/>
      <c r="D41" s="120" t="s">
        <v>243</v>
      </c>
      <c r="E41" s="14"/>
      <c r="F41" s="14"/>
      <c r="G41" s="14"/>
      <c r="H41" s="14" t="str">
        <f>"Line "&amp;A29&amp;""</f>
        <v>Line 17</v>
      </c>
      <c r="I41" s="14"/>
      <c r="J41" s="1285">
        <f>J29</f>
        <v>3592740158.1200676</v>
      </c>
    </row>
    <row r="42" spans="1:10" x14ac:dyDescent="0.2">
      <c r="A42" s="117">
        <f>A41+1</f>
        <v>22</v>
      </c>
      <c r="B42" s="14"/>
      <c r="C42" s="14"/>
      <c r="D42" s="547" t="s">
        <v>2027</v>
      </c>
      <c r="E42" s="14"/>
      <c r="F42" s="14"/>
      <c r="G42" s="550" t="s">
        <v>1988</v>
      </c>
      <c r="H42" s="550" t="str">
        <f>"Instruction 1, Line "&amp;B102&amp;""</f>
        <v>Instruction 1, Line k</v>
      </c>
      <c r="I42" s="14"/>
      <c r="J42" s="1398">
        <f>E102</f>
        <v>5.0894164829164965E-2</v>
      </c>
    </row>
    <row r="43" spans="1:10" x14ac:dyDescent="0.2">
      <c r="A43" s="117">
        <f>A42+1</f>
        <v>23</v>
      </c>
      <c r="B43" s="14"/>
      <c r="C43" s="14"/>
      <c r="D43" s="120" t="s">
        <v>244</v>
      </c>
      <c r="E43" s="14"/>
      <c r="F43" s="14"/>
      <c r="G43" s="14"/>
      <c r="H43" s="14" t="str">
        <f>"1-Base TRR L "&amp;'1-BaseTRR'!A102&amp;""</f>
        <v>1-Base TRR L 58</v>
      </c>
      <c r="I43" s="14"/>
      <c r="J43" s="1284">
        <f>'1-BaseTRR'!K102</f>
        <v>0.39936028204298801</v>
      </c>
    </row>
    <row r="44" spans="1:10" x14ac:dyDescent="0.2">
      <c r="A44" s="117">
        <f>A43+1</f>
        <v>24</v>
      </c>
      <c r="B44" s="14"/>
      <c r="C44" s="14"/>
      <c r="D44" s="120" t="s">
        <v>245</v>
      </c>
      <c r="E44" s="14"/>
      <c r="F44" s="14"/>
      <c r="G44" s="14"/>
      <c r="H44" s="14" t="str">
        <f>"1-Base TRR L "&amp;'1-BaseTRR'!A108&amp;""</f>
        <v>1-Base TRR L 62</v>
      </c>
      <c r="I44" s="14"/>
      <c r="J44" s="862">
        <f>'1-BaseTRR'!K108</f>
        <v>2086200</v>
      </c>
    </row>
    <row r="45" spans="1:10" x14ac:dyDescent="0.2">
      <c r="A45" s="117">
        <f>A44+1</f>
        <v>25</v>
      </c>
      <c r="B45" s="14"/>
      <c r="C45" s="14"/>
      <c r="D45" s="120" t="s">
        <v>2023</v>
      </c>
      <c r="E45" s="14"/>
      <c r="F45" s="14"/>
      <c r="G45" s="14"/>
      <c r="H45" s="14" t="str">
        <f>"1-Base TRR L "&amp;'1-BaseTRR'!A112&amp;""</f>
        <v>1-Base TRR L 64</v>
      </c>
      <c r="I45" s="14"/>
      <c r="J45" s="551">
        <f>'1-BaseTRR'!K119</f>
        <v>1923888.67</v>
      </c>
    </row>
    <row r="46" spans="1:10" x14ac:dyDescent="0.2">
      <c r="A46" s="117"/>
      <c r="B46" s="120"/>
      <c r="C46" s="14"/>
      <c r="D46" s="14"/>
      <c r="E46" s="14"/>
      <c r="F46" s="14"/>
      <c r="G46" s="14"/>
      <c r="H46" s="14"/>
      <c r="I46" s="14"/>
      <c r="J46" s="622"/>
    </row>
    <row r="47" spans="1:10" x14ac:dyDescent="0.2">
      <c r="A47" s="117"/>
      <c r="B47" s="44" t="s">
        <v>2951</v>
      </c>
      <c r="D47" s="14"/>
      <c r="E47" s="14"/>
      <c r="F47" s="14"/>
      <c r="G47" s="14"/>
      <c r="H47" s="14"/>
      <c r="I47" s="14"/>
      <c r="J47" s="622"/>
    </row>
    <row r="48" spans="1:10" x14ac:dyDescent="0.2">
      <c r="A48" s="117">
        <f>A45+1</f>
        <v>26</v>
      </c>
      <c r="B48" s="120"/>
      <c r="C48" s="14" t="s">
        <v>114</v>
      </c>
      <c r="D48" s="14"/>
      <c r="E48" s="14"/>
      <c r="F48" s="14"/>
      <c r="G48" s="14"/>
      <c r="H48" s="14" t="str">
        <f>"1-Base TRR L "&amp;'1-BaseTRR'!A124&amp;""</f>
        <v>1-Base TRR L 65</v>
      </c>
      <c r="I48" s="14"/>
      <c r="J48" s="1285">
        <f>'1-BaseTRR'!K124</f>
        <v>79435590.430285335</v>
      </c>
    </row>
    <row r="49" spans="1:10" x14ac:dyDescent="0.2">
      <c r="A49" s="117">
        <f t="shared" ref="A49:A59" si="0">A48+1</f>
        <v>27</v>
      </c>
      <c r="B49" s="120"/>
      <c r="C49" s="15" t="s">
        <v>292</v>
      </c>
      <c r="D49" s="14"/>
      <c r="E49" s="14"/>
      <c r="F49" s="14"/>
      <c r="G49" s="14"/>
      <c r="H49" s="14" t="str">
        <f>"1-Base TRR L "&amp;'1-BaseTRR'!A125&amp;""</f>
        <v>1-Base TRR L 66</v>
      </c>
      <c r="I49" s="14"/>
      <c r="J49" s="1285">
        <f>'1-BaseTRR'!K125</f>
        <v>33847549.465903319</v>
      </c>
    </row>
    <row r="50" spans="1:10" x14ac:dyDescent="0.2">
      <c r="A50" s="117">
        <f t="shared" si="0"/>
        <v>28</v>
      </c>
      <c r="B50" s="120"/>
      <c r="C50" s="14" t="s">
        <v>67</v>
      </c>
      <c r="D50" s="14"/>
      <c r="E50" s="14"/>
      <c r="F50" s="14"/>
      <c r="G50" s="14"/>
      <c r="H50" s="14" t="str">
        <f>"1-Base TRR L "&amp;'1-BaseTRR'!A126&amp;""</f>
        <v>1-Base TRR L 67</v>
      </c>
      <c r="I50" s="14"/>
      <c r="J50" s="862">
        <f>'1-BaseTRR'!K126</f>
        <v>617891</v>
      </c>
    </row>
    <row r="51" spans="1:10" x14ac:dyDescent="0.2">
      <c r="A51" s="117">
        <f t="shared" si="0"/>
        <v>29</v>
      </c>
      <c r="B51" s="120"/>
      <c r="C51" s="15" t="s">
        <v>278</v>
      </c>
      <c r="D51" s="14"/>
      <c r="E51" s="14"/>
      <c r="F51" s="14"/>
      <c r="G51" s="14"/>
      <c r="H51" s="14" t="str">
        <f>"1-Base TRR L "&amp;'1-BaseTRR'!A127&amp;""</f>
        <v>1-Base TRR L 68</v>
      </c>
      <c r="I51" s="14"/>
      <c r="J51" s="1285">
        <f>'1-BaseTRR'!K127</f>
        <v>104188251.23380898</v>
      </c>
    </row>
    <row r="52" spans="1:10" x14ac:dyDescent="0.2">
      <c r="A52" s="117">
        <f t="shared" si="0"/>
        <v>30</v>
      </c>
      <c r="B52" s="120"/>
      <c r="C52" s="15" t="s">
        <v>324</v>
      </c>
      <c r="D52" s="14"/>
      <c r="E52" s="14"/>
      <c r="F52" s="14"/>
      <c r="G52" s="14"/>
      <c r="H52" s="14" t="str">
        <f>"1-Base TRR L "&amp;'1-BaseTRR'!A128&amp;""</f>
        <v>1-Base TRR L 69</v>
      </c>
      <c r="I52" s="14"/>
      <c r="J52" s="862">
        <f>'1-BaseTRR'!K128</f>
        <v>11028000</v>
      </c>
    </row>
    <row r="53" spans="1:10" x14ac:dyDescent="0.2">
      <c r="A53" s="117">
        <f t="shared" si="0"/>
        <v>31</v>
      </c>
      <c r="B53" s="120"/>
      <c r="C53" s="15" t="s">
        <v>91</v>
      </c>
      <c r="D53" s="14"/>
      <c r="E53" s="14"/>
      <c r="F53" s="14"/>
      <c r="G53" s="14"/>
      <c r="H53" s="14" t="str">
        <f>"1-Base TRR L "&amp;'1-BaseTRR'!A129&amp;""</f>
        <v>1-Base TRR L 70</v>
      </c>
      <c r="I53" s="14"/>
      <c r="J53" s="1285">
        <f>'1-BaseTRR'!K129</f>
        <v>25270453.324389562</v>
      </c>
    </row>
    <row r="54" spans="1:10" x14ac:dyDescent="0.2">
      <c r="A54" s="117">
        <f t="shared" si="0"/>
        <v>32</v>
      </c>
      <c r="B54" s="120"/>
      <c r="C54" s="14" t="s">
        <v>12</v>
      </c>
      <c r="D54" s="14"/>
      <c r="E54" s="14"/>
      <c r="F54" s="14"/>
      <c r="G54" s="15"/>
      <c r="H54" s="14" t="str">
        <f>"1-Base TRR L "&amp;'1-BaseTRR'!A130&amp;""</f>
        <v>1-Base TRR L 71</v>
      </c>
      <c r="I54" s="14"/>
      <c r="J54" s="862">
        <f>'1-BaseTRR'!K130</f>
        <v>-49681901.698689714</v>
      </c>
    </row>
    <row r="55" spans="1:10" x14ac:dyDescent="0.2">
      <c r="A55" s="117">
        <f t="shared" si="0"/>
        <v>33</v>
      </c>
      <c r="B55" s="120"/>
      <c r="C55" s="14" t="s">
        <v>99</v>
      </c>
      <c r="D55" s="14"/>
      <c r="E55" s="14"/>
      <c r="F55" s="14"/>
      <c r="G55" s="14"/>
      <c r="H55" s="14" t="str">
        <f>"Line "&amp;A34&amp;""</f>
        <v>Line 19</v>
      </c>
      <c r="I55" s="14"/>
      <c r="J55" s="1285">
        <f>J34</f>
        <v>269237637.677477</v>
      </c>
    </row>
    <row r="56" spans="1:10" x14ac:dyDescent="0.2">
      <c r="A56" s="117">
        <f t="shared" si="0"/>
        <v>34</v>
      </c>
      <c r="B56" s="120"/>
      <c r="C56" s="14" t="s">
        <v>6</v>
      </c>
      <c r="D56" s="14"/>
      <c r="E56" s="14"/>
      <c r="F56" s="14"/>
      <c r="G56" s="14"/>
      <c r="H56" s="14" t="str">
        <f>"Line "&amp;A38&amp;""</f>
        <v>Line 20</v>
      </c>
      <c r="I56" s="14"/>
      <c r="J56" s="1287">
        <f>J38</f>
        <v>126327570.84962386</v>
      </c>
    </row>
    <row r="57" spans="1:10" x14ac:dyDescent="0.2">
      <c r="A57" s="117">
        <f t="shared" si="0"/>
        <v>35</v>
      </c>
      <c r="B57" s="120"/>
      <c r="C57" s="15" t="s">
        <v>395</v>
      </c>
      <c r="D57" s="14"/>
      <c r="E57" s="14"/>
      <c r="F57" s="14"/>
      <c r="G57" s="14"/>
      <c r="H57" s="14" t="str">
        <f>"1-Base TRR L "&amp;'1-BaseTRR'!A133&amp;""</f>
        <v>1-Base TRR L 74</v>
      </c>
      <c r="I57" s="14"/>
      <c r="J57" s="1283">
        <f>'1-BaseTRR'!K133</f>
        <v>0</v>
      </c>
    </row>
    <row r="58" spans="1:10" x14ac:dyDescent="0.2">
      <c r="A58" s="117">
        <f t="shared" si="0"/>
        <v>36</v>
      </c>
      <c r="B58" s="120"/>
      <c r="C58" s="695" t="s">
        <v>2006</v>
      </c>
      <c r="D58" s="834"/>
      <c r="E58" s="14"/>
      <c r="F58" s="14"/>
      <c r="G58" s="14"/>
      <c r="H58" s="14" t="str">
        <f>"1-Base TRR L "&amp;'1-BaseTRR'!A134&amp;""</f>
        <v>1-Base TRR L 75</v>
      </c>
      <c r="I58" s="14"/>
      <c r="J58" s="1282">
        <f>'1-BaseTRR'!K134</f>
        <v>0</v>
      </c>
    </row>
    <row r="59" spans="1:10" x14ac:dyDescent="0.2">
      <c r="A59" s="117">
        <f t="shared" si="0"/>
        <v>37</v>
      </c>
      <c r="B59" s="120"/>
      <c r="C59" s="550" t="s">
        <v>1707</v>
      </c>
      <c r="D59" s="14"/>
      <c r="E59" s="14"/>
      <c r="F59" s="14"/>
      <c r="G59" s="14"/>
      <c r="H59" s="14" t="str">
        <f>"Sum Line "&amp;A48&amp;" to Line "&amp;A58&amp;""</f>
        <v>Sum Line 26 to Line 36</v>
      </c>
      <c r="I59" s="14"/>
      <c r="J59" s="1285">
        <f>SUM(J48:J58)</f>
        <v>600271042.28279829</v>
      </c>
    </row>
    <row r="60" spans="1:10" x14ac:dyDescent="0.2">
      <c r="A60" s="117"/>
      <c r="B60" s="120"/>
      <c r="C60" s="14"/>
      <c r="D60" s="14"/>
      <c r="E60" s="14"/>
      <c r="F60" s="14"/>
      <c r="G60" s="14"/>
      <c r="H60" s="14"/>
      <c r="I60" s="14"/>
      <c r="J60" s="862"/>
    </row>
    <row r="61" spans="1:10" ht="12.75" customHeight="1" x14ac:dyDescent="0.2">
      <c r="A61" s="117">
        <f>A59+1</f>
        <v>38</v>
      </c>
      <c r="B61" s="120"/>
      <c r="C61" s="550" t="s">
        <v>1681</v>
      </c>
      <c r="D61" s="14"/>
      <c r="E61" s="14"/>
      <c r="F61" s="14"/>
      <c r="G61" s="14"/>
      <c r="H61" s="14" t="str">
        <f>"15-IncentiveAdder L "&amp;'15-IncentiveAdder'!A59&amp;""</f>
        <v>15-IncentiveAdder L 20</v>
      </c>
      <c r="I61" s="14"/>
      <c r="J61" s="1285">
        <f>'15-IncentiveAdder'!G59</f>
        <v>19216706.417686637</v>
      </c>
    </row>
    <row r="62" spans="1:10" x14ac:dyDescent="0.2">
      <c r="A62" s="117"/>
      <c r="B62" s="120"/>
      <c r="C62" s="15"/>
      <c r="D62" s="14"/>
      <c r="E62" s="14"/>
      <c r="F62" s="14"/>
      <c r="G62" s="14"/>
      <c r="H62" s="14"/>
      <c r="I62" s="14"/>
      <c r="J62" s="862"/>
    </row>
    <row r="63" spans="1:10" x14ac:dyDescent="0.2">
      <c r="A63" s="117">
        <f>A61+1</f>
        <v>39</v>
      </c>
      <c r="B63" s="120"/>
      <c r="C63" s="550" t="s">
        <v>2931</v>
      </c>
      <c r="D63" s="14"/>
      <c r="E63" s="14"/>
      <c r="F63" s="14"/>
      <c r="G63" s="14"/>
      <c r="H63" s="14" t="str">
        <f>"Line "&amp;A59&amp;" + Line "&amp;A61&amp;""</f>
        <v>Line 37 + Line 38</v>
      </c>
      <c r="I63" s="14"/>
      <c r="J63" s="1285">
        <f>J59+J61</f>
        <v>619487748.70048487</v>
      </c>
    </row>
    <row r="64" spans="1:10" x14ac:dyDescent="0.2">
      <c r="A64" s="117"/>
      <c r="B64" s="120"/>
      <c r="C64" s="15"/>
      <c r="D64" s="14"/>
      <c r="E64" s="14"/>
      <c r="F64" s="14"/>
      <c r="G64" s="14"/>
      <c r="H64" s="14"/>
      <c r="I64" s="14"/>
      <c r="J64" s="64"/>
    </row>
    <row r="65" spans="1:10" x14ac:dyDescent="0.2">
      <c r="A65" s="117"/>
      <c r="B65" s="437" t="s">
        <v>2952</v>
      </c>
      <c r="C65" s="15"/>
      <c r="D65" s="14"/>
      <c r="E65" s="14"/>
      <c r="F65" s="14"/>
      <c r="G65" s="14"/>
      <c r="H65" s="14"/>
      <c r="I65" s="14"/>
      <c r="J65" s="64"/>
    </row>
    <row r="66" spans="1:10" ht="13.5" thickBot="1" x14ac:dyDescent="0.25">
      <c r="A66" s="54" t="s">
        <v>352</v>
      </c>
      <c r="B66" s="66"/>
      <c r="G66" s="52" t="s">
        <v>1265</v>
      </c>
    </row>
    <row r="67" spans="1:10" x14ac:dyDescent="0.2">
      <c r="A67" s="117">
        <f>A63+1</f>
        <v>40</v>
      </c>
      <c r="B67" s="1123"/>
      <c r="C67" s="14"/>
      <c r="D67" s="1126" t="s">
        <v>1708</v>
      </c>
      <c r="E67" s="1285">
        <f>J63</f>
        <v>619487748.70048487</v>
      </c>
      <c r="F67" s="14"/>
      <c r="G67" s="14" t="str">
        <f>"Line "&amp;A63&amp;""</f>
        <v>Line 39</v>
      </c>
      <c r="H67" s="14"/>
      <c r="I67" s="14"/>
      <c r="J67" s="1303" t="s">
        <v>2965</v>
      </c>
    </row>
    <row r="68" spans="1:10" x14ac:dyDescent="0.2">
      <c r="A68" s="117">
        <f>A67+1</f>
        <v>41</v>
      </c>
      <c r="B68" s="1123"/>
      <c r="C68" s="14"/>
      <c r="D68" s="389" t="s">
        <v>1264</v>
      </c>
      <c r="E68" s="1288">
        <f>'28-FFU'!D22</f>
        <v>9.1427999999999995E-3</v>
      </c>
      <c r="F68" s="14"/>
      <c r="G68" s="14" t="str">
        <f>"28-FFU, L "&amp;'28-FFU'!A22&amp;""</f>
        <v>28-FFU, L 5</v>
      </c>
      <c r="H68" s="14"/>
      <c r="I68" s="14"/>
      <c r="J68" s="1304" t="s">
        <v>2966</v>
      </c>
    </row>
    <row r="69" spans="1:10" x14ac:dyDescent="0.2">
      <c r="A69" s="117">
        <f>A68+1</f>
        <v>42</v>
      </c>
      <c r="B69" s="1123"/>
      <c r="C69" s="14"/>
      <c r="D69" s="84" t="s">
        <v>259</v>
      </c>
      <c r="E69" s="1285">
        <f>E67*'28-FFU'!D22</f>
        <v>5663852.5888187932</v>
      </c>
      <c r="F69" s="14"/>
      <c r="G69" s="14" t="str">
        <f>"Line "&amp;A67&amp;" * Line "&amp;A68&amp;""</f>
        <v>Line 40 * Line 41</v>
      </c>
      <c r="H69" s="14"/>
      <c r="I69" s="14"/>
      <c r="J69" s="1300">
        <f>E72</f>
        <v>626424153.02268422</v>
      </c>
    </row>
    <row r="70" spans="1:10" x14ac:dyDescent="0.2">
      <c r="A70" s="117">
        <f>A69+1</f>
        <v>43</v>
      </c>
      <c r="B70" s="1123"/>
      <c r="C70" s="14"/>
      <c r="D70" s="1126" t="s">
        <v>2020</v>
      </c>
      <c r="E70" s="1288">
        <f>'28-FFU'!E22</f>
        <v>2.0541999999999999E-3</v>
      </c>
      <c r="F70" s="14"/>
      <c r="G70" s="14" t="str">
        <f>"28-FFU, L "&amp;'28-FFU'!A22&amp;""</f>
        <v>28-FFU, L 5</v>
      </c>
      <c r="H70" s="14"/>
      <c r="I70" s="14"/>
      <c r="J70" s="1301">
        <v>620191084</v>
      </c>
    </row>
    <row r="71" spans="1:10" ht="13.5" thickBot="1" x14ac:dyDescent="0.25">
      <c r="A71" s="117">
        <f>A70+1</f>
        <v>44</v>
      </c>
      <c r="B71" s="1123"/>
      <c r="C71" s="14"/>
      <c r="D71" s="1126" t="s">
        <v>1657</v>
      </c>
      <c r="E71" s="1285">
        <f>E67*'28-FFU'!E22</f>
        <v>1272551.7333805361</v>
      </c>
      <c r="F71" s="14"/>
      <c r="G71" s="14" t="str">
        <f>"Line "&amp;A69&amp;" * Line "&amp;A70&amp;""</f>
        <v>Line 42 * Line 43</v>
      </c>
      <c r="H71" s="14"/>
      <c r="I71" s="622"/>
      <c r="J71" s="1302">
        <f>J69-J70</f>
        <v>6233069.0226842165</v>
      </c>
    </row>
    <row r="72" spans="1:10" x14ac:dyDescent="0.2">
      <c r="A72" s="117">
        <f>A71+1</f>
        <v>45</v>
      </c>
      <c r="B72" s="1123"/>
      <c r="C72" s="14"/>
      <c r="D72" s="1126" t="s">
        <v>1709</v>
      </c>
      <c r="E72" s="1285">
        <f>E67+E69+E71</f>
        <v>626424153.02268422</v>
      </c>
      <c r="F72" s="14"/>
      <c r="G72" s="14" t="str">
        <f>"L "&amp;A67&amp;" + L "&amp;A69&amp;" + L "&amp;A71&amp;""</f>
        <v>L 40 + L 42 + L 44</v>
      </c>
      <c r="H72" s="14"/>
      <c r="I72" s="14"/>
      <c r="J72" s="14"/>
    </row>
    <row r="73" spans="1:10" x14ac:dyDescent="0.2">
      <c r="A73" s="14"/>
      <c r="B73" s="1138" t="s">
        <v>422</v>
      </c>
      <c r="C73" s="14"/>
      <c r="D73" s="84"/>
      <c r="E73" s="64"/>
      <c r="F73" s="14"/>
      <c r="G73" s="14"/>
      <c r="H73" s="712"/>
      <c r="I73" s="14"/>
      <c r="J73" s="14"/>
    </row>
    <row r="74" spans="1:10" x14ac:dyDescent="0.2">
      <c r="A74" s="117"/>
      <c r="B74" s="550" t="s">
        <v>1989</v>
      </c>
      <c r="C74" s="437"/>
      <c r="D74" s="84"/>
      <c r="E74" s="64"/>
      <c r="F74" s="14"/>
      <c r="G74" s="14"/>
      <c r="H74" s="14"/>
      <c r="I74" s="14"/>
      <c r="J74" s="14"/>
    </row>
    <row r="75" spans="1:10" x14ac:dyDescent="0.2">
      <c r="A75" s="117"/>
      <c r="B75" s="550" t="s">
        <v>1990</v>
      </c>
      <c r="C75" s="437"/>
      <c r="D75" s="84"/>
      <c r="E75" s="64"/>
      <c r="F75" s="14"/>
      <c r="G75" s="14"/>
      <c r="H75" s="14"/>
      <c r="I75" s="14"/>
      <c r="J75" s="14"/>
    </row>
    <row r="76" spans="1:10" x14ac:dyDescent="0.2">
      <c r="A76" s="117"/>
      <c r="B76" s="1125" t="s">
        <v>1991</v>
      </c>
      <c r="C76" s="15"/>
      <c r="D76" s="84"/>
      <c r="E76" s="64"/>
      <c r="F76" s="14"/>
      <c r="G76" s="14"/>
      <c r="H76" s="14"/>
      <c r="I76" s="14"/>
      <c r="J76" s="14"/>
    </row>
    <row r="77" spans="1:10" x14ac:dyDescent="0.2">
      <c r="A77" s="117"/>
      <c r="B77" s="1125" t="s">
        <v>2059</v>
      </c>
      <c r="C77" s="14"/>
      <c r="D77" s="84"/>
      <c r="E77" s="64"/>
      <c r="F77" s="14"/>
      <c r="G77" s="14"/>
      <c r="H77" s="14"/>
      <c r="I77" s="14"/>
      <c r="J77" s="14"/>
    </row>
    <row r="78" spans="1:10" x14ac:dyDescent="0.2">
      <c r="A78" s="117"/>
      <c r="B78" s="14"/>
      <c r="C78" s="14"/>
      <c r="D78" s="14"/>
      <c r="E78" s="14"/>
      <c r="F78" s="14"/>
      <c r="G78" s="14"/>
      <c r="H78" s="14"/>
      <c r="I78" s="14"/>
      <c r="J78" s="14"/>
    </row>
    <row r="79" spans="1:10" x14ac:dyDescent="0.2">
      <c r="A79" s="117"/>
      <c r="B79" s="550" t="s">
        <v>2264</v>
      </c>
      <c r="C79" s="14"/>
      <c r="D79" s="14"/>
      <c r="E79" s="14"/>
      <c r="F79" s="14"/>
      <c r="G79" s="14"/>
      <c r="H79" s="14"/>
      <c r="I79" s="14"/>
      <c r="J79" s="14"/>
    </row>
    <row r="80" spans="1:10" x14ac:dyDescent="0.2">
      <c r="A80" s="117"/>
      <c r="B80" s="550"/>
      <c r="C80" s="550" t="s">
        <v>2270</v>
      </c>
      <c r="D80" s="14"/>
      <c r="E80" s="14"/>
      <c r="F80" s="14"/>
      <c r="G80" s="14"/>
      <c r="H80" s="14"/>
      <c r="I80" s="14"/>
      <c r="J80" s="14"/>
    </row>
    <row r="81" spans="1:12" x14ac:dyDescent="0.2">
      <c r="A81" s="117"/>
      <c r="B81" s="550"/>
      <c r="C81" s="14"/>
      <c r="D81" s="14"/>
      <c r="E81" s="14"/>
      <c r="F81" s="14"/>
      <c r="G81" s="14"/>
      <c r="H81" s="14"/>
      <c r="I81" s="14"/>
      <c r="J81" s="117" t="s">
        <v>2261</v>
      </c>
    </row>
    <row r="82" spans="1:12" x14ac:dyDescent="0.2">
      <c r="A82" s="117"/>
      <c r="B82" s="14"/>
      <c r="C82" s="14"/>
      <c r="D82" s="14"/>
      <c r="E82" s="131" t="s">
        <v>1648</v>
      </c>
      <c r="F82" s="1114" t="s">
        <v>1265</v>
      </c>
      <c r="G82" s="131" t="s">
        <v>260</v>
      </c>
      <c r="H82" s="131" t="s">
        <v>261</v>
      </c>
      <c r="I82" s="14"/>
      <c r="J82" s="131" t="s">
        <v>2260</v>
      </c>
    </row>
    <row r="83" spans="1:12" x14ac:dyDescent="0.2">
      <c r="B83" s="1140" t="s">
        <v>1970</v>
      </c>
      <c r="C83" s="550" t="s">
        <v>2259</v>
      </c>
      <c r="D83" s="14"/>
      <c r="E83" s="83">
        <f>'1-BaseTRR'!K85</f>
        <v>9.8000000000000004E-2</v>
      </c>
      <c r="F83" s="14" t="str">
        <f>"1-Base TRR L "&amp;'1-BaseTRR'!A85&amp;""</f>
        <v>1-Base TRR L 49</v>
      </c>
      <c r="G83" s="709" t="s">
        <v>2654</v>
      </c>
      <c r="H83" s="630" t="s">
        <v>2655</v>
      </c>
      <c r="I83" s="15"/>
      <c r="J83" s="122">
        <v>366</v>
      </c>
      <c r="K83" s="15"/>
      <c r="L83" s="15"/>
    </row>
    <row r="84" spans="1:12" x14ac:dyDescent="0.2">
      <c r="B84" s="1140" t="s">
        <v>1971</v>
      </c>
      <c r="C84" s="550" t="s">
        <v>2287</v>
      </c>
      <c r="D84" s="14"/>
      <c r="E84" s="1249">
        <v>9.8000000000000004E-2</v>
      </c>
      <c r="F84" s="1139" t="s">
        <v>2263</v>
      </c>
      <c r="G84" s="630" t="s">
        <v>30</v>
      </c>
      <c r="H84" s="630" t="s">
        <v>30</v>
      </c>
      <c r="I84" s="15"/>
      <c r="J84" s="122">
        <v>0</v>
      </c>
      <c r="K84" s="15"/>
      <c r="L84" s="15"/>
    </row>
    <row r="85" spans="1:12" x14ac:dyDescent="0.2">
      <c r="B85" s="1140" t="s">
        <v>1972</v>
      </c>
      <c r="C85" s="550"/>
      <c r="D85" s="14"/>
      <c r="E85" s="1141"/>
      <c r="F85" s="1139"/>
      <c r="G85" s="631"/>
      <c r="H85" s="631"/>
      <c r="I85" s="1126" t="s">
        <v>2552</v>
      </c>
      <c r="J85" s="15">
        <f>SUM(J83:J84)</f>
        <v>366</v>
      </c>
      <c r="K85" s="15"/>
      <c r="L85" s="15"/>
    </row>
    <row r="86" spans="1:12" x14ac:dyDescent="0.2">
      <c r="A86" s="14"/>
      <c r="B86" s="1140" t="s">
        <v>1973</v>
      </c>
      <c r="C86" s="550" t="s">
        <v>2272</v>
      </c>
      <c r="D86" s="14"/>
      <c r="E86" s="83">
        <f>((E83*J83) + (E84* J84)) / J85</f>
        <v>9.8000000000000004E-2</v>
      </c>
      <c r="F86" s="550" t="s">
        <v>2553</v>
      </c>
      <c r="G86" s="14"/>
      <c r="H86" s="15"/>
      <c r="I86" s="15"/>
      <c r="J86" s="15"/>
      <c r="K86" s="15"/>
      <c r="L86" s="15"/>
    </row>
    <row r="87" spans="1:12" x14ac:dyDescent="0.2">
      <c r="A87" s="117"/>
      <c r="B87" s="550"/>
      <c r="C87" s="14"/>
      <c r="D87" s="14"/>
      <c r="E87" s="14"/>
      <c r="F87" s="14"/>
      <c r="G87" s="14"/>
      <c r="H87" s="15"/>
      <c r="I87" s="15"/>
      <c r="J87" s="15"/>
      <c r="K87" s="15"/>
      <c r="L87" s="15"/>
    </row>
    <row r="88" spans="1:12" x14ac:dyDescent="0.2">
      <c r="A88" s="117"/>
      <c r="B88" s="550" t="s">
        <v>2262</v>
      </c>
      <c r="C88" s="14"/>
      <c r="D88" s="14"/>
      <c r="E88" s="14"/>
      <c r="F88" s="14"/>
      <c r="G88" s="14"/>
      <c r="H88" s="15"/>
      <c r="I88" s="15"/>
      <c r="J88" s="15"/>
      <c r="K88" s="15"/>
      <c r="L88" s="15"/>
    </row>
    <row r="89" spans="1:12" x14ac:dyDescent="0.2">
      <c r="A89" s="117"/>
      <c r="B89" s="550"/>
      <c r="C89" s="14"/>
      <c r="D89" s="14"/>
      <c r="E89" s="1114" t="s">
        <v>1265</v>
      </c>
      <c r="F89" s="14"/>
      <c r="G89" s="14"/>
      <c r="H89" s="15"/>
      <c r="I89" s="15"/>
      <c r="J89" s="15"/>
      <c r="K89" s="15"/>
      <c r="L89" s="15"/>
    </row>
    <row r="90" spans="1:12" x14ac:dyDescent="0.2">
      <c r="A90" s="14"/>
      <c r="B90" s="1140" t="s">
        <v>1974</v>
      </c>
      <c r="C90" s="550" t="s">
        <v>2289</v>
      </c>
      <c r="D90" s="14"/>
      <c r="E90" s="102" t="s">
        <v>2948</v>
      </c>
      <c r="F90" s="102"/>
      <c r="G90" s="102"/>
      <c r="H90" s="122"/>
      <c r="I90" s="122"/>
      <c r="J90" s="122"/>
      <c r="K90" s="15"/>
      <c r="L90" s="15"/>
    </row>
    <row r="91" spans="1:12" x14ac:dyDescent="0.2">
      <c r="B91" s="1140" t="s">
        <v>1975</v>
      </c>
      <c r="C91" s="550" t="s">
        <v>2288</v>
      </c>
      <c r="D91" s="14"/>
      <c r="E91" s="102" t="s">
        <v>2948</v>
      </c>
      <c r="F91" s="102"/>
      <c r="G91" s="102"/>
      <c r="H91" s="122"/>
      <c r="I91" s="122"/>
      <c r="J91" s="122"/>
      <c r="K91" s="15"/>
      <c r="L91" s="15"/>
    </row>
    <row r="92" spans="1:12" x14ac:dyDescent="0.2">
      <c r="B92" s="14"/>
      <c r="C92" s="550"/>
      <c r="D92" s="14"/>
      <c r="E92" s="631"/>
      <c r="F92" s="14"/>
      <c r="G92" s="14"/>
      <c r="H92" s="14"/>
      <c r="I92" s="15"/>
      <c r="J92" s="15"/>
      <c r="K92" s="15"/>
      <c r="L92" s="15"/>
    </row>
    <row r="93" spans="1:12" x14ac:dyDescent="0.2">
      <c r="B93" s="14"/>
      <c r="C93" s="14"/>
      <c r="D93" s="14"/>
      <c r="E93" s="131" t="s">
        <v>1648</v>
      </c>
      <c r="F93" s="1114" t="s">
        <v>1265</v>
      </c>
      <c r="G93" s="14"/>
      <c r="H93" s="15"/>
      <c r="I93" s="15"/>
      <c r="J93" s="14"/>
    </row>
    <row r="94" spans="1:12" x14ac:dyDescent="0.2">
      <c r="B94" s="1140" t="s">
        <v>1977</v>
      </c>
      <c r="C94" s="550" t="s">
        <v>2273</v>
      </c>
      <c r="D94" s="15"/>
      <c r="E94" s="71">
        <f>'1-BaseTRR'!K88</f>
        <v>2.4045192271003935E-2</v>
      </c>
      <c r="F94" s="14" t="str">
        <f>"1-Base TRR L "&amp;'1-BaseTRR'!A88&amp;""</f>
        <v>1-Base TRR L 50</v>
      </c>
      <c r="G94" s="14"/>
      <c r="H94" s="15"/>
      <c r="I94" s="15"/>
      <c r="J94" s="14"/>
    </row>
    <row r="95" spans="1:12" x14ac:dyDescent="0.2">
      <c r="B95" s="1140" t="s">
        <v>2265</v>
      </c>
      <c r="C95" s="550" t="s">
        <v>2274</v>
      </c>
      <c r="D95" s="14"/>
      <c r="E95" s="1401">
        <f>'1-BaseTRR'!K89</f>
        <v>4.7288960950770823E-3</v>
      </c>
      <c r="F95" s="14" t="str">
        <f>"1-Base TRR L "&amp;'1-BaseTRR'!A89&amp;""</f>
        <v>1-Base TRR L 51</v>
      </c>
      <c r="G95" s="14"/>
      <c r="H95" s="15"/>
      <c r="I95" s="15"/>
      <c r="J95" s="14"/>
    </row>
    <row r="96" spans="1:12" x14ac:dyDescent="0.2">
      <c r="B96" s="1140" t="s">
        <v>2266</v>
      </c>
      <c r="C96" s="550" t="s">
        <v>2275</v>
      </c>
      <c r="D96" s="14"/>
      <c r="E96" s="49">
        <f>('1-BaseTRR'!K80) * E86</f>
        <v>4.6165268734087883E-2</v>
      </c>
      <c r="F96" s="14" t="str">
        <f>"1-Base TRR L "&amp;'1-BaseTRR'!A80&amp;" * Line d"</f>
        <v>1-Base TRR L 46 * Line d</v>
      </c>
      <c r="G96" s="15"/>
      <c r="H96" s="15"/>
      <c r="I96" s="14"/>
      <c r="J96" s="14"/>
    </row>
    <row r="97" spans="1:10" x14ac:dyDescent="0.2">
      <c r="A97" s="14"/>
      <c r="B97" s="117" t="s">
        <v>2267</v>
      </c>
      <c r="C97" s="46" t="s">
        <v>64</v>
      </c>
      <c r="D97" s="14"/>
      <c r="E97" s="1391">
        <f>SUM(E94:E96)</f>
        <v>7.4939357100168899E-2</v>
      </c>
      <c r="F97" s="64" t="str">
        <f>"Sum of Lines "&amp;B91&amp;" to "&amp;B95&amp;""</f>
        <v>Sum of Lines f to h</v>
      </c>
      <c r="G97" s="113"/>
      <c r="H97" s="14"/>
      <c r="I97" s="14"/>
      <c r="J97" s="1142"/>
    </row>
    <row r="98" spans="1:10" x14ac:dyDescent="0.2">
      <c r="A98" s="117"/>
      <c r="B98" s="14"/>
      <c r="C98" s="21"/>
      <c r="D98" s="24"/>
      <c r="E98" s="64"/>
      <c r="F98" s="64"/>
      <c r="G98" s="113"/>
      <c r="H98" s="64"/>
      <c r="I98" s="14"/>
      <c r="J98" s="1142"/>
    </row>
    <row r="99" spans="1:10" x14ac:dyDescent="0.2">
      <c r="A99" s="117"/>
      <c r="B99" s="550" t="s">
        <v>2268</v>
      </c>
      <c r="C99" s="14"/>
      <c r="D99" s="14"/>
      <c r="E99" s="14"/>
      <c r="F99" s="14"/>
      <c r="G99" s="14"/>
      <c r="H99" s="14"/>
      <c r="I99" s="14"/>
      <c r="J99" s="14"/>
    </row>
    <row r="100" spans="1:10" x14ac:dyDescent="0.2">
      <c r="A100" s="117"/>
      <c r="B100" s="14"/>
      <c r="C100" s="14"/>
      <c r="D100" s="14"/>
      <c r="E100" s="14"/>
      <c r="F100" s="14"/>
      <c r="G100" s="14"/>
      <c r="H100" s="14"/>
      <c r="I100" s="14"/>
      <c r="J100" s="14"/>
    </row>
    <row r="101" spans="1:10" x14ac:dyDescent="0.2">
      <c r="A101" s="117"/>
      <c r="B101" s="14"/>
      <c r="C101" s="14"/>
      <c r="D101" s="14"/>
      <c r="E101" s="131" t="s">
        <v>1648</v>
      </c>
      <c r="F101" s="1114" t="s">
        <v>1265</v>
      </c>
      <c r="G101" s="14"/>
      <c r="H101" s="14"/>
      <c r="I101" s="14"/>
      <c r="J101" s="14"/>
    </row>
    <row r="102" spans="1:10" x14ac:dyDescent="0.2">
      <c r="A102" s="14"/>
      <c r="B102" s="1140" t="s">
        <v>2932</v>
      </c>
      <c r="C102" s="14"/>
      <c r="D102" s="14"/>
      <c r="E102" s="1401">
        <f>E95+E96</f>
        <v>5.0894164829164965E-2</v>
      </c>
      <c r="F102" s="64" t="str">
        <f>"Sum of Lines "&amp;B94&amp;" to "&amp;B95&amp;""</f>
        <v>Sum of Lines g to h</v>
      </c>
      <c r="G102" s="14"/>
      <c r="H102" s="14"/>
      <c r="I102" s="14"/>
      <c r="J102" s="14"/>
    </row>
    <row r="103" spans="1:10" x14ac:dyDescent="0.2">
      <c r="A103" s="117"/>
      <c r="B103" s="14"/>
      <c r="C103" s="14"/>
      <c r="D103" s="14"/>
      <c r="E103" s="71"/>
      <c r="F103" s="64"/>
      <c r="G103" s="14"/>
      <c r="H103" s="14"/>
      <c r="I103" s="14"/>
      <c r="J103" s="14"/>
    </row>
    <row r="104" spans="1:10" x14ac:dyDescent="0.2">
      <c r="A104" s="117"/>
      <c r="B104" s="1125" t="s">
        <v>2244</v>
      </c>
      <c r="C104" s="14"/>
      <c r="D104" s="14"/>
      <c r="E104" s="113"/>
      <c r="F104" s="113"/>
      <c r="G104" s="113"/>
      <c r="H104" s="64"/>
      <c r="I104" s="14"/>
      <c r="J104" s="14"/>
    </row>
    <row r="105" spans="1:10" x14ac:dyDescent="0.2">
      <c r="A105" s="117"/>
      <c r="B105" s="1139" t="s">
        <v>2253</v>
      </c>
      <c r="C105" s="14"/>
      <c r="D105" s="14"/>
      <c r="E105" s="14"/>
      <c r="F105" s="14"/>
      <c r="G105" s="14"/>
      <c r="H105" s="14"/>
      <c r="I105" s="14"/>
      <c r="J105" s="14"/>
    </row>
    <row r="106" spans="1:10" x14ac:dyDescent="0.2">
      <c r="A106" s="2"/>
      <c r="B106" s="1139" t="s">
        <v>2254</v>
      </c>
      <c r="C106" s="14"/>
      <c r="D106" s="117"/>
      <c r="E106" s="117"/>
      <c r="F106" s="117"/>
      <c r="G106" s="117"/>
      <c r="H106" s="117"/>
      <c r="I106" s="14"/>
      <c r="J106" s="14"/>
    </row>
    <row r="107" spans="1:10" x14ac:dyDescent="0.2">
      <c r="A107" s="2"/>
      <c r="B107" s="1125" t="s">
        <v>2256</v>
      </c>
      <c r="C107" s="14"/>
      <c r="D107" s="117"/>
      <c r="E107" s="117"/>
      <c r="F107" s="117"/>
      <c r="G107" s="117"/>
      <c r="H107" s="117"/>
      <c r="I107" s="14"/>
      <c r="J107" s="14"/>
    </row>
    <row r="108" spans="1:10" x14ac:dyDescent="0.2">
      <c r="A108" s="2"/>
      <c r="B108" s="14" t="s">
        <v>2255</v>
      </c>
      <c r="C108" s="29"/>
      <c r="D108" s="29"/>
      <c r="E108" s="131"/>
      <c r="F108" s="131"/>
      <c r="G108" s="131"/>
      <c r="H108" s="131"/>
      <c r="I108" s="14"/>
      <c r="J108" s="14"/>
    </row>
    <row r="109" spans="1:10" x14ac:dyDescent="0.2">
      <c r="A109" s="2"/>
    </row>
    <row r="110" spans="1:10" x14ac:dyDescent="0.2">
      <c r="A110" s="2"/>
    </row>
    <row r="111" spans="1:10" x14ac:dyDescent="0.2">
      <c r="A111" s="2"/>
    </row>
    <row r="112" spans="1:10" x14ac:dyDescent="0.2">
      <c r="A112" s="2"/>
      <c r="C112" s="21"/>
      <c r="E112" s="64"/>
      <c r="F112" s="64"/>
      <c r="H112" s="7"/>
      <c r="J112" s="88"/>
    </row>
    <row r="113" spans="1:10" x14ac:dyDescent="0.2">
      <c r="A113" s="2"/>
      <c r="C113" s="21"/>
      <c r="E113" s="64"/>
      <c r="F113" s="64"/>
      <c r="H113" s="7"/>
      <c r="J113" s="88"/>
    </row>
    <row r="114" spans="1:10" x14ac:dyDescent="0.2">
      <c r="A114" s="54"/>
      <c r="C114" s="21"/>
      <c r="E114" s="64"/>
      <c r="F114" s="64"/>
      <c r="H114" s="7"/>
      <c r="J114" s="88"/>
    </row>
    <row r="115" spans="1:10" x14ac:dyDescent="0.2">
      <c r="A115" s="2"/>
      <c r="D115" s="34"/>
      <c r="E115" s="64"/>
      <c r="F115" s="64"/>
      <c r="G115" s="12"/>
      <c r="H115" s="7"/>
      <c r="J115" s="88"/>
    </row>
    <row r="116" spans="1:10" x14ac:dyDescent="0.2">
      <c r="A116" s="2"/>
      <c r="C116" s="21"/>
      <c r="D116" s="99"/>
      <c r="E116" s="97"/>
      <c r="F116" s="7"/>
      <c r="G116" s="12"/>
      <c r="H116" s="7"/>
      <c r="J116" s="88"/>
    </row>
    <row r="117" spans="1:10" x14ac:dyDescent="0.2">
      <c r="A117" s="2"/>
      <c r="C117" s="21"/>
      <c r="D117" s="99"/>
      <c r="E117" s="7"/>
      <c r="F117" s="7"/>
      <c r="G117" s="12"/>
      <c r="H117" s="7"/>
      <c r="J117" s="88"/>
    </row>
    <row r="118" spans="1:10" x14ac:dyDescent="0.2">
      <c r="A118" s="2"/>
    </row>
    <row r="119" spans="1:10" x14ac:dyDescent="0.2">
      <c r="A119" s="2"/>
      <c r="B119" s="1"/>
    </row>
    <row r="120" spans="1:10" x14ac:dyDescent="0.2">
      <c r="A120" s="2"/>
    </row>
    <row r="121" spans="1:10" x14ac:dyDescent="0.2">
      <c r="A121" s="2"/>
    </row>
    <row r="122" spans="1:10" x14ac:dyDescent="0.2">
      <c r="A122" s="2"/>
      <c r="F122" s="2"/>
    </row>
    <row r="123" spans="1:10" x14ac:dyDescent="0.2">
      <c r="A123" s="2"/>
      <c r="F123" s="2"/>
    </row>
    <row r="124" spans="1:10" x14ac:dyDescent="0.2">
      <c r="A124" s="2"/>
      <c r="D124" s="2"/>
      <c r="E124" s="2"/>
      <c r="F124" s="2"/>
      <c r="H124" s="2"/>
    </row>
    <row r="125" spans="1:10" x14ac:dyDescent="0.2">
      <c r="A125" s="2"/>
      <c r="D125" s="2"/>
      <c r="E125" s="2"/>
      <c r="F125" s="2"/>
      <c r="G125" s="2"/>
      <c r="H125" s="4"/>
    </row>
    <row r="126" spans="1:10" x14ac:dyDescent="0.2">
      <c r="A126" s="54"/>
      <c r="C126" s="25"/>
      <c r="D126" s="25"/>
      <c r="E126" s="3"/>
      <c r="F126" s="90"/>
      <c r="G126" s="3"/>
      <c r="H126" s="4"/>
    </row>
    <row r="127" spans="1:10" x14ac:dyDescent="0.2">
      <c r="A127" s="2"/>
      <c r="C127" s="20"/>
      <c r="D127" s="24"/>
      <c r="E127" s="64"/>
      <c r="F127" s="64"/>
      <c r="G127" s="83"/>
      <c r="H127" s="7"/>
    </row>
    <row r="128" spans="1:10" x14ac:dyDescent="0.2">
      <c r="A128" s="2"/>
      <c r="C128" s="21"/>
      <c r="D128" s="24"/>
      <c r="E128" s="64"/>
      <c r="F128" s="64"/>
      <c r="G128" s="83"/>
      <c r="H128" s="7"/>
    </row>
    <row r="129" spans="1:8" x14ac:dyDescent="0.2">
      <c r="A129" s="2"/>
      <c r="C129" s="21"/>
      <c r="D129" s="24"/>
      <c r="E129" s="64"/>
      <c r="F129" s="64"/>
      <c r="G129" s="83"/>
      <c r="H129" s="7"/>
    </row>
    <row r="130" spans="1:8" x14ac:dyDescent="0.2">
      <c r="A130" s="2"/>
      <c r="C130" s="20"/>
      <c r="D130" s="24"/>
      <c r="E130" s="64"/>
      <c r="F130" s="64"/>
      <c r="G130" s="83"/>
      <c r="H130" s="7"/>
    </row>
    <row r="131" spans="1:8" x14ac:dyDescent="0.2">
      <c r="A131" s="2"/>
      <c r="C131" s="21"/>
      <c r="D131" s="24"/>
      <c r="E131" s="64"/>
      <c r="F131" s="64"/>
      <c r="G131" s="83"/>
      <c r="H131" s="7"/>
    </row>
    <row r="132" spans="1:8" x14ac:dyDescent="0.2">
      <c r="A132" s="2"/>
      <c r="C132" s="21"/>
      <c r="D132" s="24"/>
      <c r="E132" s="64"/>
      <c r="F132" s="64"/>
      <c r="G132" s="83"/>
      <c r="H132" s="7"/>
    </row>
    <row r="133" spans="1:8" x14ac:dyDescent="0.2">
      <c r="A133" s="2"/>
      <c r="C133" s="20"/>
      <c r="D133" s="24"/>
      <c r="E133" s="64"/>
      <c r="F133" s="64"/>
      <c r="G133" s="83"/>
      <c r="H133" s="7"/>
    </row>
    <row r="134" spans="1:8" x14ac:dyDescent="0.2">
      <c r="A134" s="2"/>
      <c r="C134" s="21"/>
      <c r="D134" s="24"/>
      <c r="E134" s="64"/>
      <c r="F134" s="64"/>
      <c r="G134" s="83"/>
      <c r="H134" s="7"/>
    </row>
    <row r="135" spans="1:8" x14ac:dyDescent="0.2">
      <c r="A135" s="2"/>
      <c r="C135" s="21"/>
      <c r="D135" s="24"/>
      <c r="E135" s="64"/>
      <c r="F135" s="64"/>
      <c r="G135" s="83"/>
      <c r="H135" s="7"/>
    </row>
    <row r="136" spans="1:8" x14ac:dyDescent="0.2">
      <c r="A136" s="2"/>
      <c r="C136" s="20"/>
      <c r="D136" s="24"/>
      <c r="E136" s="64"/>
      <c r="F136" s="64"/>
      <c r="G136" s="83"/>
      <c r="H136" s="7"/>
    </row>
    <row r="137" spans="1:8" x14ac:dyDescent="0.2">
      <c r="A137" s="2"/>
      <c r="C137" s="20"/>
      <c r="D137" s="24"/>
      <c r="E137" s="64"/>
      <c r="F137" s="64"/>
      <c r="G137" s="83"/>
      <c r="H137" s="7"/>
    </row>
    <row r="138" spans="1:8" x14ac:dyDescent="0.2">
      <c r="A138" s="2"/>
      <c r="C138" s="21"/>
      <c r="D138" s="24"/>
      <c r="E138" s="64"/>
      <c r="F138" s="64"/>
      <c r="G138" s="83"/>
      <c r="H138" s="58"/>
    </row>
    <row r="139" spans="1:8" x14ac:dyDescent="0.2">
      <c r="A139" s="2"/>
      <c r="E139" s="14"/>
      <c r="F139" s="14"/>
      <c r="G139" s="14"/>
      <c r="H139" s="7"/>
    </row>
    <row r="140" spans="1:8" x14ac:dyDescent="0.2">
      <c r="A140" s="2"/>
      <c r="C140" s="21"/>
      <c r="D140" s="24"/>
      <c r="E140" s="14"/>
      <c r="F140" s="154"/>
      <c r="G140" s="83"/>
      <c r="H140" s="76"/>
    </row>
    <row r="141" spans="1:8" x14ac:dyDescent="0.2">
      <c r="A141" s="2"/>
      <c r="B141" s="1"/>
      <c r="C141" s="21"/>
      <c r="D141" s="24"/>
      <c r="E141" s="14"/>
      <c r="F141" s="154"/>
      <c r="G141" s="83"/>
      <c r="H141" s="76"/>
    </row>
    <row r="142" spans="1:8" x14ac:dyDescent="0.2">
      <c r="A142" s="54"/>
      <c r="B142" s="1"/>
      <c r="C142" s="21"/>
      <c r="D142" s="24"/>
      <c r="E142" s="14"/>
      <c r="F142" s="154"/>
      <c r="G142" s="83"/>
      <c r="H142" s="76"/>
    </row>
    <row r="143" spans="1:8" x14ac:dyDescent="0.2">
      <c r="A143" s="2"/>
      <c r="C143" s="21"/>
      <c r="D143" s="91"/>
      <c r="E143" s="64"/>
      <c r="F143" s="155"/>
      <c r="G143" s="83"/>
      <c r="H143" s="76"/>
    </row>
    <row r="144" spans="1:8" x14ac:dyDescent="0.2">
      <c r="A144" s="2"/>
      <c r="C144" s="21"/>
      <c r="D144" s="36"/>
      <c r="E144" s="64"/>
      <c r="F144" s="155"/>
      <c r="G144" s="83"/>
      <c r="H144" s="76"/>
    </row>
    <row r="145" spans="1:10" x14ac:dyDescent="0.2">
      <c r="A145" s="2"/>
      <c r="C145" s="21"/>
      <c r="D145" s="36"/>
      <c r="E145" s="58"/>
      <c r="F145" s="124"/>
      <c r="G145" s="83"/>
      <c r="H145" s="76"/>
    </row>
    <row r="146" spans="1:10" x14ac:dyDescent="0.2">
      <c r="A146" s="2"/>
      <c r="C146" s="21"/>
      <c r="D146" s="91"/>
      <c r="E146" s="7"/>
      <c r="F146" s="76"/>
      <c r="G146" s="83"/>
      <c r="H146" s="76"/>
    </row>
    <row r="147" spans="1:10" x14ac:dyDescent="0.2">
      <c r="A147" s="2"/>
      <c r="C147" s="21"/>
      <c r="D147" s="24"/>
      <c r="F147" s="76"/>
      <c r="G147" s="83"/>
      <c r="H147" s="76"/>
    </row>
    <row r="148" spans="1:10" x14ac:dyDescent="0.2">
      <c r="A148" s="2"/>
    </row>
    <row r="149" spans="1:10" x14ac:dyDescent="0.2">
      <c r="A149" s="2"/>
    </row>
    <row r="150" spans="1:10" x14ac:dyDescent="0.2">
      <c r="A150" s="2"/>
    </row>
    <row r="151" spans="1:10" x14ac:dyDescent="0.2">
      <c r="A151" s="2"/>
      <c r="B151" s="1"/>
    </row>
    <row r="152" spans="1:10" x14ac:dyDescent="0.2">
      <c r="A152" s="2"/>
      <c r="B152" s="12"/>
    </row>
    <row r="153" spans="1:10" x14ac:dyDescent="0.2">
      <c r="A153" s="2"/>
      <c r="B153" s="12"/>
    </row>
    <row r="154" spans="1:10" x14ac:dyDescent="0.2">
      <c r="A154" s="2"/>
      <c r="B154" s="12"/>
    </row>
    <row r="155" spans="1:10" x14ac:dyDescent="0.2">
      <c r="A155" s="2"/>
    </row>
    <row r="156" spans="1:10" x14ac:dyDescent="0.2">
      <c r="A156" s="2"/>
      <c r="B156" s="1"/>
    </row>
    <row r="157" spans="1:10" x14ac:dyDescent="0.2">
      <c r="A157" s="2"/>
    </row>
    <row r="158" spans="1:10" x14ac:dyDescent="0.2">
      <c r="A158" s="54"/>
      <c r="C158" s="25"/>
      <c r="D158" s="3"/>
      <c r="G158" s="14"/>
      <c r="H158" s="14"/>
      <c r="I158" s="14"/>
      <c r="J158" s="14"/>
    </row>
    <row r="159" spans="1:10" x14ac:dyDescent="0.2">
      <c r="A159" s="2"/>
      <c r="C159" s="20"/>
      <c r="D159" s="152"/>
      <c r="F159" s="8"/>
      <c r="G159" s="14"/>
      <c r="H159" s="14"/>
      <c r="I159" s="14"/>
      <c r="J159" s="14"/>
    </row>
    <row r="160" spans="1:10" x14ac:dyDescent="0.2">
      <c r="A160" s="2"/>
      <c r="C160" s="21"/>
      <c r="D160" s="152"/>
      <c r="F160" s="8"/>
      <c r="G160" s="14"/>
      <c r="H160" s="14"/>
      <c r="I160" s="14"/>
      <c r="J160" s="14"/>
    </row>
    <row r="161" spans="1:10" x14ac:dyDescent="0.2">
      <c r="A161" s="2"/>
      <c r="C161" s="21"/>
      <c r="D161" s="152"/>
      <c r="F161" s="8"/>
      <c r="G161" s="14"/>
      <c r="H161" s="14"/>
      <c r="I161" s="14"/>
      <c r="J161" s="14"/>
    </row>
    <row r="162" spans="1:10" x14ac:dyDescent="0.2">
      <c r="A162" s="2"/>
      <c r="C162" s="20"/>
      <c r="D162" s="152"/>
      <c r="F162" s="8"/>
      <c r="G162" s="14"/>
      <c r="H162" s="14"/>
      <c r="I162" s="14"/>
      <c r="J162" s="14"/>
    </row>
    <row r="163" spans="1:10" x14ac:dyDescent="0.2">
      <c r="A163" s="2"/>
      <c r="C163" s="21"/>
      <c r="D163" s="152"/>
      <c r="F163" s="8"/>
      <c r="G163" s="14"/>
      <c r="H163" s="14"/>
      <c r="I163" s="14"/>
      <c r="J163" s="14"/>
    </row>
    <row r="164" spans="1:10" x14ac:dyDescent="0.2">
      <c r="A164" s="2"/>
      <c r="C164" s="21"/>
      <c r="D164" s="152"/>
      <c r="F164" s="8"/>
      <c r="G164" s="14"/>
      <c r="H164" s="14"/>
      <c r="I164" s="14"/>
      <c r="J164" s="14"/>
    </row>
    <row r="165" spans="1:10" x14ac:dyDescent="0.2">
      <c r="A165" s="2"/>
      <c r="C165" s="20"/>
      <c r="D165" s="152"/>
      <c r="F165" s="8"/>
      <c r="G165" s="14"/>
      <c r="H165" s="14"/>
      <c r="I165" s="14"/>
      <c r="J165" s="14"/>
    </row>
    <row r="166" spans="1:10" x14ac:dyDescent="0.2">
      <c r="A166" s="2"/>
      <c r="C166" s="21"/>
      <c r="D166" s="152"/>
      <c r="F166" s="8"/>
      <c r="G166" s="14"/>
      <c r="H166" s="14"/>
      <c r="I166" s="14"/>
      <c r="J166" s="14"/>
    </row>
    <row r="167" spans="1:10" x14ac:dyDescent="0.2">
      <c r="A167" s="2"/>
      <c r="C167" s="21"/>
      <c r="D167" s="152"/>
      <c r="F167" s="8"/>
      <c r="G167" s="14"/>
      <c r="H167" s="14"/>
      <c r="I167" s="14"/>
      <c r="J167" s="14"/>
    </row>
    <row r="168" spans="1:10" x14ac:dyDescent="0.2">
      <c r="A168" s="2"/>
      <c r="C168" s="20"/>
      <c r="D168" s="152"/>
      <c r="F168" s="8"/>
      <c r="G168" s="14"/>
      <c r="H168" s="14"/>
      <c r="I168" s="14"/>
      <c r="J168" s="14"/>
    </row>
    <row r="169" spans="1:10" x14ac:dyDescent="0.2">
      <c r="A169" s="2"/>
      <c r="C169" s="20"/>
      <c r="D169" s="152"/>
      <c r="F169" s="8"/>
    </row>
    <row r="170" spans="1:10" x14ac:dyDescent="0.2">
      <c r="A170" s="2"/>
      <c r="C170" s="21"/>
      <c r="D170" s="153"/>
      <c r="F170" s="87"/>
    </row>
    <row r="171" spans="1:10" x14ac:dyDescent="0.2">
      <c r="A171" s="2"/>
      <c r="C171" s="34"/>
      <c r="D171" s="152"/>
    </row>
  </sheetData>
  <phoneticPr fontId="12" type="noConversion"/>
  <pageMargins left="0.75" right="0.75" top="1" bottom="1" header="0.5" footer="0.5"/>
  <pageSetup scale="80" orientation="landscape" cellComments="asDisplayed" r:id="rId1"/>
  <headerFooter alignWithMargins="0">
    <oddHeader>&amp;CSchedule 4
True Up TRR
&amp;RTO8 Annual Update (Revised)
Attachment  1</oddHeader>
    <oddFooter>&amp;R&amp;A</oddFooter>
  </headerFooter>
  <rowBreaks count="4" manualBreakCount="4">
    <brk id="46" max="9" man="1"/>
    <brk id="72" max="16383" man="1"/>
    <brk id="118" max="9" man="1"/>
    <brk id="1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1"/>
  <sheetViews>
    <sheetView view="pageLayout" zoomScaleNormal="90" workbookViewId="0">
      <selection activeCell="L43" sqref="L43"/>
    </sheetView>
  </sheetViews>
  <sheetFormatPr defaultRowHeight="12.75" x14ac:dyDescent="0.2"/>
  <cols>
    <col min="1" max="1" width="4.7109375" customWidth="1"/>
    <col min="2" max="2" width="3.7109375" customWidth="1"/>
    <col min="4" max="4" width="13.7109375" customWidth="1"/>
    <col min="6" max="7" width="10.7109375" customWidth="1"/>
    <col min="9" max="9" width="27.7109375" customWidth="1"/>
    <col min="10" max="10" width="30.7109375" customWidth="1"/>
    <col min="11" max="11" width="2.7109375" customWidth="1"/>
    <col min="12" max="12" width="16.7109375" customWidth="1"/>
    <col min="13" max="13" width="1.7109375" customWidth="1"/>
    <col min="14" max="14" width="4.7109375" style="14" customWidth="1"/>
    <col min="15" max="28" width="14.7109375" style="14" customWidth="1"/>
  </cols>
  <sheetData>
    <row r="1" spans="1:28" x14ac:dyDescent="0.2">
      <c r="A1" s="1" t="s">
        <v>25</v>
      </c>
      <c r="J1" s="102" t="s">
        <v>334</v>
      </c>
      <c r="K1" s="14"/>
      <c r="L1" s="14"/>
    </row>
    <row r="2" spans="1:28" x14ac:dyDescent="0.2">
      <c r="B2" s="1"/>
      <c r="I2" s="644"/>
      <c r="J2" s="644" t="s">
        <v>190</v>
      </c>
      <c r="L2" s="270">
        <v>2012</v>
      </c>
    </row>
    <row r="3" spans="1:28" x14ac:dyDescent="0.2">
      <c r="I3" s="3" t="s">
        <v>189</v>
      </c>
      <c r="J3" s="3" t="s">
        <v>191</v>
      </c>
      <c r="L3" s="3" t="s">
        <v>192</v>
      </c>
    </row>
    <row r="5" spans="1:28" x14ac:dyDescent="0.2">
      <c r="A5" s="10" t="s">
        <v>198</v>
      </c>
      <c r="B5" s="127"/>
      <c r="C5" s="11"/>
      <c r="D5" s="11"/>
      <c r="E5" s="11"/>
      <c r="F5" s="11"/>
      <c r="G5" s="11"/>
      <c r="H5" s="11"/>
      <c r="I5" s="9"/>
      <c r="J5" s="9"/>
      <c r="K5" s="9"/>
      <c r="L5" s="9"/>
      <c r="N5" s="651"/>
      <c r="O5" s="652"/>
      <c r="P5" s="652"/>
      <c r="Q5" s="652"/>
      <c r="R5" s="652"/>
      <c r="S5" s="652"/>
      <c r="T5" s="652"/>
    </row>
    <row r="6" spans="1:28" x14ac:dyDescent="0.2">
      <c r="B6" s="44"/>
      <c r="C6" s="550"/>
      <c r="D6" s="550"/>
      <c r="E6" s="550"/>
      <c r="F6" s="550"/>
      <c r="G6" s="550"/>
      <c r="H6" s="550"/>
      <c r="I6" s="550"/>
      <c r="J6" s="550"/>
      <c r="K6" s="550"/>
      <c r="L6" s="550"/>
      <c r="O6" s="384"/>
      <c r="P6" s="384"/>
      <c r="Q6" s="384"/>
      <c r="R6" s="384"/>
      <c r="S6" s="384"/>
      <c r="T6" s="384"/>
      <c r="U6" s="384"/>
      <c r="V6" s="384"/>
      <c r="W6" s="384"/>
      <c r="X6" s="384"/>
      <c r="Y6" s="384"/>
      <c r="Z6" s="384"/>
      <c r="AA6" s="384"/>
      <c r="AB6" s="384"/>
    </row>
    <row r="7" spans="1:28" x14ac:dyDescent="0.2">
      <c r="A7" s="54" t="s">
        <v>352</v>
      </c>
      <c r="B7" s="44"/>
      <c r="C7" s="45" t="s">
        <v>296</v>
      </c>
      <c r="D7" s="550"/>
      <c r="E7" s="550"/>
      <c r="F7" s="550"/>
      <c r="G7" s="550"/>
      <c r="H7" s="550"/>
      <c r="I7" s="550"/>
      <c r="J7" s="548"/>
      <c r="K7" s="550"/>
      <c r="L7" s="550"/>
      <c r="N7" s="653"/>
      <c r="O7" s="84"/>
      <c r="P7" s="654"/>
      <c r="Q7" s="631"/>
      <c r="R7" s="631"/>
      <c r="S7" s="631"/>
      <c r="T7" s="631"/>
      <c r="U7" s="631"/>
      <c r="V7" s="631"/>
      <c r="W7" s="631"/>
      <c r="X7" s="631"/>
      <c r="Y7" s="631"/>
      <c r="Z7" s="631"/>
      <c r="AA7" s="631"/>
      <c r="AB7" s="631"/>
    </row>
    <row r="8" spans="1:28" x14ac:dyDescent="0.2">
      <c r="A8" s="117">
        <v>1</v>
      </c>
      <c r="B8" s="44"/>
      <c r="C8" s="550" t="s">
        <v>227</v>
      </c>
      <c r="D8" s="550"/>
      <c r="E8" s="550"/>
      <c r="F8" s="550"/>
      <c r="G8" s="550"/>
      <c r="H8" s="550"/>
      <c r="I8" s="550" t="s">
        <v>1869</v>
      </c>
      <c r="J8" s="547" t="str">
        <f>"5-ROR-2, Line "&amp;'5-ROR-2'!A8&amp;""</f>
        <v>5-ROR-2, Line 1</v>
      </c>
      <c r="K8" s="550"/>
      <c r="L8" s="563">
        <f>'5-ROR-2'!C8</f>
        <v>8622092307.6923084</v>
      </c>
      <c r="N8" s="117"/>
      <c r="O8" s="563"/>
      <c r="P8" s="563"/>
      <c r="Q8" s="563"/>
      <c r="R8" s="563"/>
      <c r="S8" s="563"/>
      <c r="T8" s="563"/>
      <c r="U8" s="563"/>
      <c r="V8" s="563"/>
      <c r="W8" s="563"/>
      <c r="X8" s="563"/>
      <c r="Y8" s="563"/>
      <c r="Z8" s="563"/>
      <c r="AA8" s="563"/>
      <c r="AB8" s="563"/>
    </row>
    <row r="9" spans="1:28" x14ac:dyDescent="0.2">
      <c r="A9" s="117">
        <f>A8+1</f>
        <v>2</v>
      </c>
      <c r="B9" s="44"/>
      <c r="C9" s="550" t="s">
        <v>228</v>
      </c>
      <c r="D9" s="550"/>
      <c r="E9" s="550"/>
      <c r="F9" s="550"/>
      <c r="G9" s="550"/>
      <c r="H9" s="550"/>
      <c r="I9" s="550" t="s">
        <v>1869</v>
      </c>
      <c r="J9" s="547" t="str">
        <f>"5-ROR-2, Line "&amp;'5-ROR-2'!A10&amp;""</f>
        <v>5-ROR-2, Line 2</v>
      </c>
      <c r="K9" s="550"/>
      <c r="L9" s="563">
        <f>'5-ROR-2'!C10</f>
        <v>-160540000</v>
      </c>
      <c r="N9" s="117"/>
      <c r="O9" s="563"/>
      <c r="P9" s="563"/>
      <c r="Q9" s="563"/>
      <c r="R9" s="563"/>
      <c r="S9" s="563"/>
      <c r="T9" s="563"/>
      <c r="U9" s="563"/>
      <c r="V9" s="563"/>
      <c r="W9" s="563"/>
      <c r="X9" s="563"/>
      <c r="Y9" s="563"/>
      <c r="Z9" s="563"/>
      <c r="AA9" s="563"/>
      <c r="AB9" s="563"/>
    </row>
    <row r="10" spans="1:28" x14ac:dyDescent="0.2">
      <c r="A10" s="117" t="s">
        <v>571</v>
      </c>
      <c r="B10" s="44"/>
      <c r="C10" s="550" t="s">
        <v>2249</v>
      </c>
      <c r="D10" s="1143"/>
      <c r="E10" s="1143"/>
      <c r="F10" s="1143"/>
      <c r="G10" s="1143"/>
      <c r="H10" s="1143"/>
      <c r="I10" s="550" t="s">
        <v>1869</v>
      </c>
      <c r="J10" s="547" t="str">
        <f>"5-ROR-2, Line "&amp;'5-ROR-2'!A12&amp;""</f>
        <v>5-ROR-2, Line 2a</v>
      </c>
      <c r="K10" s="550"/>
      <c r="L10" s="563">
        <f>'5-ROR-2'!C12</f>
        <v>0</v>
      </c>
      <c r="N10" s="117"/>
      <c r="O10" s="563"/>
      <c r="P10" s="563"/>
      <c r="Q10" s="563"/>
      <c r="R10" s="563"/>
      <c r="S10" s="563"/>
      <c r="T10" s="563"/>
      <c r="U10" s="563"/>
      <c r="V10" s="563"/>
      <c r="W10" s="563"/>
      <c r="X10" s="563"/>
      <c r="Y10" s="563"/>
      <c r="Z10" s="563"/>
      <c r="AA10" s="563"/>
      <c r="AB10" s="563"/>
    </row>
    <row r="11" spans="1:28" x14ac:dyDescent="0.2">
      <c r="A11" s="117">
        <f>A9+1</f>
        <v>3</v>
      </c>
      <c r="B11" s="44"/>
      <c r="C11" s="550" t="s">
        <v>229</v>
      </c>
      <c r="D11" s="550"/>
      <c r="E11" s="550"/>
      <c r="F11" s="550"/>
      <c r="G11" s="550"/>
      <c r="H11" s="550"/>
      <c r="I11" s="550" t="s">
        <v>1869</v>
      </c>
      <c r="J11" s="547" t="str">
        <f>"5-ROR-2, Line "&amp;'5-ROR-2'!A14&amp;""</f>
        <v>5-ROR-2, Line 3</v>
      </c>
      <c r="K11" s="550"/>
      <c r="L11" s="563">
        <f>'5-ROR-2'!C14</f>
        <v>306872047.30769229</v>
      </c>
      <c r="N11" s="117"/>
      <c r="O11" s="563"/>
      <c r="P11" s="563"/>
      <c r="Q11" s="563"/>
      <c r="R11" s="563"/>
      <c r="S11" s="563"/>
      <c r="T11" s="563"/>
      <c r="U11" s="563"/>
      <c r="V11" s="563"/>
      <c r="W11" s="563"/>
      <c r="X11" s="563"/>
      <c r="Y11" s="563"/>
      <c r="Z11" s="563"/>
      <c r="AA11" s="563"/>
      <c r="AB11" s="563"/>
    </row>
    <row r="12" spans="1:28" x14ac:dyDescent="0.2">
      <c r="A12" s="117">
        <f>A11+1</f>
        <v>4</v>
      </c>
      <c r="B12" s="44"/>
      <c r="C12" s="550" t="s">
        <v>2559</v>
      </c>
      <c r="D12" s="550"/>
      <c r="E12" s="550"/>
      <c r="F12" s="550"/>
      <c r="G12" s="550"/>
      <c r="H12" s="550"/>
      <c r="I12" s="550"/>
      <c r="J12" s="547"/>
      <c r="K12" s="550"/>
      <c r="L12" s="563"/>
      <c r="N12" s="117"/>
      <c r="O12" s="563"/>
      <c r="P12" s="563"/>
      <c r="Q12" s="563"/>
      <c r="R12" s="563"/>
      <c r="S12" s="563"/>
      <c r="T12" s="563"/>
      <c r="U12" s="563"/>
      <c r="V12" s="563"/>
      <c r="W12" s="563"/>
      <c r="X12" s="563"/>
      <c r="Y12" s="563"/>
      <c r="Z12" s="563"/>
      <c r="AA12" s="563"/>
      <c r="AB12" s="563"/>
    </row>
    <row r="13" spans="1:28" x14ac:dyDescent="0.2">
      <c r="A13" s="117">
        <f>A12+1</f>
        <v>5</v>
      </c>
      <c r="B13" s="44"/>
      <c r="C13" s="550" t="s">
        <v>2559</v>
      </c>
      <c r="D13" s="550"/>
      <c r="E13" s="550"/>
      <c r="F13" s="550"/>
      <c r="G13" s="550"/>
      <c r="H13" s="550"/>
      <c r="I13" s="550"/>
      <c r="J13" s="547"/>
      <c r="K13" s="550"/>
      <c r="L13" s="563"/>
      <c r="N13" s="117"/>
      <c r="O13" s="563"/>
      <c r="P13" s="563"/>
      <c r="Q13" s="563"/>
      <c r="R13" s="563"/>
      <c r="S13" s="563"/>
      <c r="T13" s="563"/>
      <c r="U13" s="563"/>
      <c r="V13" s="563"/>
      <c r="W13" s="563"/>
      <c r="X13" s="563"/>
      <c r="Y13" s="563"/>
      <c r="Z13" s="563"/>
      <c r="AA13" s="563"/>
      <c r="AB13" s="563"/>
    </row>
    <row r="14" spans="1:28" x14ac:dyDescent="0.2">
      <c r="A14" s="117">
        <f>A13+1</f>
        <v>6</v>
      </c>
      <c r="B14" s="44"/>
      <c r="C14" s="550" t="s">
        <v>2559</v>
      </c>
      <c r="D14" s="550"/>
      <c r="E14" s="550"/>
      <c r="F14" s="550"/>
      <c r="G14" s="550"/>
      <c r="H14" s="550"/>
      <c r="I14" s="550"/>
      <c r="J14" s="547"/>
      <c r="K14" s="550"/>
      <c r="L14" s="563"/>
      <c r="N14" s="117"/>
      <c r="O14" s="563"/>
      <c r="P14" s="563"/>
      <c r="Q14" s="563"/>
      <c r="R14" s="563"/>
      <c r="S14" s="563"/>
      <c r="T14" s="563"/>
      <c r="U14" s="563"/>
      <c r="V14" s="563"/>
      <c r="W14" s="563"/>
      <c r="X14" s="563"/>
      <c r="Y14" s="563"/>
      <c r="Z14" s="563"/>
      <c r="AA14" s="563"/>
      <c r="AB14" s="563"/>
    </row>
    <row r="15" spans="1:28" x14ac:dyDescent="0.2">
      <c r="A15" s="117">
        <f t="shared" ref="A15:A16" si="0">A14+1</f>
        <v>7</v>
      </c>
      <c r="B15" s="44"/>
      <c r="C15" s="550" t="s">
        <v>2559</v>
      </c>
      <c r="D15" s="550"/>
      <c r="E15" s="550"/>
      <c r="F15" s="550"/>
      <c r="G15" s="550"/>
      <c r="H15" s="550"/>
      <c r="I15" s="550"/>
      <c r="J15" s="547"/>
      <c r="K15" s="550"/>
      <c r="L15" s="563"/>
      <c r="N15" s="117"/>
      <c r="O15" s="563"/>
      <c r="P15" s="563"/>
      <c r="Q15" s="563"/>
      <c r="R15" s="563"/>
      <c r="S15" s="563"/>
      <c r="T15" s="563"/>
      <c r="U15" s="563"/>
      <c r="V15" s="563"/>
      <c r="W15" s="563"/>
      <c r="X15" s="563"/>
      <c r="Y15" s="563"/>
      <c r="Z15" s="563"/>
      <c r="AA15" s="563"/>
      <c r="AB15" s="563"/>
    </row>
    <row r="16" spans="1:28" x14ac:dyDescent="0.2">
      <c r="A16" s="117">
        <f t="shared" si="0"/>
        <v>8</v>
      </c>
      <c r="B16" s="44"/>
      <c r="C16" s="547" t="s">
        <v>230</v>
      </c>
      <c r="D16" s="550"/>
      <c r="E16" s="550"/>
      <c r="F16" s="550"/>
      <c r="G16" s="550"/>
      <c r="H16" s="550"/>
      <c r="I16" s="14"/>
      <c r="J16" s="547" t="str">
        <f>"L"&amp;A8&amp;" + L"&amp;A9&amp;" + L"&amp;A10&amp;" + L"&amp;A11&amp;""</f>
        <v>L1 + L2 + L2a + L3</v>
      </c>
      <c r="K16" s="550"/>
      <c r="L16" s="565">
        <f>SUM(L8:L11)</f>
        <v>8768424355</v>
      </c>
    </row>
    <row r="17" spans="1:28" x14ac:dyDescent="0.2">
      <c r="A17" s="14"/>
      <c r="B17" s="44"/>
      <c r="C17" s="550"/>
      <c r="D17" s="550"/>
      <c r="E17" s="550"/>
      <c r="F17" s="550"/>
      <c r="G17" s="550" t="s">
        <v>361</v>
      </c>
      <c r="H17" s="550"/>
      <c r="I17" s="550"/>
      <c r="J17" s="547"/>
      <c r="K17" s="550"/>
      <c r="L17" s="550"/>
    </row>
    <row r="18" spans="1:28" x14ac:dyDescent="0.2">
      <c r="A18" s="117"/>
      <c r="B18" s="44"/>
      <c r="C18" s="45" t="s">
        <v>297</v>
      </c>
      <c r="D18" s="550"/>
      <c r="E18" s="550"/>
      <c r="F18" s="550"/>
      <c r="G18" s="550"/>
      <c r="H18" s="550"/>
      <c r="I18" s="550"/>
      <c r="J18" s="547"/>
      <c r="K18" s="550"/>
      <c r="L18" s="550"/>
    </row>
    <row r="19" spans="1:28" x14ac:dyDescent="0.2">
      <c r="A19" s="117">
        <f>A16+1</f>
        <v>9</v>
      </c>
      <c r="B19" s="44"/>
      <c r="C19" s="550" t="s">
        <v>232</v>
      </c>
      <c r="D19" s="550"/>
      <c r="E19" s="550"/>
      <c r="F19" s="550"/>
      <c r="G19" s="550"/>
      <c r="H19" s="550"/>
      <c r="I19" s="550"/>
      <c r="J19" s="547" t="s">
        <v>404</v>
      </c>
      <c r="K19" s="550"/>
      <c r="L19" s="564">
        <v>439796519</v>
      </c>
    </row>
    <row r="20" spans="1:28" x14ac:dyDescent="0.2">
      <c r="A20" s="117">
        <f>A19+1</f>
        <v>10</v>
      </c>
      <c r="B20" s="44"/>
      <c r="C20" s="550" t="s">
        <v>231</v>
      </c>
      <c r="D20" s="550"/>
      <c r="E20" s="550"/>
      <c r="F20" s="550"/>
      <c r="G20" s="550"/>
      <c r="H20" s="550"/>
      <c r="I20" s="550"/>
      <c r="J20" s="547" t="s">
        <v>405</v>
      </c>
      <c r="K20" s="550"/>
      <c r="L20" s="564">
        <v>31015878</v>
      </c>
    </row>
    <row r="21" spans="1:28" x14ac:dyDescent="0.2">
      <c r="A21" s="117">
        <f t="shared" ref="A21:A27" si="1">A20+1</f>
        <v>11</v>
      </c>
      <c r="B21" s="44"/>
      <c r="C21" s="550" t="s">
        <v>233</v>
      </c>
      <c r="D21" s="550"/>
      <c r="E21" s="550"/>
      <c r="F21" s="550"/>
      <c r="G21" s="550"/>
      <c r="H21" s="550"/>
      <c r="I21" s="550"/>
      <c r="J21" s="547" t="s">
        <v>406</v>
      </c>
      <c r="K21" s="550"/>
      <c r="L21" s="564">
        <v>-9</v>
      </c>
    </row>
    <row r="22" spans="1:28" x14ac:dyDescent="0.2">
      <c r="A22" s="117">
        <f t="shared" si="1"/>
        <v>12</v>
      </c>
      <c r="B22" s="44"/>
      <c r="C22" s="550" t="s">
        <v>299</v>
      </c>
      <c r="D22" s="550"/>
      <c r="E22" s="550"/>
      <c r="F22" s="550"/>
      <c r="G22" s="550"/>
      <c r="H22" s="550"/>
      <c r="I22" s="550" t="s">
        <v>234</v>
      </c>
      <c r="J22" s="547" t="s">
        <v>407</v>
      </c>
      <c r="K22" s="550"/>
      <c r="L22" s="564">
        <v>0</v>
      </c>
    </row>
    <row r="23" spans="1:28" x14ac:dyDescent="0.2">
      <c r="A23" s="117">
        <f t="shared" si="1"/>
        <v>13</v>
      </c>
      <c r="B23" s="44"/>
      <c r="C23" s="550" t="s">
        <v>235</v>
      </c>
      <c r="D23" s="550"/>
      <c r="E23" s="550"/>
      <c r="F23" s="550"/>
      <c r="G23" s="550"/>
      <c r="H23" s="550"/>
      <c r="I23" s="550" t="s">
        <v>234</v>
      </c>
      <c r="J23" s="547" t="s">
        <v>408</v>
      </c>
      <c r="K23" s="550"/>
      <c r="L23" s="564">
        <v>0</v>
      </c>
    </row>
    <row r="24" spans="1:28" x14ac:dyDescent="0.2">
      <c r="A24" s="117" t="s">
        <v>1316</v>
      </c>
      <c r="B24" s="44"/>
      <c r="C24" s="550" t="s">
        <v>2250</v>
      </c>
      <c r="D24" s="550"/>
      <c r="E24" s="550"/>
      <c r="F24" s="550"/>
      <c r="G24" s="550"/>
      <c r="H24" s="550"/>
      <c r="I24" s="550"/>
      <c r="J24" s="547" t="s">
        <v>2251</v>
      </c>
      <c r="K24" s="550"/>
      <c r="L24" s="564">
        <v>0</v>
      </c>
    </row>
    <row r="25" spans="1:28" x14ac:dyDescent="0.2">
      <c r="A25" s="117">
        <f>A23+1</f>
        <v>14</v>
      </c>
      <c r="B25" s="44"/>
      <c r="C25" s="550" t="s">
        <v>2559</v>
      </c>
      <c r="D25" s="550"/>
      <c r="E25" s="550"/>
      <c r="F25" s="550"/>
      <c r="G25" s="550"/>
      <c r="H25" s="550"/>
      <c r="I25" s="550"/>
      <c r="J25" s="547"/>
      <c r="K25" s="550"/>
      <c r="L25" s="563"/>
    </row>
    <row r="26" spans="1:28" x14ac:dyDescent="0.2">
      <c r="A26" s="117">
        <f t="shared" si="1"/>
        <v>15</v>
      </c>
      <c r="B26" s="44"/>
      <c r="C26" s="550" t="s">
        <v>2559</v>
      </c>
      <c r="D26" s="550"/>
      <c r="E26" s="550"/>
      <c r="F26" s="550"/>
      <c r="G26" s="550"/>
      <c r="H26" s="550"/>
      <c r="I26" s="550"/>
      <c r="J26" s="547"/>
      <c r="K26" s="550"/>
      <c r="L26" s="1144"/>
    </row>
    <row r="27" spans="1:28" x14ac:dyDescent="0.2">
      <c r="A27" s="117">
        <f t="shared" si="1"/>
        <v>16</v>
      </c>
      <c r="B27" s="44"/>
      <c r="C27" s="547" t="s">
        <v>281</v>
      </c>
      <c r="D27" s="550"/>
      <c r="E27" s="550"/>
      <c r="F27" s="550"/>
      <c r="G27" s="550"/>
      <c r="H27" s="550"/>
      <c r="I27" s="14"/>
      <c r="J27" s="547" t="str">
        <f>"Sum of Lines "&amp;A19&amp;" to "&amp;A24&amp;""</f>
        <v>Sum of Lines 9 to 13a</v>
      </c>
      <c r="K27" s="550"/>
      <c r="L27" s="565">
        <f>SUM(L19:L24)</f>
        <v>470812388</v>
      </c>
    </row>
    <row r="28" spans="1:28" x14ac:dyDescent="0.2">
      <c r="A28" s="14"/>
      <c r="B28" s="44"/>
      <c r="C28" s="550"/>
      <c r="D28" s="550"/>
      <c r="E28" s="550"/>
      <c r="F28" s="550"/>
      <c r="G28" s="550"/>
      <c r="H28" s="550"/>
      <c r="I28" s="550"/>
      <c r="J28" s="547"/>
      <c r="K28" s="550"/>
      <c r="L28" s="550"/>
    </row>
    <row r="29" spans="1:28" x14ac:dyDescent="0.2">
      <c r="A29" s="117">
        <f>A27+1</f>
        <v>17</v>
      </c>
      <c r="B29" s="44"/>
      <c r="C29" s="550" t="s">
        <v>51</v>
      </c>
      <c r="D29" s="550"/>
      <c r="E29" s="550"/>
      <c r="F29" s="550"/>
      <c r="G29" s="550"/>
      <c r="H29" s="550"/>
      <c r="I29" s="14"/>
      <c r="J29" s="547" t="str">
        <f>"Line "&amp;A27&amp;" / Line "&amp;A16&amp;""</f>
        <v>Line 16 / Line 8</v>
      </c>
      <c r="K29" s="550"/>
      <c r="L29" s="457">
        <f>L27/L16</f>
        <v>5.3694069645651862E-2</v>
      </c>
    </row>
    <row r="30" spans="1:28" x14ac:dyDescent="0.2">
      <c r="A30" s="117"/>
      <c r="B30" s="44"/>
      <c r="C30" s="550"/>
      <c r="D30" s="550"/>
      <c r="E30" s="550"/>
      <c r="F30" s="550"/>
      <c r="G30" s="550"/>
      <c r="H30" s="550"/>
      <c r="I30" s="14"/>
      <c r="J30" s="547"/>
      <c r="K30" s="550"/>
      <c r="L30" s="457"/>
    </row>
    <row r="31" spans="1:28" x14ac:dyDescent="0.2">
      <c r="A31" s="14"/>
      <c r="B31" s="44"/>
      <c r="C31" s="45" t="s">
        <v>1688</v>
      </c>
      <c r="D31" s="550"/>
      <c r="E31" s="550"/>
      <c r="F31" s="550"/>
      <c r="G31" s="550"/>
      <c r="H31" s="550"/>
      <c r="I31" s="550"/>
      <c r="J31" s="547"/>
      <c r="K31" s="550"/>
      <c r="L31" s="550"/>
    </row>
    <row r="32" spans="1:28" x14ac:dyDescent="0.2">
      <c r="A32" s="117">
        <f>A29+1</f>
        <v>18</v>
      </c>
      <c r="B32" s="44"/>
      <c r="C32" s="550" t="s">
        <v>52</v>
      </c>
      <c r="D32" s="550"/>
      <c r="E32" s="550"/>
      <c r="F32" s="550"/>
      <c r="G32" s="550"/>
      <c r="H32" s="550"/>
      <c r="I32" s="550" t="s">
        <v>1869</v>
      </c>
      <c r="J32" s="547" t="str">
        <f>"5-ROR-2, Line "&amp;'5-ROR-2'!A24&amp;""</f>
        <v>5-ROR-2, Line 18</v>
      </c>
      <c r="K32" s="550"/>
      <c r="L32" s="563">
        <f>'5-ROR-2'!C24</f>
        <v>1612297950</v>
      </c>
      <c r="N32" s="117"/>
      <c r="O32" s="563"/>
      <c r="P32" s="563"/>
      <c r="Q32" s="563"/>
      <c r="R32" s="563"/>
      <c r="S32" s="563"/>
      <c r="T32" s="563"/>
      <c r="U32" s="563"/>
      <c r="V32" s="563"/>
      <c r="W32" s="563"/>
      <c r="X32" s="563"/>
      <c r="Y32" s="563"/>
      <c r="Z32" s="563"/>
      <c r="AA32" s="563"/>
      <c r="AB32" s="563"/>
    </row>
    <row r="33" spans="1:28" x14ac:dyDescent="0.2">
      <c r="A33" s="117">
        <f t="shared" ref="A33:A34" si="2">A32+1</f>
        <v>19</v>
      </c>
      <c r="B33" s="44"/>
      <c r="C33" s="550" t="s">
        <v>1684</v>
      </c>
      <c r="D33" s="550"/>
      <c r="E33" s="550"/>
      <c r="F33" s="550"/>
      <c r="G33" s="550"/>
      <c r="H33" s="550"/>
      <c r="I33" s="550" t="s">
        <v>1869</v>
      </c>
      <c r="J33" s="547" t="str">
        <f>"5-ROR-2, Line "&amp;'5-ROR-2'!A26&amp;""</f>
        <v>5-ROR-2, Line 19</v>
      </c>
      <c r="K33" s="550"/>
      <c r="L33" s="563">
        <f>'5-ROR-2'!C26</f>
        <v>-22628839.46153846</v>
      </c>
      <c r="N33" s="117"/>
      <c r="O33" s="563"/>
      <c r="P33" s="563"/>
      <c r="Q33" s="563"/>
      <c r="R33" s="563"/>
      <c r="S33" s="563"/>
      <c r="T33" s="563"/>
      <c r="U33" s="563"/>
      <c r="V33" s="563"/>
      <c r="W33" s="563"/>
      <c r="X33" s="563"/>
      <c r="Y33" s="563"/>
      <c r="Z33" s="563"/>
      <c r="AA33" s="563"/>
      <c r="AB33" s="563"/>
    </row>
    <row r="34" spans="1:28" x14ac:dyDescent="0.2">
      <c r="A34" s="117">
        <f t="shared" si="2"/>
        <v>20</v>
      </c>
      <c r="B34" s="44"/>
      <c r="C34" s="550" t="s">
        <v>1291</v>
      </c>
      <c r="D34" s="550"/>
      <c r="E34" s="550"/>
      <c r="F34" s="550"/>
      <c r="G34" s="550"/>
      <c r="H34" s="550"/>
      <c r="I34" s="550" t="s">
        <v>1869</v>
      </c>
      <c r="J34" s="547" t="str">
        <f>"5-ROR-2, Line "&amp;'5-ROR-2'!A28&amp;""</f>
        <v>5-ROR-2, Line 20</v>
      </c>
      <c r="K34" s="550"/>
      <c r="L34" s="566">
        <f>'5-ROR-2'!C28</f>
        <v>-1560237</v>
      </c>
      <c r="N34" s="117"/>
      <c r="O34" s="563"/>
      <c r="P34" s="563"/>
      <c r="Q34" s="563"/>
      <c r="R34" s="563"/>
      <c r="S34" s="563"/>
      <c r="T34" s="563"/>
      <c r="U34" s="563"/>
      <c r="V34" s="563"/>
      <c r="W34" s="563"/>
      <c r="X34" s="563"/>
      <c r="Y34" s="563"/>
      <c r="Z34" s="563"/>
      <c r="AA34" s="563"/>
      <c r="AB34" s="563"/>
    </row>
    <row r="35" spans="1:28" x14ac:dyDescent="0.2">
      <c r="A35" s="117">
        <f>A34+1</f>
        <v>21</v>
      </c>
      <c r="B35" s="44"/>
      <c r="C35" s="547" t="s">
        <v>58</v>
      </c>
      <c r="D35" s="550"/>
      <c r="E35" s="550"/>
      <c r="F35" s="550"/>
      <c r="G35" s="550"/>
      <c r="H35" s="550"/>
      <c r="I35" s="550"/>
      <c r="J35" s="547" t="str">
        <f>"Sum of Lines "&amp;A32&amp;" to "&amp;A34&amp;""</f>
        <v>Sum of Lines 18 to 20</v>
      </c>
      <c r="K35" s="550"/>
      <c r="L35" s="563">
        <f>SUM(L32:L34)</f>
        <v>1588108873.5384614</v>
      </c>
    </row>
    <row r="36" spans="1:28" x14ac:dyDescent="0.2">
      <c r="A36" s="117"/>
      <c r="B36" s="44"/>
      <c r="C36" s="550"/>
      <c r="D36" s="550"/>
      <c r="E36" s="550"/>
      <c r="F36" s="550"/>
      <c r="G36" s="550"/>
      <c r="H36" s="550"/>
      <c r="I36" s="550"/>
      <c r="J36" s="547"/>
      <c r="K36" s="550"/>
      <c r="L36" s="563"/>
    </row>
    <row r="37" spans="1:28" x14ac:dyDescent="0.2">
      <c r="A37" s="117"/>
      <c r="B37" s="44"/>
      <c r="C37" s="45" t="s">
        <v>1689</v>
      </c>
      <c r="D37" s="550"/>
      <c r="E37" s="550"/>
      <c r="F37" s="550"/>
      <c r="G37" s="550"/>
      <c r="H37" s="550"/>
      <c r="I37" s="550"/>
      <c r="J37" s="547"/>
      <c r="K37" s="550"/>
      <c r="L37" s="563"/>
    </row>
    <row r="38" spans="1:28" x14ac:dyDescent="0.2">
      <c r="A38" s="117">
        <f>A35+1</f>
        <v>22</v>
      </c>
      <c r="B38" s="44"/>
      <c r="C38" s="550" t="s">
        <v>53</v>
      </c>
      <c r="D38" s="550"/>
      <c r="E38" s="550"/>
      <c r="F38" s="550"/>
      <c r="G38" s="550"/>
      <c r="H38" s="550"/>
      <c r="I38" s="550" t="s">
        <v>100</v>
      </c>
      <c r="J38" s="547" t="s">
        <v>409</v>
      </c>
      <c r="K38" s="550"/>
      <c r="L38" s="564">
        <v>91215826</v>
      </c>
    </row>
    <row r="39" spans="1:28" x14ac:dyDescent="0.2">
      <c r="A39" s="117">
        <f>A38+1</f>
        <v>23</v>
      </c>
      <c r="B39" s="44"/>
      <c r="C39" s="550" t="s">
        <v>1292</v>
      </c>
      <c r="D39" s="550"/>
      <c r="E39" s="550"/>
      <c r="F39" s="550"/>
      <c r="G39" s="550"/>
      <c r="H39" s="550"/>
      <c r="I39" s="550"/>
      <c r="J39" s="547" t="s">
        <v>313</v>
      </c>
      <c r="K39" s="550"/>
      <c r="L39" s="563">
        <f>'5-ROR-2'!H74</f>
        <v>205467.64705882355</v>
      </c>
    </row>
    <row r="40" spans="1:28" x14ac:dyDescent="0.2">
      <c r="A40" s="117">
        <f>A39+1</f>
        <v>24</v>
      </c>
      <c r="B40" s="44"/>
      <c r="C40" s="550" t="s">
        <v>1293</v>
      </c>
      <c r="D40" s="550"/>
      <c r="E40" s="550"/>
      <c r="F40" s="550"/>
      <c r="G40" s="550"/>
      <c r="H40" s="550"/>
      <c r="I40" s="550"/>
      <c r="J40" s="547" t="s">
        <v>1050</v>
      </c>
      <c r="K40" s="550"/>
      <c r="L40" s="1290">
        <f>'5-ROR-2'!I64</f>
        <v>1171971.486111111</v>
      </c>
    </row>
    <row r="41" spans="1:28" x14ac:dyDescent="0.2">
      <c r="A41" s="117">
        <f t="shared" ref="A41" si="3">A40+1</f>
        <v>25</v>
      </c>
      <c r="B41" s="44"/>
      <c r="C41" s="547" t="s">
        <v>53</v>
      </c>
      <c r="D41" s="550"/>
      <c r="E41" s="550"/>
      <c r="F41" s="550"/>
      <c r="G41" s="550"/>
      <c r="H41" s="550"/>
      <c r="I41" s="14"/>
      <c r="J41" s="547" t="str">
        <f>"Sum of Lines "&amp;A38&amp;" to "&amp;A40&amp;""</f>
        <v>Sum of Lines 22 to 24</v>
      </c>
      <c r="K41" s="550"/>
      <c r="L41" s="1289">
        <f>SUM(L38:L40)</f>
        <v>92593265.133169934</v>
      </c>
    </row>
    <row r="42" spans="1:28" x14ac:dyDescent="0.2">
      <c r="A42" s="14"/>
      <c r="B42" s="44"/>
      <c r="C42" s="550"/>
      <c r="D42" s="550"/>
      <c r="E42" s="550"/>
      <c r="F42" s="550"/>
      <c r="G42" s="550"/>
      <c r="H42" s="550"/>
      <c r="I42" s="550"/>
      <c r="J42" s="547"/>
      <c r="K42" s="550"/>
      <c r="L42" s="563"/>
    </row>
    <row r="43" spans="1:28" x14ac:dyDescent="0.2">
      <c r="A43" s="117">
        <f>A41+1</f>
        <v>26</v>
      </c>
      <c r="B43" s="44"/>
      <c r="C43" s="550" t="s">
        <v>54</v>
      </c>
      <c r="D43" s="550"/>
      <c r="E43" s="550"/>
      <c r="F43" s="550"/>
      <c r="G43" s="550"/>
      <c r="H43" s="550"/>
      <c r="I43" s="14"/>
      <c r="J43" s="547" t="str">
        <f>"Line "&amp;A41&amp;" / Line "&amp;A35&amp;""</f>
        <v>Line 25 / Line 21</v>
      </c>
      <c r="K43" s="550"/>
      <c r="L43" s="1291">
        <f>L41/L35</f>
        <v>5.8304104130381888E-2</v>
      </c>
    </row>
    <row r="44" spans="1:28" x14ac:dyDescent="0.2">
      <c r="A44" s="14"/>
      <c r="B44" s="44"/>
      <c r="C44" s="550"/>
      <c r="D44" s="550"/>
      <c r="E44" s="550"/>
      <c r="F44" s="550"/>
      <c r="G44" s="550"/>
      <c r="H44" s="550"/>
      <c r="I44" s="550"/>
      <c r="J44" s="547"/>
      <c r="K44" s="550"/>
      <c r="L44" s="550"/>
    </row>
    <row r="45" spans="1:28" x14ac:dyDescent="0.2">
      <c r="A45" s="14"/>
      <c r="B45" s="44"/>
      <c r="C45" s="45" t="s">
        <v>298</v>
      </c>
      <c r="D45" s="550"/>
      <c r="E45" s="550"/>
      <c r="F45" s="550"/>
      <c r="G45" s="550"/>
      <c r="H45" s="550"/>
      <c r="I45" s="567"/>
      <c r="J45" s="547"/>
      <c r="K45" s="550"/>
      <c r="L45" s="550"/>
    </row>
    <row r="46" spans="1:28" x14ac:dyDescent="0.2">
      <c r="A46" s="117">
        <f>A43+1</f>
        <v>27</v>
      </c>
      <c r="B46" s="44"/>
      <c r="C46" s="550" t="s">
        <v>236</v>
      </c>
      <c r="D46" s="550"/>
      <c r="E46" s="550"/>
      <c r="F46" s="550"/>
      <c r="G46" s="550"/>
      <c r="H46" s="550"/>
      <c r="I46" s="550" t="s">
        <v>1869</v>
      </c>
      <c r="J46" s="547" t="str">
        <f>"5-ROR-2, Line "&amp;'5-ROR-2'!A30&amp;""</f>
        <v>5-ROR-2, Line 27</v>
      </c>
      <c r="K46" s="550"/>
      <c r="L46" s="563">
        <f>'5-ROR-2'!C30</f>
        <v>10815018382.76923</v>
      </c>
      <c r="N46" s="117"/>
      <c r="O46" s="563"/>
      <c r="P46" s="563"/>
      <c r="Q46" s="563"/>
      <c r="R46" s="563"/>
      <c r="S46" s="563"/>
      <c r="T46" s="563"/>
      <c r="U46" s="563"/>
      <c r="V46" s="563"/>
      <c r="W46" s="563"/>
      <c r="X46" s="563"/>
      <c r="Y46" s="563"/>
      <c r="Z46" s="563"/>
      <c r="AA46" s="563"/>
      <c r="AB46" s="563"/>
    </row>
    <row r="47" spans="1:28" x14ac:dyDescent="0.2">
      <c r="A47" s="117">
        <f>A46+1</f>
        <v>28</v>
      </c>
      <c r="B47" s="44"/>
      <c r="C47" s="550" t="s">
        <v>56</v>
      </c>
      <c r="D47" s="550"/>
      <c r="E47" s="550"/>
      <c r="F47" s="550"/>
      <c r="G47" s="550"/>
      <c r="H47" s="550"/>
      <c r="I47" s="550" t="str">
        <f>"Same as L "&amp;A32&amp;", but negative"</f>
        <v>Same as L 18, but negative</v>
      </c>
      <c r="J47" s="547" t="str">
        <f>"5-ROR-2, Line "&amp;'5-ROR-2'!A24&amp;""</f>
        <v>5-ROR-2, Line 18</v>
      </c>
      <c r="K47" s="550"/>
      <c r="L47" s="563">
        <f>-'5-ROR-2'!C24</f>
        <v>-1612297950</v>
      </c>
      <c r="N47" s="117"/>
      <c r="O47" s="563"/>
      <c r="P47" s="563"/>
      <c r="Q47" s="563"/>
      <c r="R47" s="563"/>
      <c r="S47" s="563"/>
      <c r="T47" s="563"/>
      <c r="U47" s="563"/>
      <c r="V47" s="563"/>
      <c r="W47" s="563"/>
      <c r="X47" s="563"/>
      <c r="Y47" s="563"/>
      <c r="Z47" s="563"/>
      <c r="AA47" s="563"/>
      <c r="AB47" s="563"/>
    </row>
    <row r="48" spans="1:28" x14ac:dyDescent="0.2">
      <c r="A48" s="117">
        <f t="shared" ref="A48:A50" si="4">A47+1</f>
        <v>29</v>
      </c>
      <c r="B48" s="44"/>
      <c r="C48" s="550" t="s">
        <v>1685</v>
      </c>
      <c r="D48" s="550"/>
      <c r="E48" s="550"/>
      <c r="F48" s="550"/>
      <c r="G48" s="550"/>
      <c r="H48" s="550"/>
      <c r="I48" s="550" t="str">
        <f>"Same as L "&amp;A34&amp;", but reverse sign"</f>
        <v>Same as L 20, but reverse sign</v>
      </c>
      <c r="J48" s="547" t="s">
        <v>1051</v>
      </c>
      <c r="K48" s="550"/>
      <c r="L48" s="563">
        <f>-L34</f>
        <v>1560237</v>
      </c>
      <c r="N48" s="117"/>
      <c r="O48" s="563"/>
      <c r="P48" s="563"/>
      <c r="Q48" s="563"/>
      <c r="R48" s="563"/>
      <c r="S48" s="563"/>
      <c r="T48" s="563"/>
      <c r="U48" s="563"/>
      <c r="V48" s="563"/>
      <c r="W48" s="563"/>
      <c r="X48" s="563"/>
      <c r="Y48" s="563"/>
      <c r="Z48" s="563"/>
      <c r="AA48" s="563"/>
      <c r="AB48" s="563"/>
    </row>
    <row r="49" spans="1:28" x14ac:dyDescent="0.2">
      <c r="A49" s="117">
        <f t="shared" si="4"/>
        <v>30</v>
      </c>
      <c r="B49" s="44"/>
      <c r="C49" s="550" t="s">
        <v>1686</v>
      </c>
      <c r="D49" s="550"/>
      <c r="E49" s="550"/>
      <c r="F49" s="550"/>
      <c r="G49" s="550"/>
      <c r="H49" s="550"/>
      <c r="I49" s="550" t="s">
        <v>1869</v>
      </c>
      <c r="J49" s="547" t="str">
        <f>"5-ROR-2, Line "&amp;'5-ROR-2'!A32&amp;""</f>
        <v>5-ROR-2, Line 30</v>
      </c>
      <c r="K49" s="550"/>
      <c r="L49" s="563">
        <f>'5-ROR-2'!C32</f>
        <v>-4255833.769230769</v>
      </c>
      <c r="N49" s="117"/>
      <c r="O49" s="563"/>
      <c r="P49" s="563"/>
      <c r="Q49" s="563"/>
      <c r="R49" s="563"/>
      <c r="S49" s="563"/>
      <c r="T49" s="563"/>
      <c r="U49" s="563"/>
      <c r="V49" s="563"/>
      <c r="W49" s="563"/>
      <c r="X49" s="563"/>
      <c r="Y49" s="563"/>
      <c r="Z49" s="563"/>
      <c r="AA49" s="563"/>
      <c r="AB49" s="563"/>
    </row>
    <row r="50" spans="1:28" x14ac:dyDescent="0.2">
      <c r="A50" s="117">
        <f t="shared" si="4"/>
        <v>31</v>
      </c>
      <c r="B50" s="44"/>
      <c r="C50" s="550" t="s">
        <v>1687</v>
      </c>
      <c r="D50" s="550"/>
      <c r="E50" s="550"/>
      <c r="F50" s="550"/>
      <c r="G50" s="550"/>
      <c r="H50" s="550"/>
      <c r="I50" s="550" t="s">
        <v>1869</v>
      </c>
      <c r="J50" s="547" t="str">
        <f>"5-ROR-2, Line "&amp;'5-ROR-2'!A34&amp;""</f>
        <v>5-ROR-2, Line 31</v>
      </c>
      <c r="K50" s="550"/>
      <c r="L50" s="563">
        <f>'5-ROR-2'!C34</f>
        <v>23754818.53846154</v>
      </c>
      <c r="N50" s="117"/>
      <c r="O50" s="563"/>
      <c r="P50" s="563"/>
      <c r="Q50" s="563"/>
      <c r="R50" s="563"/>
      <c r="S50" s="563"/>
      <c r="T50" s="563"/>
      <c r="U50" s="563"/>
      <c r="V50" s="563"/>
      <c r="W50" s="563"/>
      <c r="X50" s="563"/>
      <c r="Y50" s="563"/>
      <c r="Z50" s="563"/>
      <c r="AA50" s="563"/>
      <c r="AB50" s="563"/>
    </row>
    <row r="51" spans="1:28" x14ac:dyDescent="0.2">
      <c r="A51" s="117">
        <f>A50+1</f>
        <v>32</v>
      </c>
      <c r="B51" s="44"/>
      <c r="C51" s="550" t="s">
        <v>55</v>
      </c>
      <c r="D51" s="550"/>
      <c r="E51" s="550"/>
      <c r="F51" s="550"/>
      <c r="G51" s="550"/>
      <c r="H51" s="550"/>
      <c r="I51" s="550"/>
      <c r="J51" s="547" t="str">
        <f>"Sum of Lines "&amp;A46&amp;" to "&amp;A50&amp;""</f>
        <v>Sum of Lines 27 to 31</v>
      </c>
      <c r="K51" s="550"/>
      <c r="L51" s="565">
        <f>SUM(L46:L50)</f>
        <v>9223779654.5384617</v>
      </c>
    </row>
    <row r="52" spans="1:28" x14ac:dyDescent="0.2">
      <c r="B52" s="52" t="s">
        <v>258</v>
      </c>
      <c r="C52" s="550"/>
      <c r="D52" s="550"/>
      <c r="E52" s="550"/>
      <c r="F52" s="550"/>
      <c r="G52" s="550"/>
      <c r="H52" s="550"/>
      <c r="I52" s="550"/>
      <c r="J52" s="550"/>
      <c r="K52" s="548"/>
      <c r="L52" s="548"/>
    </row>
    <row r="53" spans="1:28" x14ac:dyDescent="0.2">
      <c r="B53" s="550" t="s">
        <v>2619</v>
      </c>
      <c r="C53" s="14"/>
      <c r="D53" s="14"/>
      <c r="E53" s="14"/>
      <c r="F53" s="14"/>
      <c r="G53" s="14"/>
      <c r="H53" s="14"/>
      <c r="I53" s="14"/>
      <c r="J53" s="550"/>
    </row>
    <row r="54" spans="1:28" x14ac:dyDescent="0.2">
      <c r="B54" s="550" t="s">
        <v>2620</v>
      </c>
      <c r="C54" s="14"/>
      <c r="D54" s="14"/>
      <c r="E54" s="14"/>
      <c r="F54" s="14"/>
      <c r="G54" s="14"/>
      <c r="H54" s="14"/>
      <c r="I54" s="14"/>
      <c r="J54" s="550"/>
    </row>
    <row r="55" spans="1:28" x14ac:dyDescent="0.2">
      <c r="B55" s="550" t="s">
        <v>2631</v>
      </c>
      <c r="C55" s="14"/>
      <c r="D55" s="14"/>
      <c r="E55" s="14"/>
      <c r="F55" s="14"/>
      <c r="G55" s="14"/>
      <c r="H55" s="14"/>
      <c r="I55" s="14"/>
      <c r="J55" s="550"/>
    </row>
    <row r="56" spans="1:28" x14ac:dyDescent="0.2">
      <c r="B56" s="550" t="s">
        <v>2632</v>
      </c>
      <c r="C56" s="14"/>
      <c r="D56" s="14"/>
      <c r="E56" s="14"/>
      <c r="F56" s="14"/>
      <c r="G56" s="14"/>
      <c r="H56" s="14"/>
      <c r="I56" s="14"/>
      <c r="J56" s="14"/>
    </row>
    <row r="57" spans="1:28" x14ac:dyDescent="0.2">
      <c r="B57" s="568" t="str">
        <f>"5) Negative of Line "&amp;A34&amp;""&amp;", charge to common equity reversed for ratemaking."</f>
        <v>5) Negative of Line 20, charge to common equity reversed for ratemaking.</v>
      </c>
      <c r="C57" s="14"/>
      <c r="D57" s="14"/>
      <c r="E57" s="14"/>
      <c r="F57" s="14"/>
      <c r="G57" s="14"/>
      <c r="H57" s="14"/>
      <c r="I57" s="14"/>
      <c r="J57" s="14"/>
    </row>
    <row r="58" spans="1:28" x14ac:dyDescent="0.2">
      <c r="B58" s="548"/>
    </row>
    <row r="59" spans="1:28" x14ac:dyDescent="0.2">
      <c r="B59" s="552"/>
    </row>
    <row r="60" spans="1:28" x14ac:dyDescent="0.2">
      <c r="B60" s="548"/>
    </row>
    <row r="61" spans="1:28" x14ac:dyDescent="0.2">
      <c r="B61" s="552"/>
    </row>
  </sheetData>
  <phoneticPr fontId="12" type="noConversion"/>
  <pageMargins left="0.75" right="0.75" top="1" bottom="1" header="0.5" footer="0.5"/>
  <pageSetup scale="66" orientation="landscape" cellComments="asDisplayed" r:id="rId1"/>
  <headerFooter alignWithMargins="0">
    <oddHeader>&amp;CSchedule 5 ROR-1
Return and Capitalization
&amp;RTO8 Annual Update (Revised)
Attachment  1</oddHeader>
    <oddFooter>&amp;R&amp;A</oddFooter>
  </headerFooter>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view="pageLayout" topLeftCell="C1" zoomScaleNormal="100" workbookViewId="0">
      <selection activeCell="O72" sqref="O72"/>
    </sheetView>
  </sheetViews>
  <sheetFormatPr defaultRowHeight="12.75" x14ac:dyDescent="0.2"/>
  <cols>
    <col min="1" max="1" width="5.42578125" customWidth="1"/>
    <col min="2" max="2" width="5.28515625" customWidth="1"/>
    <col min="3" max="16" width="14.7109375" customWidth="1"/>
  </cols>
  <sheetData>
    <row r="1" spans="1:16" x14ac:dyDescent="0.2">
      <c r="A1" s="1" t="s">
        <v>1899</v>
      </c>
      <c r="B1" s="1"/>
    </row>
    <row r="2" spans="1:16" x14ac:dyDescent="0.2">
      <c r="A2" s="1" t="s">
        <v>214</v>
      </c>
      <c r="B2" s="1">
        <f>'5-ROR-1'!L2</f>
        <v>2012</v>
      </c>
    </row>
    <row r="3" spans="1:16" x14ac:dyDescent="0.2">
      <c r="C3" s="90" t="s">
        <v>396</v>
      </c>
      <c r="D3" s="90" t="s">
        <v>380</v>
      </c>
      <c r="E3" s="90" t="s">
        <v>381</v>
      </c>
      <c r="F3" s="90" t="s">
        <v>382</v>
      </c>
      <c r="G3" s="90" t="s">
        <v>383</v>
      </c>
      <c r="H3" s="90" t="s">
        <v>384</v>
      </c>
      <c r="I3" s="90" t="s">
        <v>385</v>
      </c>
      <c r="J3" s="90" t="s">
        <v>599</v>
      </c>
      <c r="K3" s="90" t="s">
        <v>1048</v>
      </c>
      <c r="L3" s="90" t="s">
        <v>1064</v>
      </c>
      <c r="M3" s="90" t="s">
        <v>1067</v>
      </c>
      <c r="N3" s="90" t="s">
        <v>1085</v>
      </c>
      <c r="O3" s="90" t="s">
        <v>1691</v>
      </c>
      <c r="P3" s="90" t="s">
        <v>1692</v>
      </c>
    </row>
    <row r="4" spans="1:16" x14ac:dyDescent="0.2">
      <c r="A4" s="3" t="s">
        <v>352</v>
      </c>
      <c r="B4" s="3" t="s">
        <v>1900</v>
      </c>
      <c r="C4" s="36" t="s">
        <v>11</v>
      </c>
      <c r="D4" s="569" t="s">
        <v>201</v>
      </c>
      <c r="E4" s="557" t="s">
        <v>202</v>
      </c>
      <c r="F4" s="557" t="s">
        <v>203</v>
      </c>
      <c r="G4" s="557" t="s">
        <v>216</v>
      </c>
      <c r="H4" s="557" t="s">
        <v>204</v>
      </c>
      <c r="I4" s="557" t="s">
        <v>205</v>
      </c>
      <c r="J4" s="557" t="s">
        <v>1690</v>
      </c>
      <c r="K4" s="557" t="s">
        <v>207</v>
      </c>
      <c r="L4" s="557" t="s">
        <v>208</v>
      </c>
      <c r="M4" s="557" t="s">
        <v>209</v>
      </c>
      <c r="N4" s="557" t="s">
        <v>212</v>
      </c>
      <c r="O4" s="557" t="s">
        <v>211</v>
      </c>
      <c r="P4" s="557" t="s">
        <v>201</v>
      </c>
    </row>
    <row r="5" spans="1:16" x14ac:dyDescent="0.2">
      <c r="A5" s="3"/>
      <c r="B5" s="3"/>
      <c r="C5" s="557" t="s">
        <v>2959</v>
      </c>
      <c r="D5" s="569"/>
      <c r="E5" s="557"/>
      <c r="F5" s="557"/>
      <c r="G5" s="557"/>
      <c r="H5" s="557"/>
      <c r="I5" s="557"/>
      <c r="J5" s="557"/>
      <c r="K5" s="557"/>
      <c r="L5" s="557"/>
      <c r="M5" s="557"/>
      <c r="N5" s="557"/>
      <c r="O5" s="557"/>
      <c r="P5" s="557"/>
    </row>
    <row r="6" spans="1:16" x14ac:dyDescent="0.2">
      <c r="A6" s="54"/>
      <c r="B6" s="54"/>
      <c r="C6" s="36"/>
      <c r="D6" s="569"/>
      <c r="E6" s="557"/>
      <c r="F6" s="557"/>
      <c r="G6" s="557"/>
      <c r="H6" s="557"/>
      <c r="I6" s="557"/>
      <c r="J6" s="557"/>
      <c r="K6" s="557"/>
      <c r="L6" s="557"/>
      <c r="M6" s="557"/>
      <c r="N6" s="557"/>
      <c r="O6" s="557"/>
      <c r="P6" s="557"/>
    </row>
    <row r="7" spans="1:16" x14ac:dyDescent="0.2">
      <c r="B7" s="44" t="s">
        <v>1901</v>
      </c>
      <c r="D7" s="569"/>
      <c r="E7" s="557"/>
      <c r="F7" s="557"/>
      <c r="G7" s="557"/>
      <c r="H7" s="557"/>
      <c r="I7" s="557"/>
      <c r="J7" s="557"/>
      <c r="K7" s="557"/>
      <c r="L7" s="557"/>
      <c r="M7" s="557"/>
      <c r="N7" s="557"/>
      <c r="O7" s="557"/>
      <c r="P7" s="557"/>
    </row>
    <row r="8" spans="1:16" x14ac:dyDescent="0.2">
      <c r="A8" s="117">
        <v>1</v>
      </c>
      <c r="B8" s="117"/>
      <c r="C8" s="563">
        <f>SUM(D8:P8)/13</f>
        <v>8622092307.6923084</v>
      </c>
      <c r="D8" s="564">
        <v>8314400000</v>
      </c>
      <c r="E8" s="564">
        <v>8314400000</v>
      </c>
      <c r="F8" s="564">
        <v>8314400000</v>
      </c>
      <c r="G8" s="564">
        <v>8714400000</v>
      </c>
      <c r="H8" s="564">
        <v>8714400000</v>
      </c>
      <c r="I8" s="564">
        <v>8714400000</v>
      </c>
      <c r="J8" s="564">
        <v>8714400000</v>
      </c>
      <c r="K8" s="564">
        <v>8714400000</v>
      </c>
      <c r="L8" s="564">
        <v>8714400000</v>
      </c>
      <c r="M8" s="564">
        <v>8714400000</v>
      </c>
      <c r="N8" s="564">
        <v>8714400000</v>
      </c>
      <c r="O8" s="564">
        <v>8714400000</v>
      </c>
      <c r="P8" s="564">
        <v>8714400000</v>
      </c>
    </row>
    <row r="9" spans="1:16" x14ac:dyDescent="0.2">
      <c r="A9" s="117"/>
      <c r="B9" s="44" t="s">
        <v>2955</v>
      </c>
      <c r="C9" s="7"/>
      <c r="D9" s="563"/>
      <c r="E9" s="563"/>
      <c r="F9" s="563"/>
      <c r="G9" s="563"/>
      <c r="H9" s="563"/>
      <c r="I9" s="563"/>
      <c r="J9" s="563"/>
      <c r="K9" s="563"/>
      <c r="L9" s="563"/>
      <c r="M9" s="563"/>
      <c r="N9" s="563"/>
      <c r="O9" s="563"/>
      <c r="P9" s="563"/>
    </row>
    <row r="10" spans="1:16" x14ac:dyDescent="0.2">
      <c r="A10" s="117">
        <f>A8+1</f>
        <v>2</v>
      </c>
      <c r="B10" s="117"/>
      <c r="C10" s="563">
        <f t="shared" ref="C10:C14" si="0">SUM(D10:P10)/13</f>
        <v>-160540000</v>
      </c>
      <c r="D10" s="564">
        <v>-160540000</v>
      </c>
      <c r="E10" s="564">
        <v>-160540000</v>
      </c>
      <c r="F10" s="564">
        <v>-160540000</v>
      </c>
      <c r="G10" s="564">
        <v>-160540000</v>
      </c>
      <c r="H10" s="564">
        <v>-160540000</v>
      </c>
      <c r="I10" s="564">
        <v>-160540000</v>
      </c>
      <c r="J10" s="564">
        <v>-160540000</v>
      </c>
      <c r="K10" s="564">
        <v>-160540000</v>
      </c>
      <c r="L10" s="564">
        <v>-160540000</v>
      </c>
      <c r="M10" s="564">
        <v>-160540000</v>
      </c>
      <c r="N10" s="564">
        <v>-160540000</v>
      </c>
      <c r="O10" s="564">
        <v>-160540000</v>
      </c>
      <c r="P10" s="564">
        <v>-160540000</v>
      </c>
    </row>
    <row r="11" spans="1:16" x14ac:dyDescent="0.2">
      <c r="A11" s="117"/>
      <c r="B11" s="44" t="s">
        <v>2248</v>
      </c>
      <c r="C11" s="14"/>
      <c r="D11" s="563"/>
      <c r="E11" s="563"/>
      <c r="F11" s="563"/>
      <c r="G11" s="563"/>
      <c r="H11" s="563"/>
      <c r="I11" s="563"/>
      <c r="J11" s="563"/>
      <c r="K11" s="563"/>
      <c r="L11" s="563"/>
      <c r="M11" s="563"/>
      <c r="N11" s="563"/>
      <c r="O11" s="563"/>
      <c r="P11" s="563"/>
    </row>
    <row r="12" spans="1:16" x14ac:dyDescent="0.2">
      <c r="A12" s="117" t="s">
        <v>571</v>
      </c>
      <c r="B12" s="44"/>
      <c r="C12" s="563">
        <f>SUM(D12:P12)/13</f>
        <v>0</v>
      </c>
      <c r="D12" s="587">
        <v>0</v>
      </c>
      <c r="E12" s="587">
        <v>0</v>
      </c>
      <c r="F12" s="587">
        <v>0</v>
      </c>
      <c r="G12" s="587">
        <v>0</v>
      </c>
      <c r="H12" s="587">
        <v>0</v>
      </c>
      <c r="I12" s="587">
        <v>0</v>
      </c>
      <c r="J12" s="587">
        <v>0</v>
      </c>
      <c r="K12" s="587">
        <v>0</v>
      </c>
      <c r="L12" s="587">
        <v>0</v>
      </c>
      <c r="M12" s="587">
        <v>0</v>
      </c>
      <c r="N12" s="587">
        <v>0</v>
      </c>
      <c r="O12" s="587">
        <v>0</v>
      </c>
      <c r="P12" s="587">
        <v>0</v>
      </c>
    </row>
    <row r="13" spans="1:16" x14ac:dyDescent="0.2">
      <c r="A13" s="117"/>
      <c r="B13" s="44" t="s">
        <v>1902</v>
      </c>
      <c r="D13" s="563"/>
      <c r="E13" s="563"/>
      <c r="F13" s="563"/>
      <c r="G13" s="563"/>
      <c r="H13" s="563"/>
      <c r="I13" s="563"/>
      <c r="J13" s="563"/>
      <c r="K13" s="563"/>
      <c r="L13" s="563"/>
      <c r="M13" s="563"/>
      <c r="N13" s="563"/>
      <c r="O13" s="563"/>
      <c r="P13" s="563"/>
    </row>
    <row r="14" spans="1:16" x14ac:dyDescent="0.2">
      <c r="A14" s="117">
        <f>A10+1</f>
        <v>3</v>
      </c>
      <c r="B14" s="117"/>
      <c r="C14" s="563">
        <f t="shared" si="0"/>
        <v>306872047.30769229</v>
      </c>
      <c r="D14" s="564">
        <v>306896667</v>
      </c>
      <c r="E14" s="564">
        <v>306892627</v>
      </c>
      <c r="F14" s="564">
        <v>306888569</v>
      </c>
      <c r="G14" s="564">
        <v>306884495</v>
      </c>
      <c r="H14" s="564">
        <v>306880404</v>
      </c>
      <c r="I14" s="564">
        <v>306876295</v>
      </c>
      <c r="J14" s="564">
        <v>306872169</v>
      </c>
      <c r="K14" s="564">
        <v>306868026</v>
      </c>
      <c r="L14" s="564">
        <v>306863865</v>
      </c>
      <c r="M14" s="564">
        <v>306859686</v>
      </c>
      <c r="N14" s="564">
        <v>306855490</v>
      </c>
      <c r="O14" s="564">
        <v>306851277</v>
      </c>
      <c r="P14" s="564">
        <v>306847045</v>
      </c>
    </row>
    <row r="15" spans="1:16" x14ac:dyDescent="0.2">
      <c r="A15" s="117"/>
      <c r="B15" s="44"/>
      <c r="C15" s="14"/>
      <c r="D15" s="563"/>
      <c r="E15" s="563"/>
      <c r="F15" s="563"/>
      <c r="G15" s="563"/>
      <c r="H15" s="563"/>
      <c r="I15" s="563"/>
      <c r="J15" s="563"/>
      <c r="K15" s="563"/>
      <c r="L15" s="563"/>
      <c r="M15" s="563"/>
      <c r="N15" s="563"/>
      <c r="O15" s="563"/>
      <c r="P15" s="563"/>
    </row>
    <row r="16" spans="1:16" x14ac:dyDescent="0.2">
      <c r="A16" s="117">
        <f>A14+1</f>
        <v>4</v>
      </c>
      <c r="B16" s="437" t="s">
        <v>2560</v>
      </c>
      <c r="C16" s="563"/>
      <c r="D16" s="563"/>
      <c r="E16" s="563"/>
      <c r="F16" s="563"/>
      <c r="G16" s="563"/>
      <c r="H16" s="563"/>
      <c r="I16" s="563"/>
      <c r="J16" s="563"/>
      <c r="K16" s="563"/>
      <c r="L16" s="563"/>
      <c r="M16" s="563"/>
      <c r="N16" s="563"/>
      <c r="O16" s="563"/>
      <c r="P16" s="563"/>
    </row>
    <row r="17" spans="1:16" x14ac:dyDescent="0.2">
      <c r="A17" s="117"/>
      <c r="B17" s="44"/>
      <c r="C17" s="14"/>
      <c r="D17" s="563"/>
      <c r="E17" s="563"/>
      <c r="F17" s="563"/>
      <c r="G17" s="563"/>
      <c r="H17" s="563"/>
      <c r="I17" s="563"/>
      <c r="J17" s="563"/>
      <c r="K17" s="563"/>
      <c r="L17" s="563"/>
      <c r="M17" s="563"/>
      <c r="N17" s="563"/>
      <c r="O17" s="563"/>
      <c r="P17" s="563"/>
    </row>
    <row r="18" spans="1:16" x14ac:dyDescent="0.2">
      <c r="A18" s="117">
        <f>A16+1</f>
        <v>5</v>
      </c>
      <c r="B18" s="437" t="s">
        <v>2560</v>
      </c>
      <c r="C18" s="563"/>
      <c r="D18" s="563"/>
      <c r="E18" s="563"/>
      <c r="F18" s="563"/>
      <c r="G18" s="563"/>
      <c r="H18" s="563"/>
      <c r="I18" s="563"/>
      <c r="J18" s="563"/>
      <c r="K18" s="563"/>
      <c r="L18" s="563"/>
      <c r="M18" s="563"/>
      <c r="N18" s="563"/>
      <c r="O18" s="563"/>
      <c r="P18" s="563"/>
    </row>
    <row r="19" spans="1:16" x14ac:dyDescent="0.2">
      <c r="A19" s="14"/>
      <c r="B19" s="44"/>
      <c r="C19" s="14"/>
      <c r="D19" s="14"/>
      <c r="E19" s="14"/>
      <c r="F19" s="14"/>
      <c r="G19" s="14"/>
      <c r="H19" s="14"/>
      <c r="I19" s="14"/>
      <c r="J19" s="14"/>
      <c r="K19" s="14"/>
      <c r="L19" s="14"/>
      <c r="M19" s="14"/>
      <c r="N19" s="14"/>
      <c r="O19" s="14"/>
      <c r="P19" s="14"/>
    </row>
    <row r="20" spans="1:16" x14ac:dyDescent="0.2">
      <c r="A20" s="117">
        <v>6</v>
      </c>
      <c r="B20" s="437" t="s">
        <v>2560</v>
      </c>
      <c r="C20" s="563"/>
      <c r="D20" s="563"/>
      <c r="E20" s="563"/>
      <c r="F20" s="563"/>
      <c r="G20" s="563"/>
      <c r="H20" s="563"/>
      <c r="I20" s="563"/>
      <c r="J20" s="563"/>
      <c r="K20" s="563"/>
      <c r="L20" s="563"/>
      <c r="M20" s="563"/>
      <c r="N20" s="563"/>
      <c r="O20" s="563"/>
      <c r="P20" s="563"/>
    </row>
    <row r="21" spans="1:16" x14ac:dyDescent="0.2">
      <c r="A21" s="117"/>
      <c r="B21" s="44"/>
      <c r="C21" s="14"/>
      <c r="D21" s="563"/>
      <c r="E21" s="563"/>
      <c r="F21" s="563"/>
      <c r="G21" s="563"/>
      <c r="H21" s="563"/>
      <c r="I21" s="563"/>
      <c r="J21" s="563"/>
      <c r="K21" s="563"/>
      <c r="L21" s="563"/>
      <c r="M21" s="563"/>
      <c r="N21" s="563"/>
      <c r="O21" s="563"/>
      <c r="P21" s="563"/>
    </row>
    <row r="22" spans="1:16" x14ac:dyDescent="0.2">
      <c r="A22" s="117">
        <f>A20+1</f>
        <v>7</v>
      </c>
      <c r="B22" s="437" t="s">
        <v>2560</v>
      </c>
      <c r="C22" s="563"/>
      <c r="D22" s="563"/>
      <c r="E22" s="563"/>
      <c r="F22" s="563"/>
      <c r="G22" s="563"/>
      <c r="H22" s="563"/>
      <c r="I22" s="563"/>
      <c r="J22" s="563"/>
      <c r="K22" s="563"/>
      <c r="L22" s="563"/>
      <c r="M22" s="563"/>
      <c r="N22" s="563"/>
      <c r="O22" s="563"/>
      <c r="P22" s="563"/>
    </row>
    <row r="23" spans="1:16" x14ac:dyDescent="0.2">
      <c r="A23" s="14"/>
      <c r="B23" s="44" t="s">
        <v>2535</v>
      </c>
    </row>
    <row r="24" spans="1:16" x14ac:dyDescent="0.2">
      <c r="A24" s="117">
        <v>18</v>
      </c>
      <c r="B24" s="117"/>
      <c r="C24" s="563">
        <f t="shared" ref="C24:C28" si="1">SUM(D24:P24)/13</f>
        <v>1612297950</v>
      </c>
      <c r="D24" s="564">
        <v>1045004950</v>
      </c>
      <c r="E24" s="564">
        <v>1295004950</v>
      </c>
      <c r="F24" s="564">
        <v>1394743950</v>
      </c>
      <c r="G24" s="564">
        <v>1395004950</v>
      </c>
      <c r="H24" s="564">
        <v>1395004950</v>
      </c>
      <c r="I24" s="564">
        <v>1870004950</v>
      </c>
      <c r="J24" s="564">
        <v>1795014950</v>
      </c>
      <c r="K24" s="564">
        <v>1795014950</v>
      </c>
      <c r="L24" s="564">
        <v>1795014950</v>
      </c>
      <c r="M24" s="564">
        <v>1795014950</v>
      </c>
      <c r="N24" s="564">
        <v>1795014950</v>
      </c>
      <c r="O24" s="564">
        <v>1795014950</v>
      </c>
      <c r="P24" s="564">
        <v>1795014950</v>
      </c>
    </row>
    <row r="25" spans="1:16" x14ac:dyDescent="0.2">
      <c r="A25" s="117"/>
      <c r="B25" s="44" t="s">
        <v>2958</v>
      </c>
      <c r="D25" s="563"/>
      <c r="E25" s="563"/>
      <c r="F25" s="563"/>
      <c r="G25" s="563"/>
      <c r="H25" s="563"/>
      <c r="I25" s="563"/>
      <c r="J25" s="563"/>
      <c r="K25" s="563"/>
      <c r="L25" s="563"/>
      <c r="M25" s="563"/>
      <c r="N25" s="563"/>
      <c r="O25" s="563"/>
      <c r="P25" s="563"/>
    </row>
    <row r="26" spans="1:16" x14ac:dyDescent="0.2">
      <c r="A26" s="117">
        <f>A24+1</f>
        <v>19</v>
      </c>
      <c r="B26" s="117"/>
      <c r="C26" s="563">
        <f t="shared" si="1"/>
        <v>-22628839.46153846</v>
      </c>
      <c r="D26" s="564">
        <v>-8393830</v>
      </c>
      <c r="E26" s="564">
        <v>-12651255</v>
      </c>
      <c r="F26" s="564">
        <v>-14338823</v>
      </c>
      <c r="G26" s="564">
        <v>-14260818</v>
      </c>
      <c r="H26" s="564">
        <v>-14182812</v>
      </c>
      <c r="I26" s="564">
        <v>-29213331</v>
      </c>
      <c r="J26" s="564">
        <v>-29093357</v>
      </c>
      <c r="K26" s="564">
        <v>-28973383</v>
      </c>
      <c r="L26" s="564">
        <v>-28853409</v>
      </c>
      <c r="M26" s="564">
        <v>-28733435</v>
      </c>
      <c r="N26" s="564">
        <v>-28613461</v>
      </c>
      <c r="O26" s="564">
        <v>-28493487</v>
      </c>
      <c r="P26" s="564">
        <v>-28373512</v>
      </c>
    </row>
    <row r="27" spans="1:16" x14ac:dyDescent="0.2">
      <c r="A27" s="117"/>
      <c r="B27" s="44" t="s">
        <v>2539</v>
      </c>
      <c r="D27" s="563"/>
      <c r="E27" s="563"/>
      <c r="F27" s="563"/>
      <c r="G27" s="563"/>
      <c r="H27" s="563"/>
      <c r="I27" s="563"/>
      <c r="J27" s="563"/>
      <c r="K27" s="563"/>
      <c r="L27" s="563"/>
      <c r="M27" s="563"/>
      <c r="N27" s="563"/>
      <c r="O27" s="563"/>
      <c r="P27" s="563"/>
    </row>
    <row r="28" spans="1:16" x14ac:dyDescent="0.2">
      <c r="A28" s="117">
        <f>A26+1</f>
        <v>20</v>
      </c>
      <c r="B28" s="117"/>
      <c r="C28" s="563">
        <f t="shared" si="1"/>
        <v>-1560237</v>
      </c>
      <c r="D28" s="564">
        <v>-1662971</v>
      </c>
      <c r="E28" s="564">
        <v>-1645849</v>
      </c>
      <c r="F28" s="564">
        <v>-1628726</v>
      </c>
      <c r="G28" s="564">
        <v>-1611604</v>
      </c>
      <c r="H28" s="564">
        <v>-1594482</v>
      </c>
      <c r="I28" s="564">
        <v>-1577359</v>
      </c>
      <c r="J28" s="564">
        <v>-1560237</v>
      </c>
      <c r="K28" s="564">
        <v>-1543115</v>
      </c>
      <c r="L28" s="564">
        <v>-1525992</v>
      </c>
      <c r="M28" s="564">
        <v>-1508870</v>
      </c>
      <c r="N28" s="564">
        <v>-1491748</v>
      </c>
      <c r="O28" s="564">
        <v>-1474625</v>
      </c>
      <c r="P28" s="564">
        <v>-1457503</v>
      </c>
    </row>
    <row r="29" spans="1:16" x14ac:dyDescent="0.2">
      <c r="A29" s="14"/>
      <c r="B29" s="44" t="s">
        <v>2540</v>
      </c>
    </row>
    <row r="30" spans="1:16" x14ac:dyDescent="0.2">
      <c r="A30" s="117">
        <v>27</v>
      </c>
      <c r="B30" s="117"/>
      <c r="C30" s="563">
        <f t="shared" ref="C30" si="2">SUM(D30:P30)/13</f>
        <v>10815018382.76923</v>
      </c>
      <c r="D30" s="564">
        <v>9957301162</v>
      </c>
      <c r="E30" s="564">
        <v>10293124010</v>
      </c>
      <c r="F30" s="564">
        <v>10314594543</v>
      </c>
      <c r="G30" s="564">
        <v>10363273857</v>
      </c>
      <c r="H30" s="564">
        <v>10286673394</v>
      </c>
      <c r="I30" s="564">
        <v>10800135161</v>
      </c>
      <c r="J30" s="564">
        <v>10816364240</v>
      </c>
      <c r="K30" s="564">
        <v>10915124963</v>
      </c>
      <c r="L30" s="564">
        <v>11045170465</v>
      </c>
      <c r="M30" s="564">
        <v>11064397724</v>
      </c>
      <c r="N30" s="564">
        <v>11175292096</v>
      </c>
      <c r="O30" s="564">
        <v>11821518178</v>
      </c>
      <c r="P30" s="564">
        <v>11742269183</v>
      </c>
    </row>
    <row r="31" spans="1:16" x14ac:dyDescent="0.2">
      <c r="A31" s="117"/>
      <c r="B31" s="44" t="s">
        <v>2956</v>
      </c>
      <c r="D31" s="563"/>
      <c r="E31" s="563"/>
      <c r="F31" s="563"/>
      <c r="G31" s="563"/>
      <c r="H31" s="563"/>
      <c r="I31" s="563"/>
      <c r="J31" s="563"/>
      <c r="K31" s="563"/>
      <c r="L31" s="563"/>
      <c r="M31" s="563"/>
      <c r="N31" s="563"/>
      <c r="O31" s="563"/>
      <c r="P31" s="563"/>
    </row>
    <row r="32" spans="1:16" x14ac:dyDescent="0.2">
      <c r="A32" s="117">
        <v>30</v>
      </c>
      <c r="B32" s="117"/>
      <c r="C32" s="563">
        <f t="shared" ref="C32:C34" si="3">SUM(D32:P32)/13</f>
        <v>-4255833.769230769</v>
      </c>
      <c r="D32" s="564">
        <v>-4021177</v>
      </c>
      <c r="E32" s="564">
        <v>-4025412</v>
      </c>
      <c r="F32" s="564">
        <v>-4076138</v>
      </c>
      <c r="G32" s="564">
        <v>-4210542</v>
      </c>
      <c r="H32" s="564">
        <v>-4276542</v>
      </c>
      <c r="I32" s="564">
        <v>-4314303</v>
      </c>
      <c r="J32" s="564">
        <v>-4337114</v>
      </c>
      <c r="K32" s="564">
        <v>-4370705</v>
      </c>
      <c r="L32" s="564">
        <v>-4327605</v>
      </c>
      <c r="M32" s="564">
        <v>-4276542</v>
      </c>
      <c r="N32" s="564">
        <v>-4267344</v>
      </c>
      <c r="O32" s="564">
        <v>-4400055</v>
      </c>
      <c r="P32" s="564">
        <v>-4422360</v>
      </c>
    </row>
    <row r="33" spans="1:16" x14ac:dyDescent="0.2">
      <c r="A33" s="117"/>
      <c r="B33" s="44" t="s">
        <v>2957</v>
      </c>
      <c r="D33" s="563"/>
      <c r="E33" s="563"/>
      <c r="F33" s="563"/>
      <c r="G33" s="563"/>
      <c r="H33" s="563"/>
      <c r="I33" s="563"/>
      <c r="J33" s="563"/>
      <c r="K33" s="563"/>
      <c r="L33" s="563"/>
      <c r="M33" s="563"/>
      <c r="N33" s="563"/>
      <c r="O33" s="563"/>
      <c r="P33" s="563"/>
    </row>
    <row r="34" spans="1:16" x14ac:dyDescent="0.2">
      <c r="A34" s="117">
        <f>A32+1</f>
        <v>31</v>
      </c>
      <c r="B34" s="117"/>
      <c r="C34" s="563">
        <f t="shared" si="3"/>
        <v>23754818.53846154</v>
      </c>
      <c r="D34" s="564">
        <v>24475843</v>
      </c>
      <c r="E34" s="564">
        <v>24127255</v>
      </c>
      <c r="F34" s="564">
        <v>23778667</v>
      </c>
      <c r="G34" s="564">
        <v>21174808</v>
      </c>
      <c r="H34" s="564">
        <v>24448370</v>
      </c>
      <c r="I34" s="564">
        <v>24103434</v>
      </c>
      <c r="J34" s="564">
        <v>23758498</v>
      </c>
      <c r="K34" s="564">
        <v>23413562</v>
      </c>
      <c r="L34" s="564">
        <v>23068627</v>
      </c>
      <c r="M34" s="564">
        <v>22723691</v>
      </c>
      <c r="N34" s="564">
        <v>22378755</v>
      </c>
      <c r="O34" s="564">
        <v>22033819</v>
      </c>
      <c r="P34" s="564">
        <v>29327312</v>
      </c>
    </row>
    <row r="35" spans="1:16" x14ac:dyDescent="0.2">
      <c r="A35" s="117"/>
      <c r="B35" s="117"/>
      <c r="C35" s="563"/>
      <c r="D35" s="563"/>
      <c r="E35" s="563"/>
      <c r="F35" s="563"/>
      <c r="G35" s="563"/>
      <c r="H35" s="563"/>
      <c r="I35" s="563"/>
      <c r="J35" s="563"/>
      <c r="K35" s="563"/>
      <c r="L35" s="563"/>
      <c r="M35" s="563"/>
      <c r="N35" s="563"/>
      <c r="O35" s="563"/>
      <c r="P35" s="563"/>
    </row>
    <row r="36" spans="1:16" x14ac:dyDescent="0.2">
      <c r="A36" s="117"/>
      <c r="B36" s="52" t="s">
        <v>422</v>
      </c>
      <c r="C36" s="563"/>
      <c r="D36" s="563"/>
      <c r="E36" s="563"/>
      <c r="F36" s="563"/>
      <c r="G36" s="563"/>
      <c r="H36" s="563"/>
      <c r="I36" s="563"/>
      <c r="J36" s="563"/>
      <c r="K36" s="563"/>
      <c r="L36" s="563"/>
      <c r="M36" s="563"/>
      <c r="N36" s="563"/>
      <c r="O36" s="563"/>
      <c r="P36" s="563"/>
    </row>
    <row r="37" spans="1:16" x14ac:dyDescent="0.2">
      <c r="A37" s="117"/>
      <c r="B37" s="548" t="s">
        <v>1903</v>
      </c>
      <c r="C37" s="563"/>
      <c r="D37" s="563"/>
      <c r="E37" s="563"/>
      <c r="F37" s="563"/>
      <c r="G37" s="563"/>
      <c r="H37" s="563"/>
      <c r="I37" s="563"/>
      <c r="J37" s="563"/>
      <c r="K37" s="563"/>
      <c r="L37" s="563"/>
      <c r="M37" s="563"/>
      <c r="N37" s="563"/>
      <c r="O37" s="563"/>
      <c r="P37" s="563"/>
    </row>
    <row r="38" spans="1:16" x14ac:dyDescent="0.2">
      <c r="A38" s="117"/>
      <c r="B38" s="552" t="s">
        <v>1920</v>
      </c>
      <c r="C38" s="563"/>
      <c r="D38" s="563"/>
      <c r="E38" s="563"/>
      <c r="F38" s="563"/>
      <c r="G38" s="563"/>
      <c r="H38" s="563"/>
      <c r="I38" s="563"/>
      <c r="J38" s="563"/>
      <c r="K38" s="563"/>
      <c r="L38" s="563"/>
      <c r="M38" s="563"/>
      <c r="N38" s="563"/>
      <c r="O38" s="563"/>
      <c r="P38" s="563"/>
    </row>
    <row r="39" spans="1:16" x14ac:dyDescent="0.2">
      <c r="A39" s="117"/>
      <c r="B39" s="550" t="s">
        <v>2623</v>
      </c>
      <c r="C39" s="437" t="s">
        <v>2560</v>
      </c>
      <c r="D39" s="563"/>
      <c r="E39" s="563"/>
      <c r="F39" s="563"/>
      <c r="G39" s="563"/>
      <c r="H39" s="563"/>
      <c r="I39" s="563"/>
      <c r="J39" s="563"/>
      <c r="K39" s="563"/>
      <c r="L39" s="563"/>
      <c r="M39" s="563"/>
      <c r="N39" s="563"/>
      <c r="O39" s="563"/>
      <c r="P39" s="563"/>
    </row>
    <row r="40" spans="1:16" x14ac:dyDescent="0.2">
      <c r="A40" s="14"/>
      <c r="B40" s="1139" t="s">
        <v>2624</v>
      </c>
      <c r="C40" s="14"/>
      <c r="D40" s="14"/>
      <c r="E40" s="14"/>
      <c r="F40" s="14"/>
      <c r="G40" s="14"/>
      <c r="H40" s="14"/>
      <c r="I40" s="14"/>
      <c r="J40" s="14"/>
      <c r="K40" s="14"/>
      <c r="L40" s="14"/>
    </row>
    <row r="41" spans="1:16" x14ac:dyDescent="0.2">
      <c r="A41" s="14"/>
      <c r="B41" s="547"/>
      <c r="C41" s="14"/>
      <c r="D41" s="14"/>
      <c r="E41" s="14"/>
      <c r="F41" s="14"/>
      <c r="G41" s="14"/>
      <c r="H41" s="14"/>
      <c r="I41" s="14"/>
      <c r="J41" s="14"/>
      <c r="K41" s="14"/>
      <c r="L41" s="14"/>
    </row>
    <row r="42" spans="1:16" x14ac:dyDescent="0.2">
      <c r="A42" s="14"/>
      <c r="B42" s="44" t="s">
        <v>258</v>
      </c>
      <c r="C42" s="14"/>
      <c r="D42" s="14"/>
      <c r="E42" s="14"/>
      <c r="F42" s="14"/>
      <c r="G42" s="14"/>
      <c r="H42" s="14"/>
      <c r="I42" s="14"/>
      <c r="J42" s="14"/>
      <c r="K42" s="14"/>
      <c r="L42" s="14"/>
    </row>
    <row r="43" spans="1:16" x14ac:dyDescent="0.2">
      <c r="A43" s="14"/>
      <c r="B43" s="550" t="s">
        <v>2080</v>
      </c>
      <c r="C43" s="14"/>
      <c r="D43" s="14"/>
      <c r="E43" s="14"/>
      <c r="F43" s="14"/>
      <c r="G43" s="14"/>
      <c r="H43" s="14"/>
      <c r="I43" s="14"/>
      <c r="J43" s="14"/>
      <c r="K43" s="14"/>
      <c r="L43" s="14"/>
    </row>
    <row r="44" spans="1:16" x14ac:dyDescent="0.2">
      <c r="A44" s="14"/>
      <c r="B44" s="550" t="s">
        <v>2081</v>
      </c>
      <c r="C44" s="14"/>
      <c r="D44" s="14"/>
      <c r="E44" s="14"/>
      <c r="F44" s="14"/>
      <c r="G44" s="14"/>
      <c r="H44" s="14"/>
      <c r="I44" s="14"/>
      <c r="J44" s="14"/>
      <c r="K44" s="14"/>
      <c r="L44" s="14"/>
    </row>
    <row r="45" spans="1:16" x14ac:dyDescent="0.2">
      <c r="A45" s="14"/>
      <c r="B45" s="550" t="s">
        <v>2252</v>
      </c>
      <c r="C45" s="14"/>
      <c r="D45" s="14"/>
      <c r="E45" s="14"/>
      <c r="F45" s="14"/>
      <c r="G45" s="14"/>
      <c r="H45" s="14"/>
      <c r="I45" s="14"/>
      <c r="J45" s="14"/>
      <c r="K45" s="14"/>
      <c r="L45" s="14"/>
    </row>
    <row r="46" spans="1:16" x14ac:dyDescent="0.2">
      <c r="A46" s="14"/>
      <c r="B46" s="550" t="s">
        <v>2082</v>
      </c>
      <c r="C46" s="14"/>
      <c r="D46" s="14"/>
      <c r="E46" s="14"/>
      <c r="F46" s="14"/>
      <c r="G46" s="14"/>
      <c r="H46" s="14"/>
      <c r="I46" s="14"/>
      <c r="J46" s="14"/>
      <c r="K46" s="14"/>
      <c r="L46" s="14"/>
    </row>
    <row r="47" spans="1:16" x14ac:dyDescent="0.2">
      <c r="A47" s="14"/>
      <c r="B47" s="550" t="s">
        <v>2561</v>
      </c>
      <c r="C47" s="437" t="s">
        <v>2560</v>
      </c>
      <c r="D47" s="14"/>
      <c r="E47" s="14"/>
      <c r="F47" s="14"/>
      <c r="G47" s="14"/>
      <c r="H47" s="14"/>
      <c r="I47" s="14"/>
      <c r="J47" s="14"/>
      <c r="K47" s="14"/>
      <c r="L47" s="14"/>
    </row>
    <row r="48" spans="1:16" x14ac:dyDescent="0.2">
      <c r="A48" s="14"/>
      <c r="B48" s="550" t="s">
        <v>2558</v>
      </c>
      <c r="C48" s="437" t="s">
        <v>2560</v>
      </c>
      <c r="D48" s="14"/>
      <c r="E48" s="14"/>
      <c r="F48" s="14"/>
      <c r="G48" s="14"/>
      <c r="H48" s="14"/>
      <c r="I48" s="14"/>
      <c r="J48" s="14"/>
      <c r="K48" s="14"/>
      <c r="L48" s="14"/>
    </row>
    <row r="49" spans="1:13" x14ac:dyDescent="0.2">
      <c r="A49" s="14"/>
      <c r="B49" s="550" t="s">
        <v>2621</v>
      </c>
      <c r="C49" s="437" t="s">
        <v>2560</v>
      </c>
      <c r="D49" s="14"/>
      <c r="E49" s="14"/>
      <c r="F49" s="14"/>
      <c r="G49" s="14"/>
      <c r="H49" s="14"/>
      <c r="I49" s="14"/>
      <c r="J49" s="14"/>
      <c r="K49" s="14"/>
      <c r="L49" s="14"/>
    </row>
    <row r="50" spans="1:13" x14ac:dyDescent="0.2">
      <c r="A50" s="14"/>
      <c r="B50" s="550" t="s">
        <v>2622</v>
      </c>
      <c r="C50" s="437" t="s">
        <v>2560</v>
      </c>
      <c r="D50" s="14"/>
      <c r="E50" s="14"/>
      <c r="F50" s="14"/>
      <c r="G50" s="14"/>
      <c r="H50" s="14"/>
      <c r="I50" s="14"/>
      <c r="J50" s="14"/>
      <c r="K50" s="14"/>
      <c r="L50" s="14"/>
    </row>
    <row r="51" spans="1:13" x14ac:dyDescent="0.2">
      <c r="A51" s="14"/>
      <c r="B51" s="550" t="s">
        <v>2536</v>
      </c>
      <c r="C51" s="14"/>
      <c r="D51" s="14"/>
      <c r="E51" s="14"/>
      <c r="F51" s="14"/>
      <c r="G51" s="14"/>
      <c r="H51" s="14"/>
      <c r="I51" s="14"/>
      <c r="J51" s="14"/>
      <c r="K51" s="14"/>
      <c r="L51" s="14"/>
    </row>
    <row r="52" spans="1:13" x14ac:dyDescent="0.2">
      <c r="A52" s="14"/>
      <c r="B52" s="550" t="s">
        <v>2537</v>
      </c>
      <c r="C52" s="14"/>
      <c r="D52" s="14"/>
      <c r="E52" s="14"/>
      <c r="F52" s="14"/>
      <c r="G52" s="14"/>
      <c r="H52" s="14"/>
      <c r="I52" s="14"/>
      <c r="J52" s="14"/>
      <c r="K52" s="14"/>
      <c r="L52" s="14"/>
    </row>
    <row r="53" spans="1:13" x14ac:dyDescent="0.2">
      <c r="A53" s="14"/>
      <c r="B53" s="547" t="s">
        <v>2134</v>
      </c>
      <c r="C53" s="14"/>
      <c r="D53" s="14"/>
      <c r="E53" s="14"/>
      <c r="F53" s="14"/>
      <c r="G53" s="14"/>
      <c r="H53" s="14"/>
      <c r="I53" s="14"/>
      <c r="J53" s="14"/>
      <c r="K53" s="14"/>
      <c r="L53" s="14"/>
    </row>
    <row r="54" spans="1:13" x14ac:dyDescent="0.2">
      <c r="A54" s="14"/>
      <c r="B54" s="14"/>
      <c r="C54" s="14"/>
      <c r="D54" s="14"/>
      <c r="E54" s="14"/>
      <c r="F54" s="14"/>
      <c r="G54" s="14"/>
      <c r="H54" s="117" t="s">
        <v>1169</v>
      </c>
      <c r="I54" s="14"/>
      <c r="J54" s="14"/>
      <c r="K54" s="14"/>
      <c r="L54" s="14"/>
    </row>
    <row r="55" spans="1:13" x14ac:dyDescent="0.2">
      <c r="A55" s="14"/>
      <c r="B55" s="14"/>
      <c r="C55" s="117"/>
      <c r="D55" s="14"/>
      <c r="E55" s="117" t="s">
        <v>1870</v>
      </c>
      <c r="F55" s="117" t="s">
        <v>1871</v>
      </c>
      <c r="G55" s="117" t="s">
        <v>1871</v>
      </c>
      <c r="H55" s="117" t="s">
        <v>220</v>
      </c>
      <c r="I55" s="117" t="s">
        <v>1548</v>
      </c>
      <c r="J55" s="14"/>
      <c r="K55" s="14"/>
      <c r="L55" s="14"/>
    </row>
    <row r="56" spans="1:13" ht="13.5" thickBot="1" x14ac:dyDescent="0.25">
      <c r="A56" s="14"/>
      <c r="B56" s="14"/>
      <c r="C56" s="131" t="s">
        <v>1872</v>
      </c>
      <c r="D56" s="14"/>
      <c r="E56" s="131" t="s">
        <v>196</v>
      </c>
      <c r="F56" s="131" t="s">
        <v>1873</v>
      </c>
      <c r="G56" s="131" t="s">
        <v>1945</v>
      </c>
      <c r="H56" s="384" t="s">
        <v>2130</v>
      </c>
      <c r="I56" s="131" t="s">
        <v>1169</v>
      </c>
      <c r="J56" s="131" t="s">
        <v>189</v>
      </c>
      <c r="K56" s="14"/>
      <c r="L56" s="14"/>
    </row>
    <row r="57" spans="1:13" ht="13.5" thickBot="1" x14ac:dyDescent="0.25">
      <c r="A57" s="14"/>
      <c r="B57" s="14"/>
      <c r="C57" s="670" t="s">
        <v>1946</v>
      </c>
      <c r="D57" s="620"/>
      <c r="E57" s="1280">
        <v>325000000</v>
      </c>
      <c r="F57" s="671">
        <v>38469</v>
      </c>
      <c r="G57" s="1280">
        <v>4409385</v>
      </c>
      <c r="H57" s="161">
        <v>5</v>
      </c>
      <c r="I57" s="706" t="s">
        <v>30</v>
      </c>
      <c r="J57" s="431" t="s">
        <v>2934</v>
      </c>
      <c r="K57" s="102"/>
      <c r="L57" s="102"/>
      <c r="M57" s="102"/>
    </row>
    <row r="58" spans="1:13" x14ac:dyDescent="0.2">
      <c r="A58" s="14"/>
      <c r="B58" s="14"/>
      <c r="C58" s="670" t="s">
        <v>1947</v>
      </c>
      <c r="D58" s="620"/>
      <c r="E58" s="114">
        <v>200000000</v>
      </c>
      <c r="F58" s="671">
        <v>38610</v>
      </c>
      <c r="G58" s="114">
        <v>3435743</v>
      </c>
      <c r="H58" s="161">
        <v>30</v>
      </c>
      <c r="I58" s="114">
        <f>G58/H58</f>
        <v>114524.76666666666</v>
      </c>
      <c r="J58" s="431"/>
      <c r="K58" s="102"/>
      <c r="L58" s="102"/>
      <c r="M58" s="102"/>
    </row>
    <row r="59" spans="1:13" ht="13.5" thickBot="1" x14ac:dyDescent="0.25">
      <c r="A59" s="14"/>
      <c r="B59" s="14"/>
      <c r="C59" s="670" t="s">
        <v>1948</v>
      </c>
      <c r="D59" s="620"/>
      <c r="E59" s="114">
        <v>200000000</v>
      </c>
      <c r="F59" s="671">
        <v>38741</v>
      </c>
      <c r="G59" s="114">
        <v>3779170</v>
      </c>
      <c r="H59" s="161">
        <v>30</v>
      </c>
      <c r="I59" s="114">
        <f>G59/H59</f>
        <v>125972.33333333333</v>
      </c>
      <c r="J59" s="431"/>
      <c r="K59" s="102"/>
      <c r="L59" s="102"/>
      <c r="M59" s="102"/>
    </row>
    <row r="60" spans="1:13" ht="13.5" thickBot="1" x14ac:dyDescent="0.25">
      <c r="A60" s="14"/>
      <c r="B60" s="14"/>
      <c r="C60" s="1245" t="s">
        <v>2926</v>
      </c>
      <c r="D60" s="1244"/>
      <c r="E60" s="1242">
        <v>125000000</v>
      </c>
      <c r="F60" s="1246">
        <v>40612</v>
      </c>
      <c r="G60" s="1281">
        <v>2577363</v>
      </c>
      <c r="H60" s="1243">
        <v>30</v>
      </c>
      <c r="I60" s="114">
        <f t="shared" ref="I60" si="4">G60/H60</f>
        <v>85912.1</v>
      </c>
      <c r="J60" s="431"/>
      <c r="K60" s="102"/>
      <c r="L60" s="102"/>
      <c r="M60" s="102"/>
    </row>
    <row r="61" spans="1:13" x14ac:dyDescent="0.2">
      <c r="A61" s="14"/>
      <c r="B61" s="14"/>
      <c r="C61" s="1245" t="s">
        <v>2927</v>
      </c>
      <c r="D61" s="1244"/>
      <c r="E61" s="1242">
        <v>350000000</v>
      </c>
      <c r="F61" s="1246">
        <v>40925</v>
      </c>
      <c r="G61" s="1242">
        <v>5957289</v>
      </c>
      <c r="H61" s="1247">
        <v>10</v>
      </c>
      <c r="I61" s="114">
        <f>(G61/H61)*(11/12)</f>
        <v>546084.82499999995</v>
      </c>
      <c r="J61" s="431" t="s">
        <v>2935</v>
      </c>
      <c r="K61" s="102"/>
      <c r="L61" s="102"/>
      <c r="M61" s="102"/>
    </row>
    <row r="62" spans="1:13" x14ac:dyDescent="0.2">
      <c r="A62" s="14"/>
      <c r="B62" s="14"/>
      <c r="C62" s="1245" t="s">
        <v>2928</v>
      </c>
      <c r="D62" s="1244"/>
      <c r="E62" s="1242">
        <v>475000000</v>
      </c>
      <c r="F62" s="1246">
        <v>41046</v>
      </c>
      <c r="G62" s="1242">
        <v>15401698</v>
      </c>
      <c r="H62" s="1243">
        <v>30</v>
      </c>
      <c r="I62" s="114">
        <f>(G62/H62)*(7/12)</f>
        <v>299477.46111111116</v>
      </c>
      <c r="J62" s="617" t="s">
        <v>2936</v>
      </c>
      <c r="K62" s="102"/>
      <c r="L62" s="102"/>
      <c r="M62" s="102"/>
    </row>
    <row r="63" spans="1:13" x14ac:dyDescent="0.2">
      <c r="A63" s="14"/>
      <c r="B63" s="14"/>
      <c r="C63" s="620" t="s">
        <v>567</v>
      </c>
      <c r="D63" s="620"/>
      <c r="E63" s="114"/>
      <c r="F63" s="671"/>
      <c r="G63" s="114"/>
      <c r="H63" s="161"/>
      <c r="I63" s="102"/>
      <c r="J63" s="431"/>
      <c r="K63" s="102"/>
      <c r="L63" s="102"/>
      <c r="M63" s="102"/>
    </row>
    <row r="64" spans="1:13" x14ac:dyDescent="0.2">
      <c r="A64" s="14"/>
      <c r="B64" s="14"/>
      <c r="C64" s="705"/>
      <c r="D64" s="705"/>
      <c r="E64" s="14"/>
      <c r="F64" s="14"/>
      <c r="G64" s="14"/>
      <c r="H64" s="14"/>
      <c r="I64" s="1292">
        <f>SUM(I58:I63)</f>
        <v>1171971.486111111</v>
      </c>
      <c r="J64" s="550" t="s">
        <v>2133</v>
      </c>
      <c r="K64" s="14"/>
      <c r="L64" s="14"/>
      <c r="M64" s="14"/>
    </row>
    <row r="65" spans="1:13" x14ac:dyDescent="0.2">
      <c r="A65" s="14"/>
      <c r="B65" s="550" t="s">
        <v>2538</v>
      </c>
      <c r="G65" s="14"/>
      <c r="H65" s="14"/>
      <c r="I65" s="14"/>
      <c r="J65" s="14"/>
      <c r="K65" s="14"/>
      <c r="L65" s="14"/>
      <c r="M65" s="14"/>
    </row>
    <row r="66" spans="1:13" x14ac:dyDescent="0.2">
      <c r="A66" s="14"/>
      <c r="B66" s="547" t="s">
        <v>2131</v>
      </c>
      <c r="G66" s="14"/>
      <c r="H66" s="14"/>
      <c r="I66" s="14"/>
      <c r="J66" s="14"/>
      <c r="K66" s="14"/>
      <c r="L66" s="14"/>
      <c r="M66" s="14"/>
    </row>
    <row r="67" spans="1:13" x14ac:dyDescent="0.2">
      <c r="A67" s="14"/>
      <c r="B67" s="14"/>
      <c r="G67" s="117" t="s">
        <v>1169</v>
      </c>
      <c r="H67" s="14"/>
      <c r="I67" s="14"/>
      <c r="J67" s="14"/>
      <c r="K67" s="14"/>
      <c r="L67" s="14"/>
      <c r="M67" s="14"/>
    </row>
    <row r="68" spans="1:13" x14ac:dyDescent="0.2">
      <c r="A68" s="14"/>
      <c r="B68" s="14"/>
      <c r="C68" s="117"/>
      <c r="E68" s="669" t="s">
        <v>1949</v>
      </c>
      <c r="F68" s="117" t="s">
        <v>1169</v>
      </c>
      <c r="G68" s="117" t="s">
        <v>220</v>
      </c>
      <c r="H68" s="117" t="s">
        <v>1548</v>
      </c>
      <c r="I68" s="117"/>
      <c r="J68" s="14"/>
      <c r="K68" s="14"/>
      <c r="L68" s="14"/>
      <c r="M68" s="14"/>
    </row>
    <row r="69" spans="1:13" x14ac:dyDescent="0.2">
      <c r="A69" s="14"/>
      <c r="B69" s="14"/>
      <c r="C69" s="131" t="s">
        <v>1950</v>
      </c>
      <c r="E69" s="131" t="s">
        <v>1873</v>
      </c>
      <c r="F69" s="131" t="s">
        <v>196</v>
      </c>
      <c r="G69" s="384" t="s">
        <v>2130</v>
      </c>
      <c r="H69" s="131" t="s">
        <v>1169</v>
      </c>
      <c r="I69" s="131" t="s">
        <v>189</v>
      </c>
      <c r="J69" s="14"/>
      <c r="K69" s="14"/>
      <c r="L69" s="14"/>
      <c r="M69" s="14"/>
    </row>
    <row r="70" spans="1:13" x14ac:dyDescent="0.2">
      <c r="A70" s="14"/>
      <c r="B70" s="14"/>
      <c r="C70" s="670" t="s">
        <v>1951</v>
      </c>
      <c r="D70" s="620"/>
      <c r="E70" s="672" t="s">
        <v>1952</v>
      </c>
      <c r="F70" s="114">
        <v>-286600</v>
      </c>
      <c r="G70" s="161">
        <v>34</v>
      </c>
      <c r="H70" s="114">
        <f>F70/G70</f>
        <v>-8429.4117647058829</v>
      </c>
      <c r="I70" s="102" t="s">
        <v>1953</v>
      </c>
      <c r="J70" s="102"/>
      <c r="K70" s="102"/>
      <c r="L70" s="102"/>
      <c r="M70" s="102"/>
    </row>
    <row r="71" spans="1:13" x14ac:dyDescent="0.2">
      <c r="A71" s="14"/>
      <c r="B71" s="14"/>
      <c r="C71" s="670" t="s">
        <v>1954</v>
      </c>
      <c r="D71" s="620"/>
      <c r="E71" s="673" t="s">
        <v>1955</v>
      </c>
      <c r="F71" s="114">
        <v>6247500</v>
      </c>
      <c r="G71" s="161">
        <v>34</v>
      </c>
      <c r="H71" s="114">
        <f t="shared" ref="H71:H72" si="5">F71/G71</f>
        <v>183750</v>
      </c>
      <c r="I71" s="102" t="s">
        <v>1956</v>
      </c>
      <c r="J71" s="102"/>
      <c r="K71" s="102"/>
      <c r="L71" s="102"/>
      <c r="M71" s="102"/>
    </row>
    <row r="72" spans="1:13" x14ac:dyDescent="0.2">
      <c r="A72" s="14"/>
      <c r="B72" s="14"/>
      <c r="C72" s="670" t="s">
        <v>1954</v>
      </c>
      <c r="D72" s="620"/>
      <c r="E72" s="673" t="s">
        <v>1955</v>
      </c>
      <c r="F72" s="114">
        <v>1025000</v>
      </c>
      <c r="G72" s="161">
        <v>34</v>
      </c>
      <c r="H72" s="114">
        <f t="shared" si="5"/>
        <v>30147.058823529413</v>
      </c>
      <c r="I72" s="102" t="s">
        <v>1957</v>
      </c>
      <c r="J72" s="102"/>
      <c r="K72" s="102"/>
      <c r="L72" s="102"/>
      <c r="M72" s="102"/>
    </row>
    <row r="73" spans="1:13" x14ac:dyDescent="0.2">
      <c r="A73" s="14"/>
      <c r="B73" s="14"/>
      <c r="C73" s="620" t="s">
        <v>567</v>
      </c>
      <c r="D73" s="620"/>
      <c r="E73" s="673"/>
      <c r="F73" s="114"/>
      <c r="G73" s="161"/>
      <c r="H73" s="114"/>
      <c r="I73" s="558"/>
      <c r="J73" s="102"/>
      <c r="K73" s="102"/>
      <c r="L73" s="102"/>
      <c r="M73" s="102"/>
    </row>
    <row r="74" spans="1:13" x14ac:dyDescent="0.2">
      <c r="A74" s="14"/>
      <c r="B74" s="14"/>
      <c r="C74" s="705"/>
      <c r="D74" s="705"/>
      <c r="E74" s="14"/>
      <c r="F74" s="14"/>
      <c r="G74" s="14"/>
      <c r="H74" s="543">
        <f>SUM(H70:H73)</f>
        <v>205467.64705882355</v>
      </c>
      <c r="I74" s="550" t="s">
        <v>2132</v>
      </c>
      <c r="J74" s="14"/>
      <c r="K74" s="14"/>
      <c r="L74" s="14"/>
      <c r="M74" s="14"/>
    </row>
    <row r="75" spans="1:13" x14ac:dyDescent="0.2">
      <c r="A75" s="14"/>
      <c r="B75" s="14"/>
      <c r="C75" s="14"/>
      <c r="D75" s="14"/>
      <c r="E75" s="14"/>
      <c r="F75" s="14"/>
      <c r="G75" s="14"/>
      <c r="H75" s="14"/>
      <c r="I75" s="14"/>
      <c r="J75" s="14"/>
      <c r="K75" s="14"/>
      <c r="L75" s="14"/>
      <c r="M75" s="14"/>
    </row>
    <row r="76" spans="1:13" x14ac:dyDescent="0.2">
      <c r="A76" s="14"/>
      <c r="B76" s="550" t="s">
        <v>2541</v>
      </c>
      <c r="C76" s="14"/>
      <c r="D76" s="14"/>
      <c r="E76" s="14"/>
      <c r="F76" s="14"/>
      <c r="G76" s="14"/>
      <c r="H76" s="14"/>
      <c r="I76" s="14"/>
      <c r="J76" s="14"/>
      <c r="K76" s="14"/>
      <c r="L76" s="14"/>
      <c r="M76" s="14"/>
    </row>
    <row r="77" spans="1:13" x14ac:dyDescent="0.2">
      <c r="A77" s="14"/>
      <c r="B77" s="550" t="s">
        <v>2542</v>
      </c>
      <c r="C77" s="14"/>
      <c r="D77" s="14"/>
      <c r="E77" s="14"/>
      <c r="F77" s="14"/>
      <c r="G77" s="14"/>
      <c r="H77" s="14"/>
      <c r="I77" s="14"/>
      <c r="J77" s="14"/>
      <c r="K77" s="14"/>
      <c r="L77" s="14"/>
      <c r="M77" s="14"/>
    </row>
    <row r="78" spans="1:13" x14ac:dyDescent="0.2">
      <c r="A78" s="14"/>
      <c r="B78" s="550" t="s">
        <v>2543</v>
      </c>
      <c r="C78" s="14"/>
      <c r="D78" s="14"/>
      <c r="E78" s="14"/>
      <c r="F78" s="14"/>
      <c r="G78" s="14"/>
      <c r="H78" s="14"/>
      <c r="I78" s="14"/>
      <c r="J78" s="14"/>
      <c r="K78" s="14"/>
      <c r="L78" s="14"/>
      <c r="M78" s="14"/>
    </row>
  </sheetData>
  <pageMargins left="0.7" right="0.7" top="0.75" bottom="0.75" header="0.3" footer="0.3"/>
  <pageSetup scale="57" fitToHeight="0" orientation="landscape" cellComments="asDisplayed" r:id="rId1"/>
  <headerFooter>
    <oddHeader>&amp;CSchedule 5 ROR-2
Return and Capitalization
&amp;RTO8 Annual Update (Revised)
Attachment  1</oddHeader>
    <oddFooter>&amp;R5-ROR-2</oddFooter>
  </headerFooter>
  <rowBreaks count="1" manualBreakCount="1">
    <brk id="4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Heading</vt:lpstr>
      <vt:lpstr>Contents</vt:lpstr>
      <vt:lpstr>Overview</vt:lpstr>
      <vt:lpstr>1-BaseTRR</vt:lpstr>
      <vt:lpstr>2-IFPTRR</vt:lpstr>
      <vt:lpstr>3-TrueUpAdjust</vt:lpstr>
      <vt:lpstr>4-TUTRR</vt:lpstr>
      <vt:lpstr>5-ROR-1</vt:lpstr>
      <vt:lpstr>5-ROR-2</vt:lpstr>
      <vt:lpstr>6-PlantInService</vt:lpstr>
      <vt:lpstr>7-PlantStudy</vt:lpstr>
      <vt:lpstr>8-AccDep</vt:lpstr>
      <vt:lpstr>9-ADIT</vt:lpstr>
      <vt:lpstr>10-CWIP</vt:lpstr>
      <vt:lpstr>11-PHFU</vt:lpstr>
      <vt:lpstr>12-AbandonedPlant</vt:lpstr>
      <vt:lpstr>13-WorkCap</vt:lpstr>
      <vt:lpstr>14-IncentivePlant</vt:lpstr>
      <vt:lpstr>15-IncentiveAdder</vt:lpstr>
      <vt:lpstr>16-PlantAdditions</vt:lpstr>
      <vt:lpstr>17-Depreciation</vt:lpstr>
      <vt:lpstr>18-DepRates</vt:lpstr>
      <vt:lpstr>19-OandM</vt:lpstr>
      <vt:lpstr>20-AandG</vt:lpstr>
      <vt:lpstr>21-RevenueCredits</vt:lpstr>
      <vt:lpstr>22-NUCs</vt:lpstr>
      <vt:lpstr>23-RegAssets</vt:lpstr>
      <vt:lpstr>24-CWIPTRR</vt:lpstr>
      <vt:lpstr>25-WholesaleDifference</vt:lpstr>
      <vt:lpstr>26-TaxRates</vt:lpstr>
      <vt:lpstr>27-Allocators</vt:lpstr>
      <vt:lpstr>28-FFU</vt:lpstr>
      <vt:lpstr>29-WholesaleTRRs</vt:lpstr>
      <vt:lpstr>30-WholesaleRates</vt:lpstr>
      <vt:lpstr>31-HVLV</vt:lpstr>
      <vt:lpstr>32-GrossLoad</vt:lpstr>
      <vt:lpstr>33-RetailRates</vt:lpstr>
      <vt:lpstr>34-UnfundedReserves</vt:lpstr>
      <vt:lpstr>35-PBOPs</vt:lpstr>
      <vt:lpstr>'10-CWIP'!Print_Area</vt:lpstr>
      <vt:lpstr>'11-PHFU'!Print_Area</vt:lpstr>
      <vt:lpstr>'12-AbandonedPlant'!Print_Area</vt:lpstr>
      <vt:lpstr>'13-WorkCap'!Print_Area</vt:lpstr>
      <vt:lpstr>'14-IncentivePlant'!Print_Area</vt:lpstr>
      <vt:lpstr>'15-IncentiveAdder'!Print_Area</vt:lpstr>
      <vt:lpstr>'16-PlantAdditions'!Print_Area</vt:lpstr>
      <vt:lpstr>'17-Depreciation'!Print_Area</vt:lpstr>
      <vt:lpstr>'18-DepRates'!Print_Area</vt:lpstr>
      <vt:lpstr>'19-OandM'!Print_Area</vt:lpstr>
      <vt:lpstr>'1-BaseTRR'!Print_Area</vt:lpstr>
      <vt:lpstr>'20-AandG'!Print_Area</vt:lpstr>
      <vt:lpstr>'21-RevenueCredits'!Print_Area</vt:lpstr>
      <vt:lpstr>'22-NUCs'!Print_Area</vt:lpstr>
      <vt:lpstr>'23-RegAssets'!Print_Area</vt:lpstr>
      <vt:lpstr>'24-CWIPTRR'!Print_Area</vt:lpstr>
      <vt:lpstr>'25-WholesaleDifference'!Print_Area</vt:lpstr>
      <vt:lpstr>'26-TaxRates'!Print_Area</vt:lpstr>
      <vt:lpstr>'27-Allocators'!Print_Area</vt:lpstr>
      <vt:lpstr>'28-FFU'!Print_Area</vt:lpstr>
      <vt:lpstr>'29-WholesaleTRRs'!Print_Area</vt:lpstr>
      <vt:lpstr>'2-IFPTRR'!Print_Area</vt:lpstr>
      <vt:lpstr>'30-WholesaleRates'!Print_Area</vt:lpstr>
      <vt:lpstr>'31-HVLV'!Print_Area</vt:lpstr>
      <vt:lpstr>'32-GrossLoad'!Print_Area</vt:lpstr>
      <vt:lpstr>'34-UnfundedReserves'!Print_Area</vt:lpstr>
      <vt:lpstr>'3-TrueUpAdjust'!Print_Area</vt:lpstr>
      <vt:lpstr>'4-TUTRR'!Print_Area</vt:lpstr>
      <vt:lpstr>'5-ROR-1'!Print_Area</vt:lpstr>
      <vt:lpstr>'5-ROR-2'!Print_Area</vt:lpstr>
      <vt:lpstr>'6-PlantInService'!Print_Area</vt:lpstr>
      <vt:lpstr>'7-PlantStudy'!Print_Area</vt:lpstr>
      <vt:lpstr>'8-AccDep'!Print_Area</vt:lpstr>
      <vt:lpstr>'9-ADIT'!Print_Area</vt:lpstr>
      <vt:lpstr>Contents!Print_Area</vt:lpstr>
      <vt:lpstr>Overview!Print_Area</vt:lpstr>
      <vt:lpstr>'1-BaseTRR'!Print_Titles</vt:lpstr>
      <vt:lpstr>'21-RevenueCredits'!Print_Titles</vt:lpstr>
    </vt:vector>
  </TitlesOfParts>
  <Company>Edison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Hansen</dc:creator>
  <cp:lastModifiedBy>Kim, Jee Young</cp:lastModifiedBy>
  <cp:lastPrinted>2014-06-11T21:33:06Z</cp:lastPrinted>
  <dcterms:created xsi:type="dcterms:W3CDTF">2009-02-27T16:01:11Z</dcterms:created>
  <dcterms:modified xsi:type="dcterms:W3CDTF">2014-06-11T21:33:13Z</dcterms:modified>
</cp:coreProperties>
</file>